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23.xml" ContentType="application/vnd.openxmlformats-officedocument.spreadsheetml.comments+xml"/>
  <Override PartName="/xl/comments14.xml" ContentType="application/vnd.openxmlformats-officedocument.spreadsheetml.comments+xml"/>
  <Override PartName="/xl/comments13.xml" ContentType="application/vnd.openxmlformats-officedocument.spreadsheetml.comments+xml"/>
  <Override PartName="/xl/drawings/_rels/drawing1.xml.rels" ContentType="application/vnd.openxmlformats-package.relationships+xml"/>
  <Override PartName="/xl/drawings/vmlDrawing14.vml" ContentType="application/vnd.openxmlformats-officedocument.vmlDrawing"/>
  <Override PartName="/xl/drawings/vmlDrawing8.vml" ContentType="application/vnd.openxmlformats-officedocument.vmlDrawing"/>
  <Override PartName="/xl/drawings/drawing1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drawing13.xml" ContentType="application/vnd.openxmlformats-officedocument.drawing+xml"/>
  <Override PartName="/xl/drawings/vmlDrawing3.vml" ContentType="application/vnd.openxmlformats-officedocument.vmlDrawing"/>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vmlDrawing16.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drawing11.xml" ContentType="application/vnd.openxmlformats-officedocument.drawing+xml"/>
  <Override PartName="/xl/drawings/drawing1.xml" ContentType="application/vnd.openxmlformats-officedocument.drawing+xml"/>
  <Override PartName="/xl/drawings/drawing10.xml" ContentType="application/vnd.openxmlformats-officedocument.drawing+xml"/>
  <Override PartName="/xl/drawings/drawing8.xml" ContentType="application/vnd.openxmlformats-officedocument.drawing+xml"/>
  <Override PartName="/xl/drawings/vmlDrawing13.vml" ContentType="application/vnd.openxmlformats-officedocument.vmlDrawing"/>
  <Override PartName="/xl/drawings/vmlDrawing7.vml" ContentType="application/vnd.openxmlformats-officedocument.vmlDrawing"/>
  <Override PartName="/xl/drawings/drawing9.xml" ContentType="application/vnd.openxmlformats-officedocument.drawing+xml"/>
  <Override PartName="/xl/drawings/vmlDrawing15.vml" ContentType="application/vnd.openxmlformats-officedocument.vmlDrawing"/>
  <Override PartName="/xl/drawings/vmlDrawing9.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comments17.xml" ContentType="application/vnd.openxmlformats-officedocument.spreadsheetml.comments+xml"/>
  <Override PartName="/xl/comments7.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8.xml.rels" ContentType="application/vnd.openxmlformats-package.relationships+xml"/>
  <Override PartName="/xl/worksheets/_rels/sheet20.xml.rels" ContentType="application/vnd.openxmlformats-package.relationships+xml"/>
  <Override PartName="/xl/worksheets/_rels/sheet1.xml.rels" ContentType="application/vnd.openxmlformats-package.relationships+xml"/>
  <Override PartName="/xl/worksheets/_rels/sheet17.xml.rels" ContentType="application/vnd.openxmlformats-package.relationships+xml"/>
  <Override PartName="/xl/worksheets/_rels/sheet23.xml.rels" ContentType="application/vnd.openxmlformats-package.relationships+xml"/>
  <Override PartName="/xl/worksheets/_rels/sheet5.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workbook.xml" ContentType="application/vnd.openxmlformats-officedocument.spreadsheetml.sheet.main+xml"/>
  <Override PartName="/xl/comments10.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Debt &amp; cash" sheetId="10" state="visible" r:id="rId12"/>
    <sheet name="Loans" sheetId="11" state="visible" r:id="rId13"/>
    <sheet name="Gold &amp; money" sheetId="12" state="visible" r:id="rId14"/>
    <sheet name="Abroad" sheetId="13" state="visible" r:id="rId15"/>
    <sheet name="Champions" sheetId="14" state="visible" r:id="rId16"/>
    <sheet name="Labour" sheetId="15" state="visible" r:id="rId17"/>
    <sheet name="Navy plan" sheetId="16" state="visible" r:id="rId18"/>
    <sheet name="Navy" sheetId="17" state="visible" r:id="rId19"/>
    <sheet name="Japan" sheetId="18" state="visible" r:id="rId20"/>
    <sheet name="Siberia" sheetId="19" state="visible" r:id="rId21"/>
    <sheet name="Partners" sheetId="20" state="visible" r:id="rId22"/>
    <sheet name="Gulf" sheetId="21" state="visible" r:id="rId23"/>
    <sheet name="World" sheetId="22" state="visible" r:id="rId24"/>
    <sheet name="Checks" sheetId="23" state="visible" r:id="rId25"/>
    <sheet name="Japan rescue" sheetId="24" state="visible" r:id="rId26"/>
    <sheet name="Sources &amp; uses" sheetId="25" state="visible" r:id="rId27"/>
    <sheet name="War credit" sheetId="26" state="visible" r:id="rId28"/>
    <sheet name="Japan expansion" sheetId="27" state="visible" r:id="rId29"/>
    <sheet name="Capital accounts" sheetId="28" state="visible" r:id="rId30"/>
    <sheet name="Champion funding" sheetId="29" state="visible" r:id="rId31"/>
    <sheet name="Entente subscribers" sheetId="30" state="visible" r:id="rId32"/>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fuel" vbProcedure="false">Levers!$E$30</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Births minus deaths per resident. Low in the male-heavy gold-rush years, rising as the women's and family programmes even out the sex ratio; 1918 influenza dip. Model estimate.</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Arrivals who stay plus their descendants (same natural increase as everyone).</t>
        </r>
      </text>
    </comment>
    <comment ref="S5" authorId="0">
      <text>
        <r>
          <rPr>
            <sz val="10"/>
            <rFont val="Arial"/>
            <family val="2"/>
          </rPr>
          <t xml:space="preserve">The pool from which Hapa families grow (§15).</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Japanese troops in Siberia, Transbaikalia and on the Manchurian line.</t>
        </r>
      </text>
    </comment>
    <comment ref="I5" authorId="0">
      <text>
        <r>
          <rPr>
            <sz val="10"/>
            <rFont val="Arial"/>
            <family val="2"/>
          </rPr>
          <t xml:space="preserve">Chinese troops of Zhang Zuolin on the coalition line.</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Army of the Siberian Regionalist government, later the Siberian Republic.</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Command, railway troops, artillery, armoured trains, aircraft, river flotillas and the expeditionary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sharedStrings.xml><?xml version="1.0" encoding="utf-8"?>
<sst xmlns="http://schemas.openxmlformats.org/spreadsheetml/2006/main" count="3967" uniqueCount="2476">
  <si>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</si>
  <si>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</si>
  <si>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</si>
  <si>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</si>
  <si>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</si>
  <si>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</si>
  <si>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</si>
  <si>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</si>
  <si>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</si>
  <si>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</si>
  <si>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</si>
  <si>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</si>
  <si>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</si>
  <si>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</si>
  <si>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</si>
  <si>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</si>
  <si>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</si>
  <si>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</si>
  <si>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</si>
  <si>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</si>
  <si>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</si>
  <si>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</si>
  <si>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</si>
  <si>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</si>
  <si>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</si>
  <si>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</si>
  <si>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</si>
  <si>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</si>
  <si>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</si>
  <si>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</si>
  <si>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</si>
  <si>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</si>
  <si>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</si>
  <si>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</si>
  <si>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</si>
  <si>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</si>
  <si>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</si>
  <si>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</si>
  <si>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</si>
  <si>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</si>
  <si>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</si>
  <si>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</si>
  <si>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</si>
  <si>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</si>
  <si>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</si>
  <si>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</si>
  <si>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</si>
  <si>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</si>
  <si>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</si>
  <si>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</si>
  <si>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</si>
  <si>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</si>
  <si>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</si>
  <si>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</si>
  <si>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</si>
  <si>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</si>
  <si>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</si>
  <si>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</si>
  <si>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</si>
  <si>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</si>
  <si>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</si>
  <si>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</si>
  <si>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</si>
  <si>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</si>
  <si>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</si>
  <si>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</si>
  <si>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</si>
  <si>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</si>
  <si>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</si>
  <si>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</si>
  <si>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</si>
  <si>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</si>
  <si>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</si>
  <si>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</si>
  <si>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</si>
  <si>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</si>
  <si>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</si>
  <si>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</si>
  <si>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</si>
  <si>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</si>
  <si>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</si>
  <si>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</si>
  <si>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</si>
  <si>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</si>
  <si>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</si>
  <si>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</si>
  <si>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</si>
  <si>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</si>
  <si>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</si>
  <si>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</si>
  <si>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</si>
  <si>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</si>
  <si>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</si>
  <si>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</si>
  <si>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</si>
  <si>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</si>
  <si>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</si>
  <si>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</si>
  <si>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</si>
  <si>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</si>
  <si>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</si>
  <si>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</si>
  <si>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</si>
  <si>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</si>
  <si>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</si>
  <si>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</si>
  <si>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</si>
  <si>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</si>
  <si>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</si>
  <si>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</si>
  <si>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</si>
  <si>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</si>
  <si>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</si>
  <si>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</si>
  <si>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</si>
  <si>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</si>
  <si>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</si>
  <si>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</si>
  <si>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</si>
  <si>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</si>
  <si>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</si>
  <si>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</si>
  <si>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</si>
  <si>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</si>
  <si>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</si>
  <si>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</si>
  <si>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</si>
  <si>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</si>
  <si>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</si>
  <si>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</si>
  <si>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</si>
  <si>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</si>
  <si>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</si>
  <si>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</si>
  <si>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</si>
  <si>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</si>
  <si>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</si>
  <si>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</si>
  <si>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</si>
  <si>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</si>
  <si>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</si>
  <si>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</si>
  <si>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</si>
  <si>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</si>
  <si>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</si>
  <si>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</si>
  <si>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</si>
  <si>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</si>
  <si>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</si>
  <si>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</si>
  <si>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</si>
  <si>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</si>
  <si>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</si>
  <si>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</si>
  <si>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</si>
  <si>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</si>
  <si>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</si>
  <si>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</si>
  <si>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</si>
  <si>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</si>
  <si>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</si>
  <si>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</si>
  <si>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</si>
  <si>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</si>
  <si>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</si>
  <si>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</si>
  <si>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</si>
  <si>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</si>
  <si>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</si>
  <si>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</si>
  <si>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</si>
  <si>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</si>
  <si>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</si>
  <si>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</si>
  <si>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</si>
  <si>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</si>
  <si>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</si>
  <si>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</si>
  <si>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</si>
  <si>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</si>
  <si>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</si>
  <si>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</si>
  <si>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</si>
  <si>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</si>
  <si>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</si>
  <si>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</si>
  <si>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</si>
  <si>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</si>
  <si>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</si>
  <si>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</si>
  <si>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</si>
  <si>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</si>
  <si>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</si>
  <si>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</si>
  <si>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</si>
  <si>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</si>
  <si>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</si>
  <si>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</si>
  <si>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</si>
  <si>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</si>
  <si>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</si>
  <si>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</si>
  <si>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</si>
  <si>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</si>
  <si>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</si>
  <si>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</si>
  <si>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</si>
  <si>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</si>
  <si>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</si>
  <si>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</si>
  <si>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</si>
  <si>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</si>
  <si>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</si>
  <si>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</si>
  <si>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</si>
  <si>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</si>
  <si>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</si>
  <si>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</si>
  <si>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</si>
  <si>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</si>
  <si>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</si>
  <si>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</si>
  <si>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</si>
  <si>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</si>
  <si>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</si>
  <si>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</si>
  <si>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</si>
  <si>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</si>
  <si>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</si>
  <si>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</si>
  <si>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</si>
  <si>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</si>
  <si>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</si>
  <si>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</si>
  <si>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</si>
  <si>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</si>
  <si>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</si>
  <si>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</si>
  <si>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</si>
  <si>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</si>
  <si>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</si>
  <si>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</si>
  <si>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</si>
  <si>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</si>
  <si>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</si>
  <si>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</si>
  <si>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</si>
  <si>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</si>
  <si>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</si>
  <si>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</si>
  <si>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</si>
  <si>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</si>
  <si>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</si>
  <si>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</si>
  <si>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</si>
  <si>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</si>
  <si>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</si>
  <si>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</si>
  <si>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</si>
  <si>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</si>
  <si>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</si>
  <si>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</si>
  <si>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</si>
  <si>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</si>
  <si>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</si>
  <si>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</si>
  <si>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</si>
  <si>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</si>
  <si>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</si>
  <si>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</si>
  <si>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</si>
  <si>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</si>
  <si>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</si>
  <si>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</si>
  <si>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</si>
  <si>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</si>
  <si>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</si>
  <si>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</si>
  <si>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</si>
  <si>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</si>
  <si>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</si>
  <si>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</si>
  <si>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</si>
  <si>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</si>
  <si>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</si>
  <si>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</si>
  <si>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</si>
  <si>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</si>
  <si>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</si>
  <si>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</si>
  <si>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</si>
  <si>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</si>
  <si>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</si>
  <si>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</si>
  <si>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</si>
  <si>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</si>
  <si>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</si>
  <si>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</si>
  <si>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</si>
  <si>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</si>
  <si>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</si>
  <si>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</si>
  <si>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</si>
  <si>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</si>
  <si>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</si>
  <si>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</si>
  <si>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</si>
  <si>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</si>
  <si>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</si>
  <si>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</si>
  <si>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</si>
  <si>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</si>
  <si>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</si>
  <si>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</si>
  <si>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</si>
  <si>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</si>
  <si>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</si>
  <si>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</si>
  <si>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</si>
  <si>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</si>
  <si>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</si>
  <si>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</si>
  <si>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</si>
  <si>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</si>
  <si>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</si>
  <si>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</si>
  <si>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</si>
  <si>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</si>
  <si>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</si>
  <si>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</si>
  <si>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</si>
  <si>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</si>
  <si>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</si>
  <si>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</si>
  <si>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</si>
  <si>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</si>
  <si>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</si>
  <si>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</si>
  <si>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</si>
  <si>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</si>
  <si>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</si>
  <si>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</si>
  <si>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</si>
  <si>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</si>
  <si>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</si>
  <si>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</si>
  <si>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</si>
  <si>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</si>
  <si>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</si>
  <si>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</si>
  <si>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</si>
  <si>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</si>
  <si>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</si>
  <si>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</si>
  <si>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</si>
  <si>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</si>
  <si>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</si>
  <si>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</si>
  <si>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</si>
  <si>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</si>
  <si>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</si>
  <si>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</si>
  <si>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</si>
  <si>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</si>
  <si>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</si>
  <si>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</si>
  <si>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</si>
  <si>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</si>
  <si>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</si>
  <si>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</si>
  <si>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</si>
  <si>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</si>
  <si>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</si>
  <si>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</si>
  <si>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</si>
  <si>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</si>
  <si>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</si>
  <si>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</si>
  <si>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</si>
  <si>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</si>
  <si>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</si>
  <si>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</si>
  <si>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</si>
  <si>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</si>
  <si>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</si>
  <si>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</si>
  <si>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</si>
  <si>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</si>
  <si>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</si>
  <si>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</si>
  <si>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</si>
  <si>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</si>
  <si>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</si>
  <si>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</si>
  <si>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</si>
  <si>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</si>
  <si>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</si>
  <si>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</si>
  <si>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</si>
  <si>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</si>
  <si>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</si>
  <si>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</si>
  <si>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</si>
  <si>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</si>
  <si>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</si>
  <si>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</si>
  <si>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</si>
  <si>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</si>
  <si>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</si>
  <si>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</si>
  <si>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</si>
  <si>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</si>
  <si>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</si>
  <si>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</si>
  <si>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</si>
  <si>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</si>
  <si>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</si>
  <si>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</si>
  <si>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</si>
  <si>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</si>
  <si>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</si>
  <si>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</si>
  <si>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</si>
  <si>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</si>
  <si>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</si>
  <si>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</si>
  <si>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</si>
  <si>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</si>
  <si>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</si>
  <si>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</si>
  <si>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</si>
  <si>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</si>
  <si>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</si>
  <si>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</si>
  <si>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</si>
  <si>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</si>
  <si>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</si>
  <si>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</si>
  <si>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</si>
  <si>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</si>
  <si>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</si>
  <si>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</si>
  <si>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</si>
  <si>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</si>
  <si>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</si>
  <si>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</si>
  <si>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</si>
  <si>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</si>
  <si>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</si>
  <si>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</si>
  <si>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</si>
  <si>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</si>
  <si>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</si>
  <si>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</si>
  <si>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</si>
  <si>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</si>
  <si>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</si>
  <si>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</si>
  <si>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</si>
  <si>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</si>
  <si>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</si>
  <si>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</si>
  <si>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</si>
  <si>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</si>
  <si>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</si>
  <si>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</si>
  <si>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</si>
  <si>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</si>
  <si>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</si>
  <si>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</si>
  <si>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</si>
  <si>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</si>
  <si>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</si>
  <si>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</si>
  <si>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</si>
  <si>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</si>
  <si>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</si>
  <si>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</si>
  <si>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</si>
  <si>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</si>
  <si>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</si>
  <si>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</si>
  <si>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</si>
  <si>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</si>
  <si>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</si>
  <si>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</si>
  <si>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</si>
  <si>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</si>
  <si>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</si>
  <si>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</si>
  <si>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</si>
  <si>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</si>
  <si>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</si>
  <si>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</si>
  <si>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</si>
  <si>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</si>
  <si>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</si>
  <si>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</si>
  <si>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</si>
  <si>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</si>
  <si>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</si>
  <si>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</si>
  <si>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</si>
  <si>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</si>
  <si>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</si>
  <si>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</si>
  <si>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</si>
  <si>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</si>
  <si>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</si>
  <si>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</si>
  <si>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</si>
  <si>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</si>
  <si>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</si>
  <si>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</si>
  <si>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</si>
  <si>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</si>
  <si>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</si>
  <si>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</si>
  <si>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</si>
  <si>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</si>
  <si>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</si>
  <si>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</si>
  <si>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</si>
  <si>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</si>
  <si>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</si>
  <si>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</si>
  <si>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</si>
  <si>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</si>
  <si>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</si>
  <si>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</si>
  <si>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</si>
  <si>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</si>
  <si>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</si>
  <si>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</si>
  <si>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</si>
  <si>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</si>
  <si>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</si>
  <si>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</si>
  <si>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</si>
  <si>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</si>
  <si>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</si>
  <si>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</si>
  <si>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</si>
  <si>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</si>
  <si>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</si>
  <si>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</si>
  <si>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</si>
  <si>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</si>
  <si>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</si>
  <si>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</si>
  <si>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</si>
  <si>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</si>
  <si>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</si>
  <si>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</si>
  <si>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</si>
  <si>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</si>
  <si>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</si>
  <si>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</si>
  <si>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</si>
  <si>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</si>
  <si>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</si>
  <si>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</si>
  <si>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</si>
  <si>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</si>
  <si>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</si>
  <si>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</si>
  <si>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</si>
  <si>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</si>
  <si>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</si>
  <si>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</si>
  <si>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</si>
  <si>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</si>
  <si>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</si>
  <si>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</si>
  <si>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</si>
  <si>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</si>
  <si>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</si>
  <si>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</si>
  <si>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</si>
  <si>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</si>
  <si>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</si>
  <si>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</si>
  <si>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</si>
  <si>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</si>
  <si>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</si>
  <si>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</si>
  <si>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</si>
  <si>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</si>
  <si>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pay and keep</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</si>
  <si>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</si>
  <si>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</si>
  <si>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</si>
  <si>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</si>
  <si>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</si>
  <si>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</si>
  <si>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</si>
  <si>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</si>
  <si>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</si>
  <si>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</si>
  <si>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</si>
  <si>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</si>
  <si>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</si>
  <si>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</si>
  <si>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</si>
  <si>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</si>
  <si>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</si>
  <si>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</si>
  <si>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</si>
  <si>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</si>
  <si>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</si>
  <si>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</si>
  <si>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</si>
  <si>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</si>
  <si>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</si>
  <si>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</si>
  <si>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</si>
  <si>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</si>
  <si>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</si>
  <si>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</si>
  <si>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</si>
  <si>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</si>
  <si>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</si>
  <si>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</si>
  <si>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</si>
  <si>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</si>
  <si>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</si>
  <si>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</si>
  <si>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</si>
  <si>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</si>
  <si>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</si>
  <si>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</si>
  <si>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</si>
  <si>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</si>
  <si>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</si>
  <si>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</si>
  <si>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</si>
  <si>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</si>
  <si>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</si>
  <si>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</si>
  <si>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</si>
  <si>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</si>
  <si>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</si>
  <si>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</si>
  <si>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</si>
  <si>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</si>
  <si>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</si>
  <si>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</si>
  <si>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</si>
  <si>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</si>
  <si>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</si>
  <si>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</si>
  <si>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</si>
  <si>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</si>
  <si>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</si>
  <si>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</si>
  <si>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</si>
  <si>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</si>
  <si>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</si>
  <si>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</si>
  <si>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</si>
  <si>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</si>
  <si>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</si>
  <si>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</si>
  <si>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</si>
  <si>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</si>
  <si>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</si>
  <si>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</si>
  <si>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</si>
  <si>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</si>
  <si>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</si>
  <si>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</si>
  <si>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</si>
  <si>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</si>
  <si>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</si>
  <si>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</si>
  <si>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</si>
  <si>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</si>
  <si>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</si>
  <si>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</si>
  <si>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</si>
  <si>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</si>
  <si>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</si>
  <si>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</si>
  <si>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</si>
  <si>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</si>
  <si>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</si>
  <si>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</si>
  <si>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</si>
  <si>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</si>
  <si>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</si>
  <si>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</si>
  <si>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</si>
  <si>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</si>
  <si>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</si>
  <si>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</si>
  <si>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</si>
  <si>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</si>
  <si>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</si>
  <si>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</si>
  <si>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</si>
  <si>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</si>
  <si>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</si>
  <si>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</si>
  <si>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</si>
  <si>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</si>
  <si>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</si>
  <si>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</si>
  <si>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</si>
  <si>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</si>
  <si>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</si>
  <si>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</si>
  <si>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</si>
  <si>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</si>
  <si>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</si>
  <si>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</si>
  <si>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</si>
  <si>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</si>
  <si>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</si>
  <si>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</si>
  <si>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</si>
  <si>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</si>
  <si>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</si>
  <si>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</si>
  <si>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</si>
  <si>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</si>
  <si>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</si>
  <si>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</si>
  <si>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</si>
  <si>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</si>
  <si>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</si>
  <si>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</si>
  <si>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</si>
  <si>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</si>
  <si>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</si>
  <si>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</si>
  <si>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</si>
  <si>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</si>
  <si>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</si>
  <si>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</si>
  <si>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</si>
  <si>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</si>
  <si>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</si>
  <si>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</si>
  <si>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</si>
  <si>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</si>
  <si>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</si>
  <si>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</si>
  <si>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</si>
  <si>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</si>
  <si>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</si>
  <si>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</si>
  <si>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</si>
  <si>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</si>
  <si>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</si>
  <si>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</si>
  <si>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</si>
  <si>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</si>
  <si>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</si>
  <si>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</si>
  <si>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</si>
  <si>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</si>
  <si>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</si>
  <si>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</si>
  <si>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</si>
  <si>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</si>
  <si>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</si>
  <si>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</si>
  <si>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</si>
  <si>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</si>
  <si>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</si>
  <si>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</si>
  <si>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</si>
  <si>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</si>
  <si>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</si>
  <si>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</si>
  <si>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</si>
  <si>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</si>
  <si>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</si>
  <si>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</si>
  <si>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</si>
  <si>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</si>
  <si>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</si>
  <si>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</si>
  <si>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</si>
  <si>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</si>
  <si>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</si>
  <si>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</si>
  <si>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</si>
  <si>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</si>
  <si>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</si>
  <si>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</si>
  <si>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</si>
  <si>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</si>
  <si>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</si>
  <si>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</si>
  <si>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</si>
  <si>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</si>
  <si>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</si>
  <si>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</si>
  <si>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</si>
  <si>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</si>
  <si>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</si>
  <si>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</si>
  <si>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</si>
  <si>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</si>
  <si>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</si>
  <si>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</si>
  <si>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</si>
  <si>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</si>
  <si>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</si>
  <si>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</si>
  <si>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</si>
  <si>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</si>
  <si>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</si>
  <si>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</si>
  <si>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</si>
  <si>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</si>
  <si>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</si>
  <si>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</si>
  <si>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</si>
  <si>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</si>
  <si>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</si>
  <si>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</si>
  <si>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</si>
  <si>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</si>
  <si>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</si>
  <si>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</si>
  <si>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</si>
  <si>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</si>
  <si>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</si>
  <si>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</si>
  <si>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</si>
  <si>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</si>
  <si>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</si>
  <si>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</si>
  <si>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</si>
  <si>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</si>
  <si>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</si>
  <si>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</si>
  <si>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</si>
  <si>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</si>
  <si>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</si>
  <si>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</si>
  <si>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</si>
  <si>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</si>
  <si>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</si>
  <si>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</si>
  <si>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</si>
  <si>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</si>
  <si>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</si>
  <si>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</si>
  <si>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</si>
  <si>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</si>
  <si>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</si>
  <si>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</si>
  <si>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</si>
  <si>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</si>
  <si>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</si>
  <si>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</si>
  <si>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</si>
  <si>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</si>
  <si>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</si>
  <si>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</si>
  <si>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</si>
  <si>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</si>
  <si>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</si>
  <si>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</si>
  <si>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</si>
  <si>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</si>
  <si>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</si>
  <si>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</si>
  <si>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</si>
  <si>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</si>
  <si>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</si>
  <si>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</si>
  <si>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</si>
  <si>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</si>
  <si>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Siberian campaign 1918: Pacifican spending</t>
  </si>
  <si>
    <t xml:space="preserve">Siberia</t>
  </si>
  <si>
    <t xml:space="preserve">§31</t>
  </si>
  <si>
    <t xml:space="preserve">Siberia sheet (CR-030),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</si>
  <si>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</si>
  <si>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</si>
  <si>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</si>
  <si>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</si>
  <si>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</si>
  <si>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</si>
  <si>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</si>
  <si>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</si>
  <si>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</si>
  <si>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</si>
  <si>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</si>
  <si>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</si>
  <si>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</si>
  <si>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</si>
  <si>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</si>
  <si>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</si>
  <si>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Standing Siberian front 1923 (Pacifica's quota)</t>
  </si>
  <si>
    <t xml:space="preserve">Siberia sheet (CR-030): quota × common front budget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</si>
  <si>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</si>
  <si>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</si>
  <si>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</si>
  <si>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</si>
  <si>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</si>
  <si>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</si>
  <si>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</si>
  <si>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</si>
  <si>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</si>
  <si>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</si>
  <si>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</si>
  <si>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</si>
  <si>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</si>
  <si>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</si>
  <si>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</si>
  <si>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</si>
  <si>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</si>
  <si>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</si>
  <si>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</si>
  <si>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</si>
  <si>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</si>
  <si>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</si>
  <si>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</si>
  <si>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</si>
  <si>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</si>
  <si>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</si>
  <si>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</si>
  <si>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</si>
  <si>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</si>
  <si>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</si>
  <si>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</si>
  <si>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</si>
  <si>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</si>
  <si>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</si>
  <si>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</si>
  <si>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</si>
  <si>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</si>
  <si>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</si>
  <si>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</si>
  <si>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</si>
  <si>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</si>
  <si>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</si>
  <si>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</si>
  <si>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</si>
  <si>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</si>
  <si>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</si>
  <si>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</si>
  <si>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</si>
  <si>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</si>
  <si>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</si>
  <si>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</si>
  <si>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</si>
  <si>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</si>
  <si>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</si>
  <si>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</si>
  <si>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</si>
  <si>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</si>
  <si>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</si>
  <si>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</si>
  <si>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</si>
  <si>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</si>
  <si>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</si>
  <si>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</si>
  <si>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</si>
  <si>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</si>
  <si>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</si>
  <si>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</si>
  <si>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</si>
  <si>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</si>
  <si>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</si>
  <si>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</si>
  <si>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</si>
  <si>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</si>
  <si>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</si>
  <si>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</si>
  <si>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</si>
  <si>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</si>
  <si>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</si>
  <si>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</si>
  <si>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</si>
  <si>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</si>
  <si>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</si>
  <si>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</si>
  <si>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</si>
  <si>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</si>
  <si>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</si>
  <si>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</si>
  <si>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</si>
  <si>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</si>
  <si>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</si>
  <si>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</si>
  <si>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</si>
  <si>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</si>
  <si>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</si>
  <si>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</si>
  <si>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</si>
  <si>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</si>
  <si>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</si>
  <si>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</si>
  <si>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</si>
  <si>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</si>
  <si>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</si>
  <si>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</si>
  <si>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</si>
  <si>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</si>
  <si>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</si>
  <si>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</si>
  <si>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</si>
  <si>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</si>
  <si>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</si>
  <si>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</si>
  <si>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</si>
  <si>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</si>
  <si>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</si>
  <si>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</si>
  <si>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</si>
  <si>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</si>
  <si>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</si>
  <si>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</si>
  <si>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</si>
  <si>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</si>
  <si>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</si>
  <si>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</si>
  <si>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</si>
  <si>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</si>
  <si>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</si>
  <si>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</si>
  <si>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</si>
  <si>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</si>
  <si>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</si>
  <si>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</si>
  <si>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</si>
  <si>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</si>
  <si>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</si>
  <si>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</si>
  <si>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</si>
  <si>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</si>
  <si>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</si>
  <si>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</si>
  <si>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</si>
  <si>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</si>
  <si>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</si>
  <si>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</si>
  <si>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</si>
  <si>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</si>
  <si>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</si>
  <si>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</si>
  <si>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</si>
  <si>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</si>
  <si>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</si>
  <si>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</si>
  <si>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</si>
  <si>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</si>
  <si>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</si>
  <si>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</si>
  <si>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</si>
  <si>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</si>
  <si>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</si>
  <si>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</si>
  <si>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</si>
  <si>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</si>
  <si>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</si>
  <si>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</si>
  <si>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</si>
  <si>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</si>
  <si>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</si>
  <si>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</si>
  <si>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</si>
  <si>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</si>
  <si>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</si>
  <si>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</si>
  <si>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</si>
  <si>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</si>
  <si>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</si>
  <si>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</si>
  <si>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</si>
  <si>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</si>
  <si>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</si>
  <si>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</si>
  <si>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</si>
  <si>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</si>
  <si>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</si>
  <si>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</si>
  <si>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</si>
  <si>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</si>
  <si>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</si>
  <si>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</si>
  <si>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</si>
  <si>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</si>
  <si>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</si>
  <si>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</si>
  <si>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</si>
  <si>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</si>
  <si>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</si>
  <si>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</si>
  <si>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</si>
  <si>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</si>
  <si>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</si>
  <si>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</si>
  <si>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</si>
  <si>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</si>
  <si>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</si>
  <si>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</si>
  <si>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</si>
  <si>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</si>
  <si>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</si>
  <si>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</si>
  <si>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</si>
  <si>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</si>
  <si>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</si>
  <si>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</si>
  <si>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</si>
  <si>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</si>
  <si>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</si>
  <si>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</si>
  <si>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</si>
  <si>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</si>
  <si>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</si>
  <si>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</si>
  <si>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</si>
  <si>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</si>
  <si>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</si>
  <si>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Siberian campaign 1919: Pacifican spending</t>
  </si>
  <si>
    <t xml:space="preserve">E153</t>
  </si>
  <si>
    <t xml:space="preserve">Siberian campaign 1920: Pacifican spending</t>
  </si>
  <si>
    <t xml:space="preserve">E154</t>
  </si>
  <si>
    <t xml:space="preserve">Siberian campaign 1921: Pacifican spending</t>
  </si>
  <si>
    <t xml:space="preserve">E155</t>
  </si>
  <si>
    <t xml:space="preserve">Siberian campaign 1922: Pacifican spending</t>
  </si>
  <si>
    <t xml:space="preserve">E156</t>
  </si>
  <si>
    <t xml:space="preserve">Standing Siberian front 1924 (Pacifica's quota)</t>
  </si>
  <si>
    <t xml:space="preserve">E157</t>
  </si>
  <si>
    <t xml:space="preserve">Standing Siberian front 1925 (Pacifica's quota)</t>
  </si>
  <si>
    <t xml:space="preserve">E158</t>
  </si>
  <si>
    <t xml:space="preserve">Standing Siberian front 1926 (Pacifica's quota)</t>
  </si>
  <si>
    <t xml:space="preserve">E159</t>
  </si>
  <si>
    <t xml:space="preserve">Standing Siberian front 1927 (Pacifica's quota)</t>
  </si>
  <si>
    <t xml:space="preserve">E160</t>
  </si>
  <si>
    <t xml:space="preserve">Standing Siberian front 1928 (Pacifica's quota)</t>
  </si>
  <si>
    <t xml:space="preserve">E161</t>
  </si>
  <si>
    <t xml:space="preserve">Standing Siberian front 1929 (Pacifica's quota)</t>
  </si>
  <si>
    <t xml:space="preserve">E162</t>
  </si>
  <si>
    <t xml:space="preserve">Standing Siberian front 1930 (Pacifica's quota)</t>
  </si>
  <si>
    <t xml:space="preserve">E163</t>
  </si>
  <si>
    <t xml:space="preserve">Standing Siberian front 1931 (Pacifica's quota)</t>
  </si>
  <si>
    <t xml:space="preserve">E164</t>
  </si>
  <si>
    <t xml:space="preserve">Standing Siberian front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</si>
  <si>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</si>
  <si>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</si>
  <si>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</si>
  <si>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</si>
  <si>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</si>
  <si>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</si>
  <si>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</si>
  <si>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</si>
  <si>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</si>
  <si>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</si>
  <si>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</si>
  <si>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</si>
  <si>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</si>
  <si>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</si>
  <si>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</si>
  <si>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</si>
  <si>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</si>
  <si>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</si>
  <si>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</si>
  <si>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</si>
  <si>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</si>
  <si>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</si>
  <si>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</si>
  <si>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</si>
  <si>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</si>
  <si>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</si>
  <si>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</si>
  <si>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</si>
  <si>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</si>
  <si>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</si>
  <si>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</si>
  <si>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</si>
  <si>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</si>
  <si>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</si>
  <si>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</si>
  <si>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</si>
  <si>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</si>
  <si>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</si>
  <si>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</si>
  <si>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</si>
  <si>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</si>
  <si>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</si>
  <si>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</si>
  <si>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</si>
  <si>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</si>
  <si>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</si>
  <si>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</si>
  <si>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</si>
  <si>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</si>
  <si>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</si>
  <si>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</si>
  <si>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</si>
  <si>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</si>
  <si>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</si>
  <si>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</si>
  <si>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</si>
  <si>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</si>
  <si>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</si>
  <si>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</si>
  <si>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</si>
  <si>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</si>
  <si>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</si>
  <si>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</si>
  <si>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</si>
  <si>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</si>
  <si>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</si>
  <si>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</si>
  <si>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</si>
  <si>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</si>
  <si>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</si>
  <si>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</si>
  <si>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with descendants</t>
  </si>
  <si>
    <t xml:space="preserve">Asian talent migrants and families, with descendants</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</si>
  <si>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</si>
  <si>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</si>
  <si>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</si>
  <si>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</si>
  <si>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</si>
  <si>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</si>
  <si>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</si>
  <si>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</si>
  <si>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</si>
  <si>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</si>
  <si>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</si>
  <si>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</si>
  <si>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</si>
  <si>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</si>
  <si>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</si>
  <si>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</si>
  <si>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</si>
  <si>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</si>
  <si>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</si>
  <si>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</si>
  <si>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</si>
  <si>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</si>
  <si>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</si>
  <si>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</si>
  <si>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</si>
  <si>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</si>
  <si>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</si>
  <si>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</si>
  <si>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</si>
  <si>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</si>
  <si>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</si>
  <si>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</si>
  <si>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</si>
  <si>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</si>
  <si>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</si>
  <si>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</si>
  <si>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</si>
  <si>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</si>
  <si>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</si>
  <si>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</si>
  <si>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</si>
  <si>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</si>
  <si>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</si>
  <si>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</si>
  <si>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</si>
  <si>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</si>
  <si>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</si>
  <si>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</si>
  <si>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</si>
  <si>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</si>
  <si>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</si>
  <si>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</si>
  <si>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</si>
  <si>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</si>
  <si>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</si>
  <si>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</si>
  <si>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</si>
  <si>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</si>
  <si>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</si>
  <si>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</si>
  <si>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</si>
  <si>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</si>
  <si>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</si>
  <si>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</si>
  <si>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</si>
  <si>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</si>
  <si>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</si>
  <si>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</si>
  <si>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</si>
  <si>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</si>
  <si>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</si>
  <si>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</si>
  <si>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</si>
  <si>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</si>
  <si>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</si>
  <si>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</si>
  <si>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</si>
  <si>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</si>
  <si>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</si>
  <si>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</si>
  <si>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</si>
  <si>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</si>
  <si>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</si>
  <si>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</si>
  <si>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</si>
  <si>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</si>
  <si>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</si>
  <si>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</si>
  <si>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</si>
  <si>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</si>
  <si>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</si>
  <si>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</si>
  <si>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</si>
  <si>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</si>
  <si>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</si>
  <si>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</si>
  <si>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</si>
  <si>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</si>
  <si>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</si>
  <si>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</si>
  <si>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</si>
  <si>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</si>
  <si>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</si>
  <si>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</si>
  <si>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</si>
  <si>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</si>
  <si>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</si>
  <si>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</si>
  <si>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</si>
  <si>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</si>
  <si>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</si>
  <si>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</si>
  <si>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</si>
  <si>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</si>
  <si>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</si>
  <si>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</si>
  <si>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</si>
  <si>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</si>
  <si>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</si>
  <si>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</si>
  <si>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</si>
  <si>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</si>
  <si>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</si>
  <si>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</si>
  <si>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</si>
  <si>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</si>
  <si>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</si>
  <si>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</si>
  <si>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</si>
  <si>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</si>
  <si>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</si>
  <si>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</si>
  <si>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</si>
  <si>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</si>
  <si>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</si>
  <si>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</si>
  <si>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</si>
  <si>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</si>
  <si>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</si>
  <si>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</si>
  <si>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</si>
  <si>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</si>
  <si>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</si>
  <si>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</si>
  <si>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</si>
  <si>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</si>
  <si>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</si>
  <si>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</si>
  <si>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</si>
  <si>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</si>
  <si>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</si>
  <si>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</si>
  <si>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</si>
  <si>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</si>
  <si>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</si>
  <si>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</si>
  <si>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</si>
  <si>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</si>
  <si>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</si>
  <si>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</si>
  <si>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</si>
  <si>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</si>
  <si>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</si>
  <si>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</si>
  <si>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</si>
  <si>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</si>
  <si>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</si>
  <si>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</si>
  <si>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</si>
  <si>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</si>
  <si>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</si>
  <si>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</si>
  <si>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</si>
  <si>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</si>
  <si>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</si>
  <si>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</si>
  <si>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</si>
  <si>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</si>
  <si>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</si>
  <si>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</si>
  <si>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</si>
  <si>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</si>
  <si>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</si>
  <si>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</si>
  <si>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</si>
  <si>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</si>
  <si>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</si>
  <si>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</si>
  <si>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</si>
  <si>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</si>
  <si>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</si>
  <si>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</si>
  <si>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</si>
  <si>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</si>
  <si>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</si>
  <si>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</si>
  <si>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</si>
  <si>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</si>
  <si>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</si>
  <si>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</si>
  <si>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</si>
  <si>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</si>
  <si>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</si>
  <si>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</si>
  <si>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</si>
  <si>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</si>
  <si>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</si>
  <si>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</si>
  <si>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</si>
  <si>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</si>
  <si>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</si>
  <si>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</si>
  <si>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</si>
  <si>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</si>
  <si>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</si>
  <si>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</si>
  <si>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</si>
  <si>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</si>
  <si>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</si>
  <si>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</si>
  <si>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</si>
  <si>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</si>
  <si>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</si>
  <si>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</si>
  <si>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</si>
  <si>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</si>
  <si>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</si>
  <si>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</si>
  <si>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</si>
  <si>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</si>
  <si>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</si>
  <si>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</si>
  <si>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</si>
  <si>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</si>
  <si>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</si>
  <si>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</si>
  <si>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</si>
  <si>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</si>
  <si>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</si>
  <si>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</si>
  <si>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</si>
  <si>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</si>
  <si>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</si>
  <si>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</si>
  <si>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</si>
  <si>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</si>
  <si>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</si>
  <si>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</si>
  <si>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</si>
  <si>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</si>
  <si>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</si>
  <si>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</si>
  <si>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</si>
  <si>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</si>
  <si>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</si>
  <si>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</si>
  <si>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</si>
  <si>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</si>
  <si>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</si>
  <si>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</si>
  <si>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</si>
  <si>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</si>
  <si>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</si>
  <si>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</si>
  <si>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</si>
  <si>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</si>
  <si>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</si>
  <si>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</si>
  <si>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</si>
  <si>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</si>
  <si>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</si>
  <si>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</si>
  <si>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</si>
  <si>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</si>
  <si>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</si>
  <si>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</si>
  <si>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</si>
  <si>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</si>
  <si>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</si>
  <si>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</si>
  <si>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</si>
  <si>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</si>
  <si>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</si>
  <si>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</si>
  <si>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</si>
  <si>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</si>
  <si>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</si>
  <si>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</si>
  <si>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</si>
  <si>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</si>
  <si>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</si>
  <si>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</si>
  <si>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</si>
  <si>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</si>
  <si>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</si>
  <si>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</si>
  <si>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</si>
  <si>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</si>
  <si>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</si>
  <si>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</si>
  <si>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</si>
  <si>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</si>
  <si>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</si>
  <si>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</si>
  <si>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</si>
  <si>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</si>
  <si>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</si>
  <si>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</si>
  <si>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</si>
  <si>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</si>
  <si>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</si>
  <si>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</si>
  <si>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</si>
  <si>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</si>
  <si>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</si>
  <si>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</si>
  <si>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</si>
  <si>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</si>
  <si>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</si>
  <si>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</si>
  <si>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</si>
  <si>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</si>
  <si>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</si>
  <si>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</si>
  <si>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</si>
  <si>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</si>
  <si>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</si>
  <si>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</si>
  <si>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</si>
  <si>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</si>
  <si>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</si>
  <si>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</si>
  <si>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</si>
  <si>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</si>
  <si>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</si>
  <si>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</si>
  <si>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</si>
  <si>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</si>
  <si>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</si>
  <si>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</si>
  <si>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</si>
  <si>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</si>
  <si>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</si>
  <si>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</si>
  <si>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</si>
  <si>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</si>
  <si>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</si>
  <si>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</si>
  <si>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</si>
  <si>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</si>
  <si>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</si>
  <si>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</si>
  <si>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</si>
  <si>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</si>
  <si>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</si>
  <si>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</si>
  <si>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</si>
  <si>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</si>
  <si>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</si>
  <si>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</si>
  <si>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</si>
  <si>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</si>
  <si>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</si>
  <si>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</si>
  <si>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</si>
  <si>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</si>
  <si>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</si>
  <si>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</si>
  <si>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</si>
  <si>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</si>
  <si>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</si>
  <si>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</si>
  <si>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</si>
  <si>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</si>
  <si>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</si>
  <si>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</si>
  <si>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</si>
  <si>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</si>
  <si>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</si>
  <si>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</si>
  <si>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</si>
  <si>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</si>
  <si>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</si>
  <si>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</si>
  <si>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</si>
  <si>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</si>
  <si>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</si>
  <si>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</si>
  <si>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</si>
  <si>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</si>
  <si>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</si>
  <si>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</si>
  <si>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</si>
  <si>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</si>
  <si>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</si>
  <si>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</si>
  <si>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</si>
  <si>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</si>
  <si>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</si>
  <si>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</si>
  <si>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</si>
  <si>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</si>
  <si>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</si>
  <si>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</si>
  <si>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</si>
  <si>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</si>
  <si>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</si>
  <si>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</si>
  <si>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</si>
  <si>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</si>
  <si>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</si>
  <si>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</si>
  <si>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</si>
  <si>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</si>
  <si>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troops by quarter, their daily supply, the tonnage on each of the four railway sections, the train paths, locomotives, wagons, port and ships that carry it, and what it costs. Whole years from 1923 are the standing front,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</si>
  <si>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</si>
  <si>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</si>
  <si>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</si>
  <si>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</si>
  <si>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</si>
  <si>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</si>
  <si>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</si>
  <si>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</si>
  <si>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</si>
  <si>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</si>
  <si>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</si>
  <si>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</si>
  <si>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</si>
  <si>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</si>
  <si>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</si>
  <si>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</si>
  <si>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</si>
  <si>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</si>
  <si>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</si>
  <si>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</si>
  <si>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</si>
  <si>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Siberian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</si>
  <si>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</si>
  <si>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</si>
  <si>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</si>
  <si>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</si>
  <si>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</si>
  <si>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</si>
  <si>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</si>
  <si>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</si>
  <si>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</si>
  <si>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</si>
  <si>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</si>
  <si>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</si>
  <si>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</si>
  <si>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</si>
  <si>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</si>
  <si>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</si>
  <si>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</si>
  <si>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</si>
  <si>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</si>
  <si>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</si>
  <si>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</si>
  <si>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</si>
  <si>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</si>
  <si>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</si>
  <si>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</si>
  <si>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</si>
  <si>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</si>
  <si>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</si>
  <si>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</si>
  <si>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</si>
  <si>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</si>
  <si>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</si>
  <si>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</si>
  <si>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</si>
  <si>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</si>
  <si>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</si>
  <si>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</si>
  <si>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</si>
  <si>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</si>
  <si>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</si>
  <si>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</si>
  <si>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</si>
  <si>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</si>
  <si>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</si>
  <si>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</si>
  <si>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</si>
  <si>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</si>
  <si>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</si>
  <si>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</si>
  <si>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</si>
  <si>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</si>
  <si>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</si>
  <si>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</si>
  <si>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</si>
  <si>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</si>
  <si>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</si>
  <si>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</si>
  <si>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</si>
  <si>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</si>
  <si>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</si>
  <si>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</si>
  <si>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</si>
  <si>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</si>
  <si>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</si>
  <si>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</si>
  <si>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</si>
  <si>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</si>
  <si>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</si>
  <si>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</si>
  <si>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</si>
  <si>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</si>
  <si>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</si>
  <si>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</si>
  <si>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</si>
  <si>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</si>
  <si>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</si>
  <si>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</si>
  <si>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</si>
  <si>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</si>
  <si>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</si>
  <si>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</si>
  <si>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</si>
  <si>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</si>
  <si>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</si>
  <si>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</si>
  <si>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</si>
  <si>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</si>
  <si>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</si>
  <si>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</si>
  <si>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</si>
  <si>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</si>
  <si>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</si>
  <si>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</si>
  <si>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</si>
  <si>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</si>
  <si>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</si>
  <si>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</si>
  <si>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</si>
  <si>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</si>
  <si>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</si>
  <si>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</si>
  <si>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</si>
  <si>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</si>
  <si>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</si>
  <si>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</si>
  <si>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</si>
  <si>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</si>
  <si>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</si>
  <si>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</si>
  <si>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</si>
  <si>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1918 Q3</t>
  </si>
  <si>
    <t xml:space="preserve">Czechoslovak rising holds the line; Japan lands; first trains west</t>
  </si>
  <si>
    <t xml:space="preserve">1918 Q4</t>
  </si>
  <si>
    <t xml:space="preserve">Coalition command formed; Pacifican railway board west of Chita</t>
  </si>
  <si>
    <t xml:space="preserve">1919 Q1</t>
  </si>
  <si>
    <t xml:space="preserve">Works season stopped by frost; repair shops at Irkutsk and Krasnoyarsk</t>
  </si>
  <si>
    <t xml:space="preserve">1919 Q2</t>
  </si>
  <si>
    <t xml:space="preserve">Thaw; passing loops and water towers on the Transbaikal line</t>
  </si>
  <si>
    <t xml:space="preserve">1919 Q3</t>
  </si>
  <si>
    <t xml:space="preserve">Build-up behind the Ob; Omsk government still fighting west of it</t>
  </si>
  <si>
    <t xml:space="preserve">1919 Q4</t>
  </si>
  <si>
    <t xml:space="preserve">Omsk falls; coalition takes the Ob position; retreat traffic east</t>
  </si>
  <si>
    <t xml:space="preserve">1920 Q1</t>
  </si>
  <si>
    <t xml:space="preserve">Red attack across the frozen Ob defeated at Novonikolayevsk</t>
  </si>
  <si>
    <t xml:space="preserve">1920 Q2</t>
  </si>
  <si>
    <t xml:space="preserve">Thaw; Czechoslovak Legion leaves by sea</t>
  </si>
  <si>
    <t xml:space="preserve">1920 Q3</t>
  </si>
  <si>
    <t xml:space="preserve">Front stabilises on the Ob</t>
  </si>
  <si>
    <t xml:space="preserve">1920 Q4</t>
  </si>
  <si>
    <t xml:space="preserve">Second winter on the Ob</t>
  </si>
  <si>
    <t xml:space="preserve">1921 Q1</t>
  </si>
  <si>
    <t xml:space="preserve">Partisan war behind the line</t>
  </si>
  <si>
    <t xml:space="preserve">1921 Q2</t>
  </si>
  <si>
    <t xml:space="preserve">Altai partisan campaign</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</si>
  <si>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</si>
  <si>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</si>
  <si>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</si>
  <si>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</si>
  <si>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</si>
  <si>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</si>
  <si>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</si>
  <si>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</si>
  <si>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</si>
  <si>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</si>
  <si>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</si>
  <si>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Standing front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</si>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</sst>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0">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0"/>
    <numFmt numFmtId="181" formatCode="#,##0.00;\(#,##0.00\);\-"/>
    <numFmt numFmtId="182" formatCode="&quot;Month &quot;0"/>
    <numFmt numFmtId="183" formatCode="[&gt;=0.005]#,##0.00;[&lt;=-0.005]\(#,##0.00\);&quot;0.00&quot;"/>
  </numFmts>
  <fonts count="34">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1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5" fillId="0" borderId="0" xfId="20" applyFont="true" applyBorder="false" applyAlignment="true" applyProtection="true">
      <alignment horizontal="general" vertical="bottom" textRotation="0" wrapText="false" indent="0" shrinkToFit="false"/>
      <protection locked="true" hidden="false"/>
    </xf>
    <xf numFmtId="164" fontId="6" fillId="0" borderId="0" xfId="20" applyFont="true" applyBorder="false" applyAlignment="true" applyProtection="true">
      <alignment horizontal="general" vertical="bottom" textRotation="0" wrapText="false" indent="0" shrinkToFit="false"/>
      <protection locked="true" hidden="false"/>
    </xf>
    <xf numFmtId="164" fontId="7" fillId="0" borderId="0" xfId="20" applyFont="true" applyBorder="false" applyAlignment="true" applyProtection="true">
      <alignment horizontal="general" vertical="bottom" textRotation="0" wrapText="false" indent="0" shrinkToFit="false"/>
      <protection locked="true" hidden="false"/>
    </xf>
    <xf numFmtId="164" fontId="8" fillId="2" borderId="0" xfId="20" applyFont="true" applyBorder="false" applyAlignment="true" applyProtection="true">
      <alignment horizontal="left" vertical="bottom" textRotation="0" wrapText="false" indent="0" shrinkToFit="false"/>
      <protection locked="true" hidden="false"/>
    </xf>
    <xf numFmtId="164" fontId="8" fillId="2" borderId="0" xfId="20" applyFont="true" applyBorder="false" applyAlignment="true" applyProtection="true">
      <alignment horizontal="center" vertical="center" textRotation="0" wrapText="true" indent="0" shrinkToFit="false"/>
      <protection locked="true" hidden="false"/>
    </xf>
    <xf numFmtId="164" fontId="9" fillId="3" borderId="0" xfId="20" applyFont="true" applyBorder="false" applyAlignment="true" applyProtection="true">
      <alignment horizontal="general" vertical="bottom" textRotation="0" wrapText="false" indent="0" shrinkToFit="false"/>
      <protection locked="true" hidden="false"/>
    </xf>
    <xf numFmtId="164" fontId="0" fillId="3" borderId="0" xfId="20" applyFont="true" applyBorder="false" applyAlignment="true" applyProtection="true">
      <alignment horizontal="general" vertical="bottom" textRotation="0" wrapText="false" indent="0" shrinkToFit="false"/>
      <protection locked="true" hidden="false"/>
    </xf>
    <xf numFmtId="164" fontId="10" fillId="0" borderId="0" xfId="20" applyFont="true" applyBorder="false" applyAlignment="true" applyProtection="true">
      <alignment horizontal="general" vertical="bottom" textRotation="0" wrapText="false" indent="0" shrinkToFit="false"/>
      <protection locked="true" hidden="false"/>
    </xf>
    <xf numFmtId="165" fontId="11" fillId="0" borderId="1" xfId="20" applyFont="true" applyBorder="true" applyAlignment="true" applyProtection="true">
      <alignment horizontal="general" vertical="bottom" textRotation="0" wrapText="false" indent="0" shrinkToFit="false"/>
      <protection locked="true" hidden="false"/>
    </xf>
    <xf numFmtId="166" fontId="11" fillId="0" borderId="1" xfId="20" applyFont="true" applyBorder="true" applyAlignment="true" applyProtection="true">
      <alignment horizontal="general" vertical="bottom" textRotation="0" wrapText="false" indent="0" shrinkToFit="false"/>
      <protection locked="true" hidden="false"/>
    </xf>
    <xf numFmtId="167" fontId="11" fillId="0" borderId="1" xfId="20" applyFont="true" applyBorder="true" applyAlignment="true" applyProtection="true">
      <alignment horizontal="general" vertical="bottom" textRotation="0" wrapText="false" indent="0" shrinkToFit="false"/>
      <protection locked="true" hidden="false"/>
    </xf>
    <xf numFmtId="168" fontId="11" fillId="0" borderId="1" xfId="20" applyFont="true" applyBorder="true" applyAlignment="true" applyProtection="true">
      <alignment horizontal="general" vertical="bottom" textRotation="0" wrapText="false" indent="0" shrinkToFit="false"/>
      <protection locked="true" hidden="false"/>
    </xf>
    <xf numFmtId="169" fontId="11" fillId="0" borderId="1" xfId="20" applyFont="true" applyBorder="true" applyAlignment="true" applyProtection="true">
      <alignment horizontal="general" vertical="bottom" textRotation="0" wrapText="false" indent="0" shrinkToFit="false"/>
      <protection locked="true" hidden="false"/>
    </xf>
    <xf numFmtId="170" fontId="11" fillId="0" borderId="1" xfId="20" applyFont="true" applyBorder="true" applyAlignment="true" applyProtection="true">
      <alignment horizontal="general" vertical="bottom" textRotation="0" wrapText="false" indent="0" shrinkToFit="false"/>
      <protection locked="true" hidden="false"/>
    </xf>
    <xf numFmtId="168" fontId="11" fillId="0" borderId="0" xfId="20" applyFont="true" applyBorder="false" applyAlignment="true" applyProtection="true">
      <alignment horizontal="general" vertical="bottom" textRotation="0" wrapText="false" indent="0" shrinkToFit="false"/>
      <protection locked="true" hidden="false"/>
    </xf>
    <xf numFmtId="164" fontId="12" fillId="0" borderId="0" xfId="20" applyFont="true" applyBorder="false" applyAlignment="true" applyProtection="true">
      <alignment horizontal="general" vertical="bottom" textRotation="0" wrapText="false" indent="0" shrinkToFit="false"/>
      <protection locked="true" hidden="false"/>
    </xf>
    <xf numFmtId="164" fontId="16" fillId="0" borderId="0" xfId="20" applyFont="true" applyBorder="false" applyAlignment="true" applyProtection="true">
      <alignment horizontal="general" vertical="bottom" textRotation="0" wrapText="false" indent="0" shrinkToFit="false"/>
      <protection locked="true" hidden="false"/>
    </xf>
    <xf numFmtId="164" fontId="17" fillId="0" borderId="0" xfId="20" applyFont="true" applyBorder="false" applyAlignment="true" applyProtection="true">
      <alignment horizontal="general" vertical="bottom" textRotation="0" wrapText="false" indent="0" shrinkToFit="false"/>
      <protection locked="true" hidden="false"/>
    </xf>
    <xf numFmtId="165" fontId="18" fillId="0" borderId="0" xfId="20" applyFont="true" applyBorder="false" applyAlignment="true" applyProtection="true">
      <alignment horizontal="general" vertical="bottom" textRotation="0" wrapText="false" indent="0" shrinkToFit="false"/>
      <protection locked="true" hidden="false"/>
    </xf>
    <xf numFmtId="165" fontId="11" fillId="0" borderId="0" xfId="20" applyFont="true" applyBorder="false" applyAlignment="true" applyProtection="true">
      <alignment horizontal="general" vertical="bottom" textRotation="0" wrapText="false" indent="0" shrinkToFit="false"/>
      <protection locked="true" hidden="false"/>
    </xf>
    <xf numFmtId="165" fontId="0" fillId="0" borderId="0" xfId="20" applyFont="true" applyBorder="false" applyAlignment="true" applyProtection="true">
      <alignment horizontal="general" vertical="bottom" textRotation="0" wrapText="false" indent="0" shrinkToFit="false"/>
      <protection locked="true" hidden="false"/>
    </xf>
    <xf numFmtId="164" fontId="19" fillId="0" borderId="0" xfId="20" applyFont="true" applyBorder="false" applyAlignment="true" applyProtection="true">
      <alignment horizontal="general" vertical="top" textRotation="0" wrapText="true" indent="0" shrinkToFit="false"/>
      <protection locked="true" hidden="false"/>
    </xf>
    <xf numFmtId="167" fontId="18" fillId="0" borderId="0" xfId="20" applyFont="true" applyBorder="false" applyAlignment="true" applyProtection="true">
      <alignment horizontal="general" vertical="bottom" textRotation="0" wrapText="false" indent="0" shrinkToFit="false"/>
      <protection locked="true" hidden="false"/>
    </xf>
    <xf numFmtId="167" fontId="11" fillId="0" borderId="0" xfId="20" applyFont="true" applyBorder="false" applyAlignment="true" applyProtection="true">
      <alignment horizontal="general" vertical="bottom" textRotation="0" wrapText="fals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1" fillId="4" borderId="0" xfId="20" applyFont="true" applyBorder="false" applyAlignment="true" applyProtection="true">
      <alignment horizontal="center" vertical="bottom" textRotation="0" wrapText="false" indent="0" shrinkToFit="false"/>
      <protection locked="true" hidden="false"/>
    </xf>
    <xf numFmtId="164" fontId="8" fillId="2" borderId="0" xfId="20" applyFont="true" applyBorder="false" applyAlignment="true" applyProtection="true">
      <alignment horizontal="general" vertical="center" textRotation="0" wrapText="true" indent="0" shrinkToFit="false"/>
      <protection locked="true" hidden="false"/>
    </xf>
    <xf numFmtId="174" fontId="18" fillId="5" borderId="0" xfId="20" applyFont="true" applyBorder="false" applyAlignment="true" applyProtection="true">
      <alignment horizontal="general" vertical="bottom" textRotation="0" wrapText="false" indent="0" shrinkToFit="false"/>
      <protection locked="true" hidden="false"/>
    </xf>
    <xf numFmtId="174" fontId="6" fillId="0" borderId="0" xfId="20" applyFont="true" applyBorder="false" applyAlignment="true" applyProtection="true">
      <alignment horizontal="general" vertical="bottom" textRotation="0" wrapText="false" indent="0" shrinkToFit="false"/>
      <protection locked="true" hidden="false"/>
    </xf>
    <xf numFmtId="165" fontId="18" fillId="4" borderId="0" xfId="20" applyFont="true" applyBorder="false" applyAlignment="true" applyProtection="true">
      <alignment horizontal="general" vertical="bottom" textRotation="0" wrapText="false" indent="0" shrinkToFit="false"/>
      <protection locked="true" hidden="false"/>
    </xf>
    <xf numFmtId="165" fontId="6" fillId="0" borderId="0" xfId="20" applyFont="true" applyBorder="false" applyAlignment="true" applyProtection="true">
      <alignment horizontal="general" vertical="bottom" textRotation="0" wrapText="false" indent="0" shrinkToFit="false"/>
      <protection locked="true" hidden="false"/>
    </xf>
    <xf numFmtId="169" fontId="18" fillId="5" borderId="0" xfId="20" applyFont="true" applyBorder="false" applyAlignment="true" applyProtection="true">
      <alignment horizontal="general" vertical="bottom" textRotation="0" wrapText="false" indent="0" shrinkToFit="false"/>
      <protection locked="true" hidden="false"/>
    </xf>
    <xf numFmtId="169" fontId="6" fillId="0" borderId="0" xfId="20" applyFont="true" applyBorder="false" applyAlignment="true" applyProtection="true">
      <alignment horizontal="general" vertical="bottom" textRotation="0" wrapText="false" indent="0" shrinkToFit="false"/>
      <protection locked="true" hidden="false"/>
    </xf>
    <xf numFmtId="165" fontId="18" fillId="5" borderId="0" xfId="20" applyFont="true" applyBorder="false" applyAlignment="true" applyProtection="true">
      <alignment horizontal="general" vertical="bottom" textRotation="0" wrapText="false" indent="0" shrinkToFit="false"/>
      <protection locked="true" hidden="false"/>
    </xf>
    <xf numFmtId="174" fontId="18" fillId="4" borderId="0" xfId="20" applyFont="true" applyBorder="false" applyAlignment="true" applyProtection="true">
      <alignment horizontal="general" vertical="bottom" textRotation="0" wrapText="false" indent="0" shrinkToFit="false"/>
      <protection locked="true" hidden="false"/>
    </xf>
    <xf numFmtId="169" fontId="18" fillId="4" borderId="0" xfId="20" applyFont="true" applyBorder="false" applyAlignment="true" applyProtection="true">
      <alignment horizontal="general" vertical="bottom" textRotation="0" wrapText="false" indent="0" shrinkToFit="false"/>
      <protection locked="true" hidden="false"/>
    </xf>
    <xf numFmtId="175" fontId="18" fillId="5" borderId="0" xfId="20" applyFont="true" applyBorder="false" applyAlignment="true" applyProtection="true">
      <alignment horizontal="general" vertical="bottom" textRotation="0" wrapText="false" indent="0" shrinkToFit="false"/>
      <protection locked="true" hidden="false"/>
    </xf>
    <xf numFmtId="175" fontId="6" fillId="0" borderId="0" xfId="20" applyFont="true" applyBorder="false" applyAlignment="true" applyProtection="true">
      <alignment horizontal="general" vertical="bottom" textRotation="0" wrapText="false" indent="0" shrinkToFit="false"/>
      <protection locked="true" hidden="false"/>
    </xf>
    <xf numFmtId="170" fontId="18" fillId="4" borderId="0" xfId="20" applyFont="true" applyBorder="false" applyAlignment="true" applyProtection="true">
      <alignment horizontal="general" vertical="bottom" textRotation="0" wrapText="false" indent="0" shrinkToFit="false"/>
      <protection locked="true" hidden="false"/>
    </xf>
    <xf numFmtId="170" fontId="6" fillId="0" borderId="0" xfId="20" applyFont="true" applyBorder="false" applyAlignment="true" applyProtection="true">
      <alignment horizontal="general" vertical="bottom" textRotation="0" wrapText="false" indent="0" shrinkToFit="false"/>
      <protection locked="true" hidden="false"/>
    </xf>
    <xf numFmtId="170" fontId="18" fillId="5" borderId="0" xfId="20" applyFont="true" applyBorder="false" applyAlignment="true" applyProtection="true">
      <alignment horizontal="general" vertical="bottom" textRotation="0" wrapText="false" indent="0" shrinkToFit="false"/>
      <protection locked="true" hidden="false"/>
    </xf>
    <xf numFmtId="175" fontId="18" fillId="4" borderId="0" xfId="20" applyFont="true" applyBorder="false" applyAlignment="true" applyProtection="true">
      <alignment horizontal="general" vertical="bottom" textRotation="0" wrapText="false" indent="0" shrinkToFit="false"/>
      <protection locked="true" hidden="false"/>
    </xf>
    <xf numFmtId="164" fontId="8" fillId="2" borderId="0" xfId="20" applyFont="true" applyBorder="false" applyAlignment="true" applyProtection="true">
      <alignment horizontal="general" vertical="bottom" textRotation="0" wrapText="false" indent="0" shrinkToFit="false"/>
      <protection locked="true" hidden="false"/>
    </xf>
    <xf numFmtId="171" fontId="18" fillId="0" borderId="0" xfId="20" applyFont="true" applyBorder="false" applyAlignment="true" applyProtection="true">
      <alignment horizontal="general" vertical="bottom" textRotation="0" wrapText="false" indent="0" shrinkToFit="false"/>
      <protection locked="true" hidden="false"/>
    </xf>
    <xf numFmtId="176" fontId="18" fillId="0" borderId="0" xfId="20" applyFont="true" applyBorder="false" applyAlignment="true" applyProtection="true">
      <alignment horizontal="general" vertical="bottom" textRotation="0" wrapText="false" indent="0" shrinkToFit="false"/>
      <protection locked="true" hidden="false"/>
    </xf>
    <xf numFmtId="171" fontId="10" fillId="0" borderId="0" xfId="20" applyFont="true" applyBorder="false" applyAlignment="true" applyProtection="true">
      <alignment horizontal="general" vertical="bottom" textRotation="0" wrapText="false" indent="0" shrinkToFit="false"/>
      <protection locked="true" hidden="false"/>
    </xf>
    <xf numFmtId="177" fontId="19" fillId="0" borderId="0" xfId="20" applyFont="true" applyBorder="false" applyAlignment="true" applyProtection="true">
      <alignment horizontal="general" vertical="bottom" textRotation="0" wrapText="false" indent="0" shrinkToFit="false"/>
      <protection locked="true" hidden="false"/>
    </xf>
    <xf numFmtId="177" fontId="19" fillId="0" borderId="0" xfId="20" applyFont="true" applyBorder="false" applyAlignment="true" applyProtection="true">
      <alignment horizontal="general" vertical="top" textRotation="0" wrapText="true" indent="0" shrinkToFit="false"/>
      <protection locked="true" hidden="false"/>
    </xf>
    <xf numFmtId="177"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20" applyFont="true" applyBorder="false" applyAlignment="true" applyProtection="true">
      <alignment horizontal="general" vertical="bottom" textRotation="0" wrapText="false" indent="0" shrinkToFit="false"/>
      <protection locked="true" hidden="false"/>
    </xf>
    <xf numFmtId="173" fontId="18" fillId="0" borderId="0" xfId="20" applyFont="true" applyBorder="false" applyAlignment="true" applyProtection="true">
      <alignment horizontal="general" vertical="bottom" textRotation="0" wrapText="false" indent="0" shrinkToFit="false"/>
      <protection locked="true" hidden="false"/>
    </xf>
    <xf numFmtId="173" fontId="10" fillId="0" borderId="0" xfId="20" applyFont="true" applyBorder="false" applyAlignment="true" applyProtection="true">
      <alignment horizontal="general" vertical="bottom" textRotation="0" wrapText="false" indent="0" shrinkToFit="false"/>
      <protection locked="true" hidden="false"/>
    </xf>
    <xf numFmtId="164" fontId="19" fillId="0" borderId="0" xfId="20" applyFont="true" applyBorder="false" applyAlignment="true" applyProtection="true">
      <alignment horizontal="general" vertical="bottom" textRotation="0" wrapText="false" indent="0" shrinkToFit="false"/>
      <protection locked="true" hidden="false"/>
    </xf>
    <xf numFmtId="164" fontId="9" fillId="3" borderId="0" xfId="20" applyFont="true" applyBorder="true" applyAlignment="true" applyProtection="true">
      <alignment horizontal="center" vertical="bottom" textRotation="0" wrapText="false" indent="0" shrinkToFit="false"/>
      <protection locked="true" hidden="false"/>
    </xf>
    <xf numFmtId="164" fontId="9" fillId="3" borderId="0" xfId="20" applyFont="true" applyBorder="false" applyAlignment="true" applyProtection="true">
      <alignment horizontal="center" vertical="bottom" textRotation="0" wrapText="false" indent="0" shrinkToFit="false"/>
      <protection locked="true" hidden="false"/>
    </xf>
    <xf numFmtId="164" fontId="8" fillId="2" borderId="0" xfId="20" applyFont="true" applyBorder="false" applyAlignment="true" applyProtection="true">
      <alignment horizontal="center" vertical="center" textRotation="0" wrapText="false" indent="0" shrinkToFit="false"/>
      <protection locked="true" hidden="false"/>
    </xf>
    <xf numFmtId="170" fontId="6" fillId="6" borderId="0" xfId="20" applyFont="true" applyBorder="false" applyAlignment="true" applyProtection="true">
      <alignment horizontal="general" vertical="bottom" textRotation="0" wrapText="false" indent="0" shrinkToFit="false"/>
      <protection locked="true" hidden="false"/>
    </xf>
    <xf numFmtId="172" fontId="18" fillId="0" borderId="0" xfId="20" applyFont="true" applyBorder="false" applyAlignment="true" applyProtection="true">
      <alignment horizontal="general" vertical="bottom" textRotation="0" wrapText="false" indent="0" shrinkToFit="false"/>
      <protection locked="true" hidden="false"/>
    </xf>
    <xf numFmtId="178" fontId="18" fillId="0" borderId="0" xfId="20" applyFont="true" applyBorder="false" applyAlignment="true" applyProtection="true">
      <alignment horizontal="general" vertical="bottom" textRotation="0" wrapText="false" indent="0" shrinkToFit="false"/>
      <protection locked="true" hidden="false"/>
    </xf>
    <xf numFmtId="170" fontId="6" fillId="7" borderId="0" xfId="20" applyFont="true" applyBorder="false" applyAlignment="true" applyProtection="true">
      <alignment horizontal="general" vertical="bottom" textRotation="0" wrapText="false" indent="0" shrinkToFit="false"/>
      <protection locked="true" hidden="false"/>
    </xf>
    <xf numFmtId="171" fontId="11" fillId="0" borderId="0" xfId="20" applyFont="true" applyBorder="false" applyAlignment="true" applyProtection="true">
      <alignment horizontal="general" vertical="bottom" textRotation="0" wrapText="false" indent="0" shrinkToFit="false"/>
      <protection locked="true" hidden="false"/>
    </xf>
    <xf numFmtId="172" fontId="10" fillId="0" borderId="0" xfId="20" applyFont="true" applyBorder="false" applyAlignment="true" applyProtection="true">
      <alignment horizontal="general" vertical="bottom" textRotation="0" wrapText="false" indent="0" shrinkToFit="false"/>
      <protection locked="true" hidden="false"/>
    </xf>
    <xf numFmtId="178" fontId="10" fillId="0" borderId="0" xfId="20" applyFont="true" applyBorder="false" applyAlignment="true" applyProtection="true">
      <alignment horizontal="general" vertical="bottom" textRotation="0" wrapText="false" indent="0" shrinkToFit="false"/>
      <protection locked="true" hidden="false"/>
    </xf>
    <xf numFmtId="176" fontId="10" fillId="0" borderId="0" xfId="20" applyFont="true" applyBorder="false" applyAlignment="true" applyProtection="true">
      <alignment horizontal="general" vertical="bottom" textRotation="0" wrapText="false" indent="0" shrinkToFit="false"/>
      <protection locked="true" hidden="false"/>
    </xf>
    <xf numFmtId="178" fontId="11" fillId="0" borderId="0" xfId="20" applyFont="true" applyBorder="false" applyAlignment="true" applyProtection="true">
      <alignment horizontal="general" vertical="bottom" textRotation="0" wrapText="false" indent="0" shrinkToFit="false"/>
      <protection locked="true" hidden="false"/>
    </xf>
    <xf numFmtId="179" fontId="10" fillId="0" borderId="0" xfId="20" applyFont="true" applyBorder="false" applyAlignment="true" applyProtection="true">
      <alignment horizontal="general" vertical="bottom" textRotation="0" wrapText="false" indent="0" shrinkToFit="false"/>
      <protection locked="true" hidden="false"/>
    </xf>
    <xf numFmtId="179" fontId="18" fillId="0" borderId="0" xfId="20" applyFont="true" applyBorder="false" applyAlignment="true" applyProtection="true">
      <alignment horizontal="general" vertical="bottom" textRotation="0" wrapText="false" indent="0" shrinkToFit="false"/>
      <protection locked="true" hidden="false"/>
    </xf>
    <xf numFmtId="173" fontId="11" fillId="0" borderId="0" xfId="20" applyFont="true" applyBorder="false" applyAlignment="true" applyProtection="true">
      <alignment horizontal="general" vertical="bottom" textRotation="0" wrapText="false" indent="0" shrinkToFit="false"/>
      <protection locked="true" hidden="false"/>
    </xf>
    <xf numFmtId="164" fontId="23" fillId="8" borderId="0" xfId="20" applyFont="true" applyBorder="false" applyAlignment="true" applyProtection="true">
      <alignment horizontal="general" vertical="bottom" textRotation="0" wrapText="true" indent="0" shrinkToFit="false"/>
      <protection locked="true" hidden="false"/>
    </xf>
    <xf numFmtId="173" fontId="0" fillId="0" borderId="0" xfId="20" applyFont="true" applyBorder="false" applyAlignment="true" applyProtection="true">
      <alignment horizontal="general" vertical="bottom"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xf numFmtId="164" fontId="24" fillId="8" borderId="0" xfId="20" applyFont="true" applyBorder="false" applyAlignment="true" applyProtection="true">
      <alignment horizontal="general" vertical="bottom" textRotation="0" wrapText="true" indent="0" shrinkToFit="false"/>
      <protection locked="true" hidden="false"/>
    </xf>
    <xf numFmtId="176" fontId="11" fillId="0" borderId="0" xfId="20" applyFont="true" applyBorder="false" applyAlignment="true" applyProtection="true">
      <alignment horizontal="general" vertical="bottom" textRotation="0" wrapText="false" indent="0" shrinkToFit="false"/>
      <protection locked="true" hidden="false"/>
    </xf>
    <xf numFmtId="173" fontId="25" fillId="0" borderId="0" xfId="2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70" fontId="8" fillId="2" borderId="0" xfId="20" applyFont="true" applyBorder="false" applyAlignment="true" applyProtection="true">
      <alignment horizontal="center" vertical="center" textRotation="0" wrapText="true" indent="0" shrinkToFit="false"/>
      <protection locked="true" hidden="false"/>
    </xf>
    <xf numFmtId="168" fontId="6" fillId="0" borderId="0" xfId="20" applyFont="true" applyBorder="false" applyAlignment="true" applyProtection="true">
      <alignment horizontal="general" vertical="bottom" textRotation="0" wrapText="false" indent="0" shrinkToFit="false"/>
      <protection locked="true" hidden="false"/>
    </xf>
    <xf numFmtId="168" fontId="10" fillId="0" borderId="0" xfId="20" applyFont="true" applyBorder="false" applyAlignment="true" applyProtection="true">
      <alignment horizontal="general" vertical="bottom" textRotation="0" wrapText="false" indent="0" shrinkToFit="false"/>
      <protection locked="true" hidden="false"/>
    </xf>
    <xf numFmtId="165" fontId="10" fillId="0" borderId="0" xfId="20" applyFont="true" applyBorder="false" applyAlignment="true" applyProtection="true">
      <alignment horizontal="general" vertical="bottom" textRotation="0" wrapText="false" indent="0" shrinkToFit="false"/>
      <protection locked="true" hidden="false"/>
    </xf>
    <xf numFmtId="168" fontId="18" fillId="0" borderId="0" xfId="20" applyFont="true" applyBorder="false" applyAlignment="true" applyProtection="true">
      <alignment horizontal="general" vertical="bottom" textRotation="0" wrapText="false" indent="0" shrinkToFit="false"/>
      <protection locked="true" hidden="false"/>
    </xf>
    <xf numFmtId="169" fontId="18" fillId="0" borderId="0" xfId="20" applyFont="true" applyBorder="false" applyAlignment="true" applyProtection="true">
      <alignment horizontal="general" vertical="bottom" textRotation="0" wrapText="false" indent="0" shrinkToFit="false"/>
      <protection locked="true" hidden="false"/>
    </xf>
    <xf numFmtId="169" fontId="11" fillId="0" borderId="0" xfId="20" applyFont="true" applyBorder="false" applyAlignment="true" applyProtection="true">
      <alignment horizontal="general" vertical="bottom" textRotation="0" wrapText="false" indent="0" shrinkToFit="false"/>
      <protection locked="true" hidden="false"/>
    </xf>
    <xf numFmtId="170" fontId="11" fillId="0" borderId="0" xfId="20" applyFont="true" applyBorder="false" applyAlignment="true" applyProtection="true">
      <alignment horizontal="general" vertical="bottom" textRotation="0" wrapText="false" indent="0" shrinkToFit="false"/>
      <protection locked="true" hidden="false"/>
    </xf>
    <xf numFmtId="177" fontId="10" fillId="0" borderId="0" xfId="20" applyFont="true" applyBorder="false" applyAlignment="true" applyProtection="true">
      <alignment horizontal="general" vertical="bottom" textRotation="0" wrapText="false" indent="0" shrinkToFit="false"/>
      <protection locked="true" hidden="false"/>
    </xf>
    <xf numFmtId="172" fontId="11" fillId="0" borderId="0" xfId="20" applyFont="true" applyBorder="false" applyAlignment="true" applyProtection="true">
      <alignment horizontal="general" vertical="bottom" textRotation="0" wrapText="false" indent="0" shrinkToFit="false"/>
      <protection locked="true" hidden="false"/>
    </xf>
    <xf numFmtId="164" fontId="27" fillId="0" borderId="0" xfId="20" applyFont="true" applyBorder="false" applyAlignment="true" applyProtection="true">
      <alignment horizontal="general" vertical="bottom" textRotation="0" wrapText="false" indent="0" shrinkToFit="false"/>
      <protection locked="true" hidden="false"/>
    </xf>
    <xf numFmtId="164" fontId="28" fillId="0" borderId="0" xfId="20" applyFont="true" applyBorder="false" applyAlignment="true" applyProtection="true">
      <alignment horizontal="general" vertical="bottom" textRotation="0" wrapText="false" indent="0" shrinkToFit="false"/>
      <protection locked="true" hidden="false"/>
    </xf>
    <xf numFmtId="164" fontId="29" fillId="0" borderId="0" xfId="20" applyFont="true" applyBorder="false" applyAlignment="true" applyProtection="true">
      <alignment horizontal="general" vertical="bottom" textRotation="0" wrapText="false" indent="0" shrinkToFit="false"/>
      <protection locked="true" hidden="false"/>
    </xf>
    <xf numFmtId="164" fontId="30" fillId="0" borderId="0" xfId="20" applyFont="true" applyBorder="false" applyAlignment="true" applyProtection="true">
      <alignment horizontal="general" vertical="bottom" textRotation="0" wrapText="false" indent="0" shrinkToFit="false"/>
      <protection locked="true" hidden="false"/>
    </xf>
    <xf numFmtId="181" fontId="28" fillId="0" borderId="0" xfId="20" applyFont="true" applyBorder="false" applyAlignment="true" applyProtection="true">
      <alignment horizontal="general" vertical="bottom" textRotation="0" wrapText="false" indent="0" shrinkToFit="false"/>
      <protection locked="true" hidden="false"/>
    </xf>
    <xf numFmtId="164" fontId="30" fillId="9" borderId="0" xfId="20" applyFont="true" applyBorder="false" applyAlignment="true" applyProtection="true">
      <alignment horizontal="general" vertical="bottom" textRotation="0" wrapText="false" indent="0" shrinkToFit="false"/>
      <protection locked="true" hidden="false"/>
    </xf>
    <xf numFmtId="164" fontId="28" fillId="9" borderId="0" xfId="20" applyFont="true" applyBorder="false" applyAlignment="true" applyProtection="true">
      <alignment horizontal="general" vertical="bottom" textRotation="0" wrapText="false" indent="0" shrinkToFit="false"/>
      <protection locked="true" hidden="false"/>
    </xf>
    <xf numFmtId="181" fontId="31" fillId="0" borderId="0" xfId="20" applyFont="true" applyBorder="false" applyAlignment="true" applyProtection="true">
      <alignment horizontal="general" vertical="bottom" textRotation="0" wrapText="false" indent="0" shrinkToFit="false"/>
      <protection locked="true" hidden="false"/>
    </xf>
    <xf numFmtId="181" fontId="32" fillId="0" borderId="0" xfId="20" applyFont="true" applyBorder="false" applyAlignment="true" applyProtection="true">
      <alignment horizontal="general" vertical="bottom" textRotation="0" wrapText="false" indent="0" shrinkToFit="false"/>
      <protection locked="true" hidden="false"/>
    </xf>
    <xf numFmtId="164" fontId="28" fillId="0" borderId="0" xfId="20" applyFont="true" applyBorder="false" applyAlignment="true" applyProtection="true">
      <alignment horizontal="general" vertical="bottom" textRotation="0" wrapText="true" indent="0" shrinkToFit="false"/>
      <protection locked="true" hidden="false"/>
    </xf>
    <xf numFmtId="169" fontId="31" fillId="0" borderId="0" xfId="20" applyFont="true" applyBorder="false" applyAlignment="true" applyProtection="true">
      <alignment horizontal="general" vertical="bottom" textRotation="0" wrapText="false" indent="0" shrinkToFit="false"/>
      <protection locked="true" hidden="false"/>
    </xf>
    <xf numFmtId="169" fontId="32" fillId="0" borderId="0" xfId="20" applyFont="true" applyBorder="false" applyAlignment="true" applyProtection="true">
      <alignment horizontal="general" vertical="bottom" textRotation="0" wrapText="false" indent="0" shrinkToFit="false"/>
      <protection locked="true" hidden="false"/>
    </xf>
    <xf numFmtId="170" fontId="31" fillId="0" borderId="0" xfId="20" applyFont="true" applyBorder="false" applyAlignment="true" applyProtection="true">
      <alignment horizontal="general" vertical="bottom" textRotation="0" wrapText="false" indent="0" shrinkToFit="false"/>
      <protection locked="true" hidden="false"/>
    </xf>
    <xf numFmtId="170" fontId="32" fillId="0" borderId="0" xfId="20" applyFont="true" applyBorder="false" applyAlignment="true" applyProtection="true">
      <alignment horizontal="general" vertical="bottom" textRotation="0" wrapText="false" indent="0" shrinkToFit="false"/>
      <protection locked="true" hidden="false"/>
    </xf>
    <xf numFmtId="181" fontId="24" fillId="8" borderId="0" xfId="20" applyFont="true" applyBorder="false" applyAlignment="true" applyProtection="true">
      <alignment horizontal="general" vertical="bottom" textRotation="0" wrapText="true" indent="0" shrinkToFit="false"/>
      <protection locked="true" hidden="false"/>
    </xf>
    <xf numFmtId="182" fontId="28" fillId="0" borderId="0" xfId="20" applyFont="true" applyBorder="false" applyAlignment="true" applyProtection="true">
      <alignment horizontal="general" vertical="bottom" textRotation="0" wrapText="false" indent="0" shrinkToFit="false"/>
      <protection locked="true" hidden="false"/>
    </xf>
    <xf numFmtId="173" fontId="28" fillId="0" borderId="0" xfId="20" applyFont="true" applyBorder="false" applyAlignment="true" applyProtection="true">
      <alignment horizontal="general" vertical="bottom" textRotation="0" wrapText="false" indent="0" shrinkToFit="false"/>
      <protection locked="true" hidden="false"/>
    </xf>
    <xf numFmtId="170" fontId="28" fillId="0" borderId="0" xfId="20" applyFont="true" applyBorder="false" applyAlignment="true" applyProtection="true">
      <alignment horizontal="general" vertical="bottom" textRotation="0" wrapText="false" indent="0" shrinkToFit="false"/>
      <protection locked="true" hidden="false"/>
    </xf>
    <xf numFmtId="181" fontId="28" fillId="9" borderId="0" xfId="20" applyFont="true" applyBorder="false" applyAlignment="true" applyProtection="true">
      <alignment horizontal="general" vertical="bottom" textRotation="0" wrapText="false" indent="0" shrinkToFit="false"/>
      <protection locked="true" hidden="false"/>
    </xf>
    <xf numFmtId="169" fontId="28" fillId="0" borderId="0" xfId="20" applyFont="true" applyBorder="false" applyAlignment="true" applyProtection="true">
      <alignment horizontal="general" vertical="bottom" textRotation="0" wrapText="false" indent="0" shrinkToFit="false"/>
      <protection locked="true" hidden="false"/>
    </xf>
    <xf numFmtId="164" fontId="33" fillId="0" borderId="0" xfId="20" applyFont="true" applyBorder="false" applyAlignment="true" applyProtection="true">
      <alignment horizontal="general" vertical="bottom" textRotation="0" wrapText="false" indent="0" shrinkToFit="false"/>
      <protection locked="true" hidden="false"/>
    </xf>
    <xf numFmtId="169" fontId="33" fillId="0" borderId="0" xfId="20" applyFont="true" applyBorder="false" applyAlignment="true" applyProtection="true">
      <alignment horizontal="general" vertical="bottom" textRotation="0" wrapText="false" indent="0" shrinkToFit="false"/>
      <protection locked="true" hidden="false"/>
    </xf>
    <xf numFmtId="181" fontId="28" fillId="0" borderId="0" xfId="20" applyFont="true" applyBorder="false" applyAlignment="true" applyProtection="true">
      <alignment horizontal="general" vertical="bottom" textRotation="0" wrapText="true" indent="0" shrinkToFit="false"/>
      <protection locked="true" hidden="false"/>
    </xf>
    <xf numFmtId="181" fontId="33" fillId="0" borderId="0" xfId="20" applyFont="true" applyBorder="false" applyAlignment="true" applyProtection="true">
      <alignment horizontal="general" vertical="bottom" textRotation="0" wrapText="false" indent="0" shrinkToFit="false"/>
      <protection locked="true" hidden="false"/>
    </xf>
    <xf numFmtId="183" fontId="32" fillId="0" borderId="0" xfId="0" applyFont="true" applyBorder="false" applyAlignment="true" applyProtection="true">
      <alignment horizontal="general" vertical="bottom" textRotation="0" wrapText="false" indent="0" shrinkToFit="false"/>
      <protection locked="true" hidden="false"/>
    </xf>
    <xf numFmtId="181" fontId="33" fillId="0" borderId="0" xfId="0" applyFont="true" applyBorder="false" applyAlignment="true" applyProtection="true">
      <alignment horizontal="right" vertical="bottom" textRotation="0" wrapText="false" indent="0" shrinkToFit="false"/>
      <protection locked="true" hidden="false"/>
    </xf>
    <xf numFmtId="181" fontId="28" fillId="0" borderId="0" xfId="0" applyFont="true" applyBorder="false" applyAlignment="true" applyProtection="true">
      <alignment horizontal="right" vertical="bottom" textRotation="0" wrapText="false" indent="0" shrinkToFit="false"/>
      <protection locked="true" hidden="false"/>
    </xf>
    <xf numFmtId="181" fontId="0" fillId="0" borderId="0" xfId="0" applyFont="fals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80" fontId="2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3">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b val="1"/>
        <color rgb="FF9C0006"/>
      </font>
      <fill>
        <patternFill>
          <bgColor rgb="FFFCE4D6"/>
        </patternFill>
      </fill>
    </dxf>
    <dxf>
      <font>
        <b val="1"/>
        <color rgb="FF9C0006"/>
      </font>
      <fill>
        <patternFill>
          <bgColor rgb="FFFCE4D6"/>
        </patternFill>
      </fill>
    </dxf>
    <dxf>
      <font>
        <b val="1"/>
        <color rgb="FF9C0006"/>
      </font>
      <fill>
        <patternFill>
          <bgColor rgb="FFFCE4D6"/>
        </patternFill>
      </fill>
    </dxf>
    <dxf>
      <font>
        <b val="1"/>
        <color rgb="FF9C0006"/>
      </font>
      <fill>
        <patternFill>
          <bgColor rgb="FFFCE4D6"/>
        </patternFill>
      </fill>
    </dxf>
    <dxf>
      <font>
        <b val="1"/>
        <color rgb="FF9C0006"/>
      </font>
      <fill>
        <patternFill>
          <bgColor rgb="FFFCE4D6"/>
        </patternFill>
      </fill>
    </dxf>
    <dxf>
      <font>
        <b val="1"/>
        <color rgb="FF9C0006"/>
      </font>
      <fill>
        <patternFill>
          <bgColor rgb="FFFCE4D6"/>
        </patternFill>
      </fill>
    </dxf>
    <dxf>
      <font>
        <color rgb="FF9C0006"/>
      </font>
    </dxf>
    <dxf>
      <font>
        <color rgb="FF9C0006"/>
      </font>
    </dxf>
    <dxf>
      <font>
        <b val="1"/>
        <color rgb="FF9C0006"/>
      </font>
      <fill>
        <patternFill>
          <bgColor rgb="FFFCE4D6"/>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77.338032552753</c:v>
                </c:pt>
                <c:pt idx="1">
                  <c:v>105.693906532166</c:v>
                </c:pt>
                <c:pt idx="2">
                  <c:v>118.802354627146</c:v>
                </c:pt>
                <c:pt idx="3">
                  <c:v>119.21466649663</c:v>
                </c:pt>
                <c:pt idx="4">
                  <c:v>128.291361461711</c:v>
                </c:pt>
                <c:pt idx="5">
                  <c:v>125.788347231401</c:v>
                </c:pt>
                <c:pt idx="6">
                  <c:v>141.498720417347</c:v>
                </c:pt>
                <c:pt idx="7">
                  <c:v>143.462230580901</c:v>
                </c:pt>
                <c:pt idx="8">
                  <c:v>155.655308381825</c:v>
                </c:pt>
                <c:pt idx="9">
                  <c:v>166.047782129943</c:v>
                </c:pt>
                <c:pt idx="10">
                  <c:v>175.005367325278</c:v>
                </c:pt>
                <c:pt idx="11">
                  <c:v>180.466922872997</c:v>
                </c:pt>
                <c:pt idx="12">
                  <c:v>207.956228354368</c:v>
                </c:pt>
                <c:pt idx="13">
                  <c:v>259.155727810967</c:v>
                </c:pt>
                <c:pt idx="14">
                  <c:v>314.48619046831</c:v>
                </c:pt>
                <c:pt idx="15">
                  <c:v>343.158800140253</c:v>
                </c:pt>
                <c:pt idx="16">
                  <c:v>366.751344087836</c:v>
                </c:pt>
                <c:pt idx="17">
                  <c:v>398.898219950888</c:v>
                </c:pt>
                <c:pt idx="18">
                  <c:v>434.260672235528</c:v>
                </c:pt>
                <c:pt idx="19">
                  <c:v>471.612063958229</c:v>
                </c:pt>
                <c:pt idx="20">
                  <c:v>514.476949344264</c:v>
                </c:pt>
                <c:pt idx="21">
                  <c:v>552.993586951679</c:v>
                </c:pt>
                <c:pt idx="22">
                  <c:v>592.598471756564</c:v>
                </c:pt>
                <c:pt idx="23">
                  <c:v>628.574612965925</c:v>
                </c:pt>
                <c:pt idx="24">
                  <c:v>670.362227065815</c:v>
                </c:pt>
                <c:pt idx="25">
                  <c:v>726.216644640338</c:v>
                </c:pt>
                <c:pt idx="26">
                  <c:v>791.720081916355</c:v>
                </c:pt>
                <c:pt idx="27">
                  <c:v>829.048543427584</c:v>
                </c:pt>
                <c:pt idx="28">
                  <c:v>883.316323395349</c:v>
                </c:pt>
                <c:pt idx="29">
                  <c:v>926.202635376117</c:v>
                </c:pt>
                <c:pt idx="30">
                  <c:v>978.477274930859</c:v>
                </c:pt>
                <c:pt idx="31">
                  <c:v>1039.75093066013</c:v>
                </c:pt>
                <c:pt idx="32">
                  <c:v>1100.49675515493</c:v>
                </c:pt>
                <c:pt idx="33">
                  <c:v>1163.35356723722</c:v>
                </c:pt>
                <c:pt idx="34">
                  <c:v>1204.78785554053</c:v>
                </c:pt>
                <c:pt idx="35">
                  <c:v>1272.9517521489</c:v>
                </c:pt>
                <c:pt idx="36">
                  <c:v>1388.05462960712</c:v>
                </c:pt>
                <c:pt idx="37">
                  <c:v>1486.34200125341</c:v>
                </c:pt>
                <c:pt idx="38">
                  <c:v>1598.5743796821</c:v>
                </c:pt>
                <c:pt idx="39">
                  <c:v>1707.10241490383</c:v>
                </c:pt>
                <c:pt idx="40">
                  <c:v>1858.17399737732</c:v>
                </c:pt>
                <c:pt idx="41">
                  <c:v>1997.51948596192</c:v>
                </c:pt>
                <c:pt idx="42">
                  <c:v>2141.8602914453</c:v>
                </c:pt>
                <c:pt idx="43">
                  <c:v>2180.02047967944</c:v>
                </c:pt>
                <c:pt idx="44">
                  <c:v>2302.14834487251</c:v>
                </c:pt>
                <c:pt idx="45">
                  <c:v>2525.851667389</c:v>
                </c:pt>
                <c:pt idx="46">
                  <c:v>2705.13979265854</c:v>
                </c:pt>
                <c:pt idx="47">
                  <c:v>3051.32198113541</c:v>
                </c:pt>
                <c:pt idx="48">
                  <c:v>3359.00842376034</c:v>
                </c:pt>
                <c:pt idx="49">
                  <c:v>3688.09795318963</c:v>
                </c:pt>
                <c:pt idx="50">
                  <c:v>4055.3643018443</c:v>
                </c:pt>
                <c:pt idx="51">
                  <c:v>4435.09141781648</c:v>
                </c:pt>
                <c:pt idx="52">
                  <c:v>4856.99702930726</c:v>
                </c:pt>
                <c:pt idx="53">
                  <c:v>5324.43692474722</c:v>
                </c:pt>
                <c:pt idx="54">
                  <c:v>5834.85006285111</c:v>
                </c:pt>
                <c:pt idx="55">
                  <c:v>6375.7153227664</c:v>
                </c:pt>
                <c:pt idx="56">
                  <c:v>7058.69746111504</c:v>
                </c:pt>
                <c:pt idx="57">
                  <c:v>7688.86190030794</c:v>
                </c:pt>
                <c:pt idx="58">
                  <c:v>8150.74162444721</c:v>
                </c:pt>
                <c:pt idx="59">
                  <c:v>9395.09922338091</c:v>
                </c:pt>
                <c:pt idx="60">
                  <c:v>10289.3112444493</c:v>
                </c:pt>
                <c:pt idx="61">
                  <c:v>11214.2332774395</c:v>
                </c:pt>
                <c:pt idx="62">
                  <c:v>12231.0181157995</c:v>
                </c:pt>
                <c:pt idx="63">
                  <c:v>13314.1761725515</c:v>
                </c:pt>
                <c:pt idx="64">
                  <c:v>13875.2609521724</c:v>
                </c:pt>
                <c:pt idx="65">
                  <c:v>15526.3948485804</c:v>
                </c:pt>
                <c:pt idx="66">
                  <c:v>18417.3704577914</c:v>
                </c:pt>
                <c:pt idx="67">
                  <c:v>23165.2831513233</c:v>
                </c:pt>
                <c:pt idx="68">
                  <c:v>27867.1829026622</c:v>
                </c:pt>
                <c:pt idx="69">
                  <c:v>31661.0914464426</c:v>
                </c:pt>
                <c:pt idx="70">
                  <c:v>37086.808899618</c:v>
                </c:pt>
                <c:pt idx="71">
                  <c:v>30312.7513132783</c:v>
                </c:pt>
                <c:pt idx="72">
                  <c:v>31448.1917728073</c:v>
                </c:pt>
                <c:pt idx="73">
                  <c:v>35580.902394066</c:v>
                </c:pt>
                <c:pt idx="74">
                  <c:v>38048.2260547502</c:v>
                </c:pt>
                <c:pt idx="75">
                  <c:v>41163.8607198236</c:v>
                </c:pt>
                <c:pt idx="76">
                  <c:v>42978.9263141576</c:v>
                </c:pt>
                <c:pt idx="77">
                  <c:v>44592.3079762171</c:v>
                </c:pt>
                <c:pt idx="78">
                  <c:v>47856.9094433409</c:v>
                </c:pt>
                <c:pt idx="79">
                  <c:v>50781.3287489817</c:v>
                </c:pt>
                <c:pt idx="80">
                  <c:v>47613.2132559185</c:v>
                </c:pt>
                <c:pt idx="81">
                  <c:v>42954.0539142056</c:v>
                </c:pt>
                <c:pt idx="82">
                  <c:v>39495.3333908374</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461.347742261773</c:v>
                </c:pt>
                <c:pt idx="20">
                  <c:v>473.001250255619</c:v>
                </c:pt>
                <c:pt idx="21">
                  <c:v>484.966169214876</c:v>
                </c:pt>
                <c:pt idx="22">
                  <c:v>498.265473452671</c:v>
                </c:pt>
                <c:pt idx="23">
                  <c:v>510.850422938803</c:v>
                </c:pt>
                <c:pt idx="24">
                  <c:v>523.724220378099</c:v>
                </c:pt>
                <c:pt idx="25">
                  <c:v>536.89915277015</c:v>
                </c:pt>
                <c:pt idx="26">
                  <c:v>564.550360087123</c:v>
                </c:pt>
                <c:pt idx="27">
                  <c:v>592.843299577548</c:v>
                </c:pt>
                <c:pt idx="28">
                  <c:v>621.712424487669</c:v>
                </c:pt>
                <c:pt idx="29">
                  <c:v>651.233797084323</c:v>
                </c:pt>
                <c:pt idx="30">
                  <c:v>681.369409664653</c:v>
                </c:pt>
                <c:pt idx="31">
                  <c:v>700.919557026061</c:v>
                </c:pt>
                <c:pt idx="32">
                  <c:v>721.241599635483</c:v>
                </c:pt>
                <c:pt idx="33">
                  <c:v>742.345458655976</c:v>
                </c:pt>
                <c:pt idx="34">
                  <c:v>764.28561110448</c:v>
                </c:pt>
                <c:pt idx="35">
                  <c:v>787.000188183512</c:v>
                </c:pt>
                <c:pt idx="36">
                  <c:v>835.189538089286</c:v>
                </c:pt>
                <c:pt idx="37">
                  <c:v>885.051201140695</c:v>
                </c:pt>
                <c:pt idx="38">
                  <c:v>936.367581509246</c:v>
                </c:pt>
                <c:pt idx="39">
                  <c:v>989.262437131988</c:v>
                </c:pt>
                <c:pt idx="40">
                  <c:v>1043.7811932234</c:v>
                </c:pt>
                <c:pt idx="41">
                  <c:v>1065.52028782211</c:v>
                </c:pt>
                <c:pt idx="42">
                  <c:v>1088.10766682232</c:v>
                </c:pt>
                <c:pt idx="43">
                  <c:v>1111.54398790258</c:v>
                </c:pt>
                <c:pt idx="44">
                  <c:v>1135.54472302877</c:v>
                </c:pt>
                <c:pt idx="45">
                  <c:v>1160.3636348834</c:v>
                </c:pt>
                <c:pt idx="46">
                  <c:v>1382.0495019656</c:v>
                </c:pt>
                <c:pt idx="47">
                  <c:v>1609.97707074686</c:v>
                </c:pt>
                <c:pt idx="48">
                  <c:v>1685.52694197948</c:v>
                </c:pt>
                <c:pt idx="49">
                  <c:v>1765.2310293639</c:v>
                </c:pt>
                <c:pt idx="50">
                  <c:v>1846.19861658346</c:v>
                </c:pt>
                <c:pt idx="51">
                  <c:v>1987.97887759391</c:v>
                </c:pt>
                <c:pt idx="52">
                  <c:v>2134.34002989768</c:v>
                </c:pt>
                <c:pt idx="53">
                  <c:v>2285.46271296453</c:v>
                </c:pt>
                <c:pt idx="54">
                  <c:v>2441.53897359017</c:v>
                </c:pt>
                <c:pt idx="55">
                  <c:v>2602.76542201919</c:v>
                </c:pt>
                <c:pt idx="56">
                  <c:v>2789.5491293037</c:v>
                </c:pt>
                <c:pt idx="57">
                  <c:v>2982.35736425799</c:v>
                </c:pt>
                <c:pt idx="58">
                  <c:v>3181.1521493534</c:v>
                </c:pt>
                <c:pt idx="59">
                  <c:v>3385.49033661505</c:v>
                </c:pt>
                <c:pt idx="60">
                  <c:v>3597.83546857217</c:v>
                </c:pt>
                <c:pt idx="61">
                  <c:v>4000.38374412894</c:v>
                </c:pt>
                <c:pt idx="62">
                  <c:v>4415.3078108305</c:v>
                </c:pt>
                <c:pt idx="63">
                  <c:v>4842.78116702582</c:v>
                </c:pt>
                <c:pt idx="64">
                  <c:v>4918.45046263733</c:v>
                </c:pt>
                <c:pt idx="65">
                  <c:v>4996.40356621767</c:v>
                </c:pt>
                <c:pt idx="66">
                  <c:v>6929.5574807858</c:v>
                </c:pt>
                <c:pt idx="67">
                  <c:v>8922.33251941559</c:v>
                </c:pt>
                <c:pt idx="68">
                  <c:v>12716.0517045704</c:v>
                </c:pt>
                <c:pt idx="69">
                  <c:v>16616.9699332679</c:v>
                </c:pt>
                <c:pt idx="70">
                  <c:v>17303.3338963662</c:v>
                </c:pt>
                <c:pt idx="71">
                  <c:v>16475.3108651398</c:v>
                </c:pt>
                <c:pt idx="72">
                  <c:v>17331.0654558172</c:v>
                </c:pt>
                <c:pt idx="73">
                  <c:v>16974.9351567016</c:v>
                </c:pt>
                <c:pt idx="74">
                  <c:v>18346.1689647741</c:v>
                </c:pt>
                <c:pt idx="75">
                  <c:v>19191.5017730489</c:v>
                </c:pt>
                <c:pt idx="76">
                  <c:v>19155.9542075684</c:v>
                </c:pt>
                <c:pt idx="77">
                  <c:v>19857.2770199146</c:v>
                </c:pt>
                <c:pt idx="78">
                  <c:v>20325.0046449731</c:v>
                </c:pt>
                <c:pt idx="79">
                  <c:v>20555.7978917044</c:v>
                </c:pt>
                <c:pt idx="80">
                  <c:v>18864.0877629765</c:v>
                </c:pt>
                <c:pt idx="81">
                  <c:v>17369.4700737083</c:v>
                </c:pt>
                <c:pt idx="82">
                  <c:v>17277.9710810326</c:v>
                </c:pt>
              </c:numCache>
            </c:numRef>
          </c:val>
          <c:smooth val="0"/>
        </c:ser>
        <c:hiLowLines>
          <c:spPr>
            <a:ln w="0">
              <a:noFill/>
            </a:ln>
          </c:spPr>
        </c:hiLowLines>
        <c:marker val="0"/>
        <c:axId val="17396386"/>
        <c:axId val="13719917"/>
      </c:lineChart>
      <c:catAx>
        <c:axId val="17396386"/>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19917"/>
        <c:crosses val="autoZero"/>
        <c:auto val="1"/>
        <c:lblAlgn val="ctr"/>
        <c:lblOffset val="100"/>
        <c:noMultiLvlLbl val="0"/>
      </c:catAx>
      <c:valAx>
        <c:axId val="1371991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963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0.199824308986399</c:v>
                </c:pt>
                <c:pt idx="1">
                  <c:v>0.13901936986176</c:v>
                </c:pt>
                <c:pt idx="2">
                  <c:v>0.114011280791637</c:v>
                </c:pt>
                <c:pt idx="3">
                  <c:v>0.0988282886098774</c:v>
                </c:pt>
                <c:pt idx="4">
                  <c:v>0.0796071791272472</c:v>
                </c:pt>
                <c:pt idx="5">
                  <c:v>0.0693812938543913</c:v>
                </c:pt>
                <c:pt idx="6">
                  <c:v>0.052383798102975</c:v>
                </c:pt>
                <c:pt idx="7">
                  <c:v>0.0481632027972187</c:v>
                </c:pt>
                <c:pt idx="8">
                  <c:v>0.0435025863589227</c:v>
                </c:pt>
                <c:pt idx="9">
                  <c:v>0.0399642816066637</c:v>
                </c:pt>
                <c:pt idx="10">
                  <c:v>0.0608487310652439</c:v>
                </c:pt>
                <c:pt idx="11">
                  <c:v>0.116931402761615</c:v>
                </c:pt>
                <c:pt idx="12">
                  <c:v>0.197823577673404</c:v>
                </c:pt>
                <c:pt idx="13">
                  <c:v>0.24596803025192</c:v>
                </c:pt>
                <c:pt idx="14">
                  <c:v>0.27026598151663</c:v>
                </c:pt>
                <c:pt idx="15">
                  <c:v>0.272848278666824</c:v>
                </c:pt>
                <c:pt idx="16">
                  <c:v>0.272521633136306</c:v>
                </c:pt>
                <c:pt idx="17">
                  <c:v>0.307871686903192</c:v>
                </c:pt>
                <c:pt idx="18">
                  <c:v>0.295153970846543</c:v>
                </c:pt>
                <c:pt idx="19">
                  <c:v>0.280376810643015</c:v>
                </c:pt>
                <c:pt idx="20">
                  <c:v>0.278904485453034</c:v>
                </c:pt>
                <c:pt idx="21">
                  <c:v>0.291110589375906</c:v>
                </c:pt>
                <c:pt idx="22">
                  <c:v>0.292060292420566</c:v>
                </c:pt>
                <c:pt idx="23">
                  <c:v>0.262874396749088</c:v>
                </c:pt>
                <c:pt idx="24">
                  <c:v>0.238069815398265</c:v>
                </c:pt>
                <c:pt idx="25">
                  <c:v>0.208388762189126</c:v>
                </c:pt>
                <c:pt idx="26">
                  <c:v>0.170350231884759</c:v>
                </c:pt>
                <c:pt idx="27">
                  <c:v>0.147461483191939</c:v>
                </c:pt>
                <c:pt idx="28">
                  <c:v>0.127612160038516</c:v>
                </c:pt>
                <c:pt idx="29">
                  <c:v>0.100704504044597</c:v>
                </c:pt>
                <c:pt idx="30">
                  <c:v>0.0892741568496317</c:v>
                </c:pt>
                <c:pt idx="31">
                  <c:v>0.0778523958833608</c:v>
                </c:pt>
                <c:pt idx="32">
                  <c:v>0.0676538462977458</c:v>
                </c:pt>
                <c:pt idx="33">
                  <c:v>0.0582410149109905</c:v>
                </c:pt>
                <c:pt idx="34">
                  <c:v>0.0507382274950631</c:v>
                </c:pt>
                <c:pt idx="35">
                  <c:v>0.0427665487335085</c:v>
                </c:pt>
                <c:pt idx="36">
                  <c:v>0.0337246259915686</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0.0535444241652694</c:v>
                </c:pt>
                <c:pt idx="72">
                  <c:v>0.05</c:v>
                </c:pt>
                <c:pt idx="73">
                  <c:v>0.05</c:v>
                </c:pt>
                <c:pt idx="74">
                  <c:v>0.05</c:v>
                </c:pt>
                <c:pt idx="75">
                  <c:v>0.05</c:v>
                </c:pt>
                <c:pt idx="76">
                  <c:v>0.05</c:v>
                </c:pt>
                <c:pt idx="77">
                  <c:v>0.05</c:v>
                </c:pt>
                <c:pt idx="78">
                  <c:v>0.05</c:v>
                </c:pt>
                <c:pt idx="79">
                  <c:v>0.05</c:v>
                </c:pt>
                <c:pt idx="80">
                  <c:v>0.05</c:v>
                </c:pt>
                <c:pt idx="81">
                  <c:v>0.0523502901878641</c:v>
                </c:pt>
                <c:pt idx="82">
                  <c:v>0.0549265609919733</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0.000579735093851216</c:v>
                </c:pt>
                <c:pt idx="1">
                  <c:v>0.00149199835062534</c:v>
                </c:pt>
                <c:pt idx="2">
                  <c:v>0.00312620530138198</c:v>
                </c:pt>
                <c:pt idx="3">
                  <c:v>0.00624447742823304</c:v>
                </c:pt>
                <c:pt idx="4">
                  <c:v>0.00840073246641387</c:v>
                </c:pt>
                <c:pt idx="5">
                  <c:v>0.0111144286940057</c:v>
                </c:pt>
                <c:pt idx="6">
                  <c:v>0.0118955725507563</c:v>
                </c:pt>
                <c:pt idx="7">
                  <c:v>0.012350338201345</c:v>
                </c:pt>
                <c:pt idx="8">
                  <c:v>0.00903878648655096</c:v>
                </c:pt>
                <c:pt idx="9">
                  <c:v>0.00123205463260384</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0.0017407722984377</c:v>
                </c:pt>
                <c:pt idx="24">
                  <c:v>0.00250433941817496</c:v>
                </c:pt>
                <c:pt idx="25">
                  <c:v>0.00405561551176575</c:v>
                </c:pt>
                <c:pt idx="26">
                  <c:v>0.00796367393412966</c:v>
                </c:pt>
                <c:pt idx="27">
                  <c:v>0.0105963578055801</c:v>
                </c:pt>
                <c:pt idx="28">
                  <c:v>0.0119508006837956</c:v>
                </c:pt>
                <c:pt idx="29">
                  <c:v>0.0160386172317814</c:v>
                </c:pt>
                <c:pt idx="30">
                  <c:v>0.0162177057151148</c:v>
                </c:pt>
                <c:pt idx="31">
                  <c:v>0.016382097369122</c:v>
                </c:pt>
                <c:pt idx="32">
                  <c:v>0.0165853566420803</c:v>
                </c:pt>
                <c:pt idx="33">
                  <c:v>0.0168086074550522</c:v>
                </c:pt>
                <c:pt idx="34">
                  <c:v>0.0173242964929354</c:v>
                </c:pt>
                <c:pt idx="35">
                  <c:v>0.017470198512982</c:v>
                </c:pt>
                <c:pt idx="36">
                  <c:v>0.0171992895730676</c:v>
                </c:pt>
                <c:pt idx="37">
                  <c:v>0.0172852621355078</c:v>
                </c:pt>
                <c:pt idx="38">
                  <c:v>0.0171145756532214</c:v>
                </c:pt>
                <c:pt idx="39">
                  <c:v>0.0156062849376398</c:v>
                </c:pt>
                <c:pt idx="40">
                  <c:v>0.0149383747490593</c:v>
                </c:pt>
                <c:pt idx="41">
                  <c:v>0.014698695577145</c:v>
                </c:pt>
                <c:pt idx="42">
                  <c:v>0.0146668590960748</c:v>
                </c:pt>
                <c:pt idx="43">
                  <c:v>0.0153779761052422</c:v>
                </c:pt>
                <c:pt idx="44">
                  <c:v>0.0151794200958214</c:v>
                </c:pt>
                <c:pt idx="45">
                  <c:v>0</c:v>
                </c:pt>
                <c:pt idx="46">
                  <c:v>0.00068783866830495</c:v>
                </c:pt>
                <c:pt idx="47">
                  <c:v>0.000845015940697545</c:v>
                </c:pt>
                <c:pt idx="48">
                  <c:v>0.000906704213773501</c:v>
                </c:pt>
                <c:pt idx="49">
                  <c:v>0.00103738746958416</c:v>
                </c:pt>
                <c:pt idx="50">
                  <c:v>0.00157633703394482</c:v>
                </c:pt>
                <c:pt idx="51">
                  <c:v>0.00242607850476696</c:v>
                </c:pt>
                <c:pt idx="52">
                  <c:v>0.00348063288871585</c:v>
                </c:pt>
                <c:pt idx="53">
                  <c:v>0.00447026868488986</c:v>
                </c:pt>
                <c:pt idx="54">
                  <c:v>0.00504462108335387</c:v>
                </c:pt>
                <c:pt idx="55">
                  <c:v>0.00558176600109696</c:v>
                </c:pt>
                <c:pt idx="56">
                  <c:v>0.00624773648670985</c:v>
                </c:pt>
                <c:pt idx="57">
                  <c:v>0.00694978375427032</c:v>
                </c:pt>
                <c:pt idx="58">
                  <c:v>0.00776597604943097</c:v>
                </c:pt>
                <c:pt idx="59">
                  <c:v>0.00781626570618735</c:v>
                </c:pt>
                <c:pt idx="60">
                  <c:v>0.00824657842251109</c:v>
                </c:pt>
                <c:pt idx="61">
                  <c:v>0.00862511979137069</c:v>
                </c:pt>
                <c:pt idx="62">
                  <c:v>0.0089497669975255</c:v>
                </c:pt>
                <c:pt idx="63">
                  <c:v>0.0092301025720715</c:v>
                </c:pt>
                <c:pt idx="64">
                  <c:v>0.00938328513846948</c:v>
                </c:pt>
                <c:pt idx="65">
                  <c:v>0.00891690684231956</c:v>
                </c:pt>
                <c:pt idx="66">
                  <c:v>0.00783480472773962</c:v>
                </c:pt>
                <c:pt idx="67">
                  <c:v>0.00651803799771494</c:v>
                </c:pt>
                <c:pt idx="68">
                  <c:v>0.00583239617405281</c:v>
                </c:pt>
                <c:pt idx="69">
                  <c:v>0.00637027862154834</c:v>
                </c:pt>
                <c:pt idx="70">
                  <c:v>0.00691344996899568</c:v>
                </c:pt>
                <c:pt idx="71">
                  <c:v>0.010059842480888</c:v>
                </c:pt>
                <c:pt idx="72">
                  <c:v>0.0109019392446822</c:v>
                </c:pt>
                <c:pt idx="73">
                  <c:v>0.0108299320561073</c:v>
                </c:pt>
                <c:pt idx="74">
                  <c:v>0.0114546522301417</c:v>
                </c:pt>
                <c:pt idx="75">
                  <c:v>0.0118920986386599</c:v>
                </c:pt>
                <c:pt idx="76">
                  <c:v>0.0127653571764562</c:v>
                </c:pt>
                <c:pt idx="77">
                  <c:v>0.0136193746293527</c:v>
                </c:pt>
                <c:pt idx="78">
                  <c:v>0.0142335525428548</c:v>
                </c:pt>
                <c:pt idx="79">
                  <c:v>0.0150229462964134</c:v>
                </c:pt>
                <c:pt idx="80">
                  <c:v>0.0174565459751412</c:v>
                </c:pt>
                <c:pt idx="81">
                  <c:v>0.0198411962122353</c:v>
                </c:pt>
                <c:pt idx="82">
                  <c:v>0.0217961222040867</c:v>
                </c:pt>
              </c:numCache>
            </c:numRef>
          </c:val>
          <c:smooth val="0"/>
        </c:ser>
        <c:hiLowLines>
          <c:spPr>
            <a:ln w="0">
              <a:noFill/>
            </a:ln>
          </c:spPr>
        </c:hiLowLines>
        <c:marker val="0"/>
        <c:axId val="80986450"/>
        <c:axId val="43950673"/>
      </c:lineChart>
      <c:catAx>
        <c:axId val="80986450"/>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950673"/>
        <c:crosses val="autoZero"/>
        <c:auto val="1"/>
        <c:lblAlgn val="ctr"/>
        <c:lblOffset val="100"/>
        <c:noMultiLvlLbl val="0"/>
      </c:catAx>
      <c:valAx>
        <c:axId val="4395067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8645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59893007"/>
        <c:axId val="91815791"/>
      </c:lineChart>
      <c:catAx>
        <c:axId val="5989300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815791"/>
        <c:crosses val="autoZero"/>
        <c:auto val="1"/>
        <c:lblAlgn val="ctr"/>
        <c:lblOffset val="100"/>
        <c:noMultiLvlLbl val="0"/>
      </c:catAx>
      <c:valAx>
        <c:axId val="9181579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8930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23890524"/>
        <c:axId val="33753287"/>
      </c:lineChart>
      <c:catAx>
        <c:axId val="23890524"/>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753287"/>
        <c:crosses val="autoZero"/>
        <c:auto val="1"/>
        <c:lblAlgn val="ctr"/>
        <c:lblOffset val="100"/>
        <c:noMultiLvlLbl val="0"/>
      </c:catAx>
      <c:valAx>
        <c:axId val="3375328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905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353880</xdr:colOff>
      <xdr:row>97</xdr:row>
      <xdr:rowOff>169200</xdr:rowOff>
    </xdr:to>
    <xdr:graphicFrame>
      <xdr:nvGraphicFramePr>
        <xdr:cNvPr id="0" name="Chart"/>
        <xdr:cNvGraphicFramePr/>
      </xdr:nvGraphicFramePr>
      <xdr:xfrm>
        <a:off x="141120" y="15125760"/>
        <a:ext cx="6117120" cy="269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559080</xdr:colOff>
      <xdr:row>97</xdr:row>
      <xdr:rowOff>169200</xdr:rowOff>
    </xdr:to>
    <xdr:graphicFrame>
      <xdr:nvGraphicFramePr>
        <xdr:cNvPr id="1" name="Chart"/>
        <xdr:cNvGraphicFramePr/>
      </xdr:nvGraphicFramePr>
      <xdr:xfrm>
        <a:off x="6640200" y="15125760"/>
        <a:ext cx="6117120" cy="2697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353880</xdr:colOff>
      <xdr:row>113</xdr:row>
      <xdr:rowOff>169200</xdr:rowOff>
    </xdr:to>
    <xdr:graphicFrame>
      <xdr:nvGraphicFramePr>
        <xdr:cNvPr id="2" name="Chart"/>
        <xdr:cNvGraphicFramePr/>
      </xdr:nvGraphicFramePr>
      <xdr:xfrm>
        <a:off x="141120" y="18021240"/>
        <a:ext cx="6117120" cy="2697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559080</xdr:colOff>
      <xdr:row>113</xdr:row>
      <xdr:rowOff>169200</xdr:rowOff>
    </xdr:to>
    <xdr:graphicFrame>
      <xdr:nvGraphicFramePr>
        <xdr:cNvPr id="3" name="Chart"/>
        <xdr:cNvGraphicFramePr/>
      </xdr:nvGraphicFramePr>
      <xdr:xfrm>
        <a:off x="6640200" y="18021240"/>
        <a:ext cx="6117120" cy="2697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4" name="Text Box 30"/>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5" name="Text Box 30"/>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6" name="Text Box 30"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7" name="Text Box 4"/>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8" name="Text Box 4"/>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9" name="Text Box 4"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10" name="Text Box 9"/>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11" name="Text Box 9"/>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12" name="Text Box 9"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13" name="Text Box 14"/>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14" name="Text Box 14"/>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15" name="Text Box 14"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16" name="Text Box 2"/>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17" name="Text Box 2"/>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18" name="Text Box 2"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19" name="Text Box 9"/>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20" name="Text Box 9"/>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21" name="Text Box 9"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22" name="Text Box 5"/>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23" name="Text Box 5"/>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24" name="Text Box 5"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25" name="Text Box 30"/>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26" name="Text Box 30"/>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27" name="Text Box 30"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28" name="Text Box 36"/>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29" name="Text Box 36"/>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30" name="Text Box 36"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11</xdr:col>
      <xdr:colOff>279000</xdr:colOff>
      <xdr:row>38</xdr:row>
      <xdr:rowOff>106200</xdr:rowOff>
    </xdr:to>
    <xdr:sp>
      <xdr:nvSpPr>
        <xdr:cNvPr id="31" name="Text Box 23"/>
        <xdr:cNvSpPr/>
      </xdr:nvSpPr>
      <xdr:spPr>
        <a:xfrm>
          <a:off x="0" y="0"/>
          <a:ext cx="78210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11</xdr:col>
      <xdr:colOff>279000</xdr:colOff>
      <xdr:row>38</xdr:row>
      <xdr:rowOff>106200</xdr:rowOff>
    </xdr:to>
    <xdr:sp>
      <xdr:nvSpPr>
        <xdr:cNvPr id="32" name="Text Box 23"/>
        <xdr:cNvSpPr/>
      </xdr:nvSpPr>
      <xdr:spPr>
        <a:xfrm>
          <a:off x="0" y="0"/>
          <a:ext cx="78210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279000</xdr:colOff>
      <xdr:row>38</xdr:row>
      <xdr:rowOff>106200</xdr:rowOff>
    </xdr:to>
    <xdr:sp>
      <xdr:nvSpPr>
        <xdr:cNvPr id="33" name="Text Box 23" hidden="1"/>
        <xdr:cNvSpPr/>
      </xdr:nvSpPr>
      <xdr:spPr>
        <a:xfrm>
          <a:off x="0" y="0"/>
          <a:ext cx="78210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11</xdr:col>
      <xdr:colOff>111600</xdr:colOff>
      <xdr:row>38</xdr:row>
      <xdr:rowOff>106200</xdr:rowOff>
    </xdr:to>
    <xdr:sp>
      <xdr:nvSpPr>
        <xdr:cNvPr id="34" name="Text Box 14"/>
        <xdr:cNvSpPr/>
      </xdr:nvSpPr>
      <xdr:spPr>
        <a:xfrm>
          <a:off x="0" y="0"/>
          <a:ext cx="78256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11</xdr:col>
      <xdr:colOff>111600</xdr:colOff>
      <xdr:row>38</xdr:row>
      <xdr:rowOff>106200</xdr:rowOff>
    </xdr:to>
    <xdr:sp>
      <xdr:nvSpPr>
        <xdr:cNvPr id="35" name="Text Box 14"/>
        <xdr:cNvSpPr/>
      </xdr:nvSpPr>
      <xdr:spPr>
        <a:xfrm>
          <a:off x="0" y="0"/>
          <a:ext cx="78256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111600</xdr:colOff>
      <xdr:row>38</xdr:row>
      <xdr:rowOff>106200</xdr:rowOff>
    </xdr:to>
    <xdr:sp>
      <xdr:nvSpPr>
        <xdr:cNvPr id="36" name="Text Box 14" hidden="1"/>
        <xdr:cNvSpPr/>
      </xdr:nvSpPr>
      <xdr:spPr>
        <a:xfrm>
          <a:off x="0" y="0"/>
          <a:ext cx="78256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37" name="Text Box 1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38" name="Text Box 1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39" name="Text Box 11"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38</xdr:row>
      <xdr:rowOff>106200</xdr:rowOff>
    </xdr:to>
    <xdr:sp>
      <xdr:nvSpPr>
        <xdr:cNvPr id="40" name="Text Box 13"/>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38</xdr:row>
      <xdr:rowOff>106200</xdr:rowOff>
    </xdr:to>
    <xdr:sp>
      <xdr:nvSpPr>
        <xdr:cNvPr id="41" name="Text Box 13"/>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38</xdr:row>
      <xdr:rowOff>106200</xdr:rowOff>
    </xdr:to>
    <xdr:sp>
      <xdr:nvSpPr>
        <xdr:cNvPr id="42" name="Text Box 13"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705960</xdr:colOff>
      <xdr:row>38</xdr:row>
      <xdr:rowOff>106200</xdr:rowOff>
    </xdr:to>
    <xdr:sp>
      <xdr:nvSpPr>
        <xdr:cNvPr id="43" name="Text Box 12"/>
        <xdr:cNvSpPr/>
      </xdr:nvSpPr>
      <xdr:spPr>
        <a:xfrm>
          <a:off x="0" y="0"/>
          <a:ext cx="78084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705960</xdr:colOff>
      <xdr:row>38</xdr:row>
      <xdr:rowOff>106200</xdr:rowOff>
    </xdr:to>
    <xdr:sp>
      <xdr:nvSpPr>
        <xdr:cNvPr id="44" name="Text Box 12"/>
        <xdr:cNvSpPr/>
      </xdr:nvSpPr>
      <xdr:spPr>
        <a:xfrm>
          <a:off x="0" y="0"/>
          <a:ext cx="78084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705960</xdr:colOff>
      <xdr:row>38</xdr:row>
      <xdr:rowOff>106200</xdr:rowOff>
    </xdr:to>
    <xdr:sp>
      <xdr:nvSpPr>
        <xdr:cNvPr id="45" name="Text Box 12" hidden="1"/>
        <xdr:cNvSpPr/>
      </xdr:nvSpPr>
      <xdr:spPr>
        <a:xfrm>
          <a:off x="0" y="0"/>
          <a:ext cx="780840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9</xdr:col>
      <xdr:colOff>309600</xdr:colOff>
      <xdr:row>37</xdr:row>
      <xdr:rowOff>23040</xdr:rowOff>
    </xdr:to>
    <xdr:sp>
      <xdr:nvSpPr>
        <xdr:cNvPr id="46" name="Text Box 6"/>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309600</xdr:colOff>
      <xdr:row>37</xdr:row>
      <xdr:rowOff>23040</xdr:rowOff>
    </xdr:to>
    <xdr:sp>
      <xdr:nvSpPr>
        <xdr:cNvPr id="47" name="Text Box 6"/>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309600</xdr:colOff>
      <xdr:row>37</xdr:row>
      <xdr:rowOff>23040</xdr:rowOff>
    </xdr:to>
    <xdr:sp>
      <xdr:nvSpPr>
        <xdr:cNvPr id="48" name="Text Box 6" hidden="1"/>
        <xdr:cNvSpPr/>
      </xdr:nvSpPr>
      <xdr:spPr>
        <a:xfrm>
          <a:off x="0" y="0"/>
          <a:ext cx="7818480" cy="7542720"/>
        </a:xfrm>
        <a:prstGeom prst="rect">
          <a:avLst/>
        </a:prstGeom>
        <a:solidFill>
          <a:srgbClr val="ffffff"/>
        </a:solidFill>
        <a:ln w="9525">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8.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9.xml"/><Relationship Id="rId3"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0.xml"/><Relationship Id="rId3"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1.xml"/><Relationship Id="rId3"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2.xml"/><Relationship Id="rId3"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3.xml"/><Relationship Id="rId3"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14.xml"/><Relationship Id="rId3"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15.xml"/><Relationship Id="rId3" Type="http://schemas.openxmlformats.org/officeDocument/2006/relationships/vmlDrawing" Target="../drawings/vmlDrawing15.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16.xml"/><Relationship Id="rId3" Type="http://schemas.openxmlformats.org/officeDocument/2006/relationships/vmlDrawing" Target="../drawings/vmlDrawing1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2.05" hidden="false" customHeight="false" outlineLevel="0" collapsed="false">
      <c r="B1" s="2" t="s">
        <v>0</v>
      </c>
    </row>
    <row r="2" customFormat="false" ht="14.25" hidden="false" customHeight="false" outlineLevel="0" collapsed="false">
      <c r="B2" s="3" t="s">
        <v>1</v>
      </c>
    </row>
    <row r="4" customFormat="false" ht="14.25" hidden="false" customHeight="false" outlineLevel="0" collapsed="false">
      <c r="B4" s="4" t="s">
        <v>2</v>
      </c>
      <c r="C4" s="5" t="str">
        <f aca="false">Levers!F4</f>
        <v>Story case</v>
      </c>
      <c r="E4" s="3" t="s">
        <v>3</v>
      </c>
    </row>
    <row r="5" customFormat="false" ht="14.25" hidden="false" customHeight="false" outlineLevel="0" collapsed="false">
      <c r="B5" s="4" t="s">
        <v>4</v>
      </c>
      <c r="C5" s="5" t="n">
        <f aca="false">SUM(Checks!S6:S92)</f>
        <v>0</v>
      </c>
      <c r="E5" s="3" t="s">
        <v>5</v>
      </c>
    </row>
    <row r="7" customFormat="false" ht="14.25" hidden="false" customHeight="fals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false" outlineLevel="0" collapsed="false">
      <c r="B8" s="8" t="s">
        <v>7</v>
      </c>
      <c r="C8" s="9"/>
      <c r="D8" s="9"/>
      <c r="E8" s="9"/>
      <c r="F8" s="9"/>
      <c r="G8" s="9"/>
      <c r="H8" s="9"/>
      <c r="I8" s="9"/>
      <c r="J8" s="9"/>
      <c r="K8" s="9"/>
      <c r="L8" s="9"/>
    </row>
    <row r="9" customFormat="false" ht="14.25" hidden="false" customHeight="false" outlineLevel="0" collapsed="false">
      <c r="B9" s="10" t="s">
        <v>8</v>
      </c>
      <c r="C9" s="11" t="n">
        <f aca="false">INDEX(People!$W$6:$W$92,MATCH(C$7,People!$A$6:$A$92,0))/1000000</f>
        <v>0.270599130883072</v>
      </c>
      <c r="D9" s="11" t="n">
        <f aca="false">INDEX(People!$W$6:$W$92,MATCH(D$7,People!$A$6:$A$92,0))/1000000</f>
        <v>1.21870018717348</v>
      </c>
      <c r="E9" s="11" t="n">
        <f aca="false">INDEX(People!$W$6:$W$92,MATCH(E$7,People!$A$6:$A$92,0))/1000000</f>
        <v>3.25256285579453</v>
      </c>
      <c r="F9" s="11" t="n">
        <f aca="false">INDEX(People!$W$6:$W$92,MATCH(F$7,People!$A$6:$A$92,0))/1000000</f>
        <v>6.52767542561912</v>
      </c>
      <c r="G9" s="11" t="n">
        <f aca="false">INDEX(People!$W$6:$W$92,MATCH(G$7,People!$A$6:$A$92,0))/1000000</f>
        <v>10.5875904080258</v>
      </c>
      <c r="H9" s="11" t="n">
        <f aca="false">INDEX(People!$W$6:$W$92,MATCH(H$7,People!$A$6:$A$92,0))/1000000</f>
        <v>15.2295782222673</v>
      </c>
      <c r="I9" s="11" t="n">
        <f aca="false">INDEX(People!$W$6:$W$92,MATCH(I$7,People!$A$6:$A$92,0))/1000000</f>
        <v>17.5796385937803</v>
      </c>
      <c r="J9" s="11" t="n">
        <f aca="false">INDEX(People!$W$6:$W$92,MATCH(J$7,People!$A$6:$A$92,0))/1000000</f>
        <v>20.1858985925109</v>
      </c>
      <c r="K9" s="11" t="n">
        <f aca="false">INDEX(People!$W$6:$W$92,MATCH(K$7,People!$A$6:$A$92,0))/1000000</f>
        <v>25.5162552980718</v>
      </c>
      <c r="L9" s="11" t="n">
        <f aca="false">INDEX(People!$W$6:$W$92,MATCH(L$7,People!$A$6:$A$92,0))/1000000</f>
        <v>27.3175381053106</v>
      </c>
    </row>
    <row r="10" customFormat="false" ht="14.25" hidden="false" customHeight="false" outlineLevel="0" collapsed="false">
      <c r="B10" s="10" t="s">
        <v>9</v>
      </c>
      <c r="C10" s="12" t="n">
        <f aca="false">INDEX(People!$S$6:$S$92,MATCH(C$7,People!$A$6:$A$92,0))</f>
        <v>0.0114476642622276</v>
      </c>
      <c r="D10" s="12" t="n">
        <f aca="false">INDEX(People!$S$6:$S$92,MATCH(D$7,People!$A$6:$A$92,0))</f>
        <v>0.0757454457187016</v>
      </c>
      <c r="E10" s="12" t="n">
        <f aca="false">INDEX(People!$S$6:$S$92,MATCH(E$7,People!$A$6:$A$92,0))</f>
        <v>0.122126606711168</v>
      </c>
      <c r="F10" s="12" t="n">
        <f aca="false">INDEX(People!$S$6:$S$92,MATCH(F$7,People!$A$6:$A$92,0))</f>
        <v>0.145871230238926</v>
      </c>
      <c r="G10" s="12" t="n">
        <f aca="false">INDEX(People!$S$6:$S$92,MATCH(G$7,People!$A$6:$A$92,0))</f>
        <v>0.155337943593993</v>
      </c>
      <c r="H10" s="12" t="n">
        <f aca="false">INDEX(People!$S$6:$S$92,MATCH(H$7,People!$A$6:$A$92,0))</f>
        <v>0.163974423184394</v>
      </c>
      <c r="I10" s="12" t="n">
        <f aca="false">INDEX(People!$S$6:$S$92,MATCH(I$7,People!$A$6:$A$92,0))</f>
        <v>0.171659575711746</v>
      </c>
      <c r="J10" s="12" t="n">
        <f aca="false">INDEX(People!$S$6:$S$92,MATCH(J$7,People!$A$6:$A$92,0))</f>
        <v>0.180623158967588</v>
      </c>
      <c r="K10" s="12" t="n">
        <f aca="false">INDEX(People!$S$6:$S$92,MATCH(K$7,People!$A$6:$A$92,0))</f>
        <v>0.193934642051024</v>
      </c>
      <c r="L10" s="12" t="n">
        <f aca="false">INDEX(People!$S$6:$S$92,MATCH(L$7,People!$A$6:$A$92,0))</f>
        <v>0.199652680897262</v>
      </c>
    </row>
    <row r="11" customFormat="false" ht="14.25" hidden="false" customHeight="fals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208.175840930396</v>
      </c>
      <c r="G11" s="13" t="n">
        <f aca="false">INDEX(Labour!$L$6:$L$92,MATCH(G$7,Labour!$A$6:$A$92,0))/1000</f>
        <v>408.85218937901</v>
      </c>
      <c r="H11" s="13" t="n">
        <f aca="false">INDEX(Labour!$L$6:$L$92,MATCH(H$7,Labour!$A$6:$A$92,0))/1000</f>
        <v>595.548094376765</v>
      </c>
      <c r="I11" s="13" t="n">
        <f aca="false">INDEX(Labour!$L$6:$L$92,MATCH(I$7,Labour!$A$6:$A$92,0))/1000</f>
        <v>784.435982198946</v>
      </c>
      <c r="J11" s="13" t="n">
        <f aca="false">INDEX(Labour!$L$6:$L$92,MATCH(J$7,Labour!$A$6:$A$92,0))/1000</f>
        <v>749.348066849588</v>
      </c>
      <c r="K11" s="13" t="n">
        <f aca="false">INDEX(Labour!$L$6:$L$92,MATCH(K$7,Labour!$A$6:$A$92,0))/1000</f>
        <v>1179.5126501797</v>
      </c>
      <c r="L11" s="13" t="n">
        <f aca="false">INDEX(Labour!$L$6:$L$92,MATCH(L$7,Labour!$A$6:$A$92,0))/1000</f>
        <v>856.609605947245</v>
      </c>
    </row>
    <row r="12" customFormat="false" ht="14.25" hidden="false" customHeight="false" outlineLevel="0" collapsed="false">
      <c r="B12" s="10" t="s">
        <v>11</v>
      </c>
      <c r="C12" s="11" t="n">
        <f aca="false">INDEX(Economy!$O$6:$O$92,MATCH(C$7,Economy!$A$6:$A$92,0))/1000</f>
        <v>0.077338032552753</v>
      </c>
      <c r="D12" s="11" t="n">
        <f aca="false">INDEX(Economy!$O$6:$O$92,MATCH(D$7,Economy!$A$6:$A$92,0))/1000</f>
        <v>0.343158800140253</v>
      </c>
      <c r="E12" s="11" t="n">
        <f aca="false">INDEX(Economy!$O$6:$O$92,MATCH(E$7,Economy!$A$6:$A$92,0))/1000</f>
        <v>0.978477274930859</v>
      </c>
      <c r="F12" s="11" t="n">
        <f aca="false">INDEX(Economy!$O$6:$O$92,MATCH(F$7,Economy!$A$6:$A$92,0))/1000</f>
        <v>2.525851667389</v>
      </c>
      <c r="G12" s="11" t="n">
        <f aca="false">INDEX(Economy!$O$6:$O$92,MATCH(G$7,Economy!$A$6:$A$92,0))/1000</f>
        <v>6.3757153227664</v>
      </c>
      <c r="H12" s="11" t="n">
        <f aca="false">INDEX(Economy!$O$6:$O$92,MATCH(H$7,Economy!$A$6:$A$92,0))/1000</f>
        <v>13.3141761725515</v>
      </c>
      <c r="I12" s="11" t="n">
        <f aca="false">INDEX(Economy!$O$6:$O$92,MATCH(I$7,Economy!$A$6:$A$92,0))/1000</f>
        <v>27.8671829026622</v>
      </c>
      <c r="J12" s="11" t="n">
        <f aca="false">INDEX(Economy!$O$6:$O$92,MATCH(J$7,Economy!$A$6:$A$92,0))/1000</f>
        <v>31.4481917728073</v>
      </c>
      <c r="K12" s="11" t="n">
        <f aca="false">INDEX(Economy!$O$6:$O$92,MATCH(K$7,Economy!$A$6:$A$92,0))/1000</f>
        <v>50.7813287489817</v>
      </c>
      <c r="L12" s="11" t="n">
        <f aca="false">INDEX(Economy!$O$6:$O$92,MATCH(L$7,Economy!$A$6:$A$92,0))/1000</f>
        <v>39.4953333908374</v>
      </c>
    </row>
    <row r="13" customFormat="false" ht="14.25" hidden="false" customHeight="false" outlineLevel="0" collapsed="false">
      <c r="B13" s="10" t="s">
        <v>12</v>
      </c>
      <c r="C13" s="11" t="n">
        <f aca="false">INDEX(Economy!$R$6:$R$92,MATCH(C$7,Economy!$A$6:$A$92,0))</f>
        <v>2.9231097591609</v>
      </c>
      <c r="D13" s="11" t="n">
        <f aca="false">INDEX(Economy!$R$6:$R$92,MATCH(D$7,Economy!$A$6:$A$92,0))</f>
        <v>1.92454589464578</v>
      </c>
      <c r="E13" s="11" t="n">
        <f aca="false">INDEX(Economy!$R$6:$R$92,MATCH(E$7,Economy!$A$6:$A$92,0))</f>
        <v>1.48611865299165</v>
      </c>
      <c r="F13" s="11" t="n">
        <f aca="false">INDEX(Economy!$R$6:$R$92,MATCH(F$7,Economy!$A$6:$A$92,0))</f>
        <v>1.91534870479836</v>
      </c>
      <c r="G13" s="11" t="n">
        <f aca="false">INDEX(Economy!$R$6:$R$92,MATCH(G$7,Economy!$A$6:$A$92,0))</f>
        <v>2.04982788740479</v>
      </c>
      <c r="H13" s="11" t="n">
        <f aca="false">INDEX(Economy!$R$6:$R$92,MATCH(H$7,Economy!$A$6:$A$92,0))</f>
        <v>2.13012133741349</v>
      </c>
      <c r="I13" s="11" t="n">
        <f aca="false">INDEX(Economy!$R$6:$R$92,MATCH(I$7,Economy!$A$6:$A$92,0))</f>
        <v>2.07118882335247</v>
      </c>
      <c r="J13" s="11" t="n">
        <f aca="false">INDEX(Economy!$R$6:$R$92,MATCH(J$7,Economy!$A$6:$A$92,0))</f>
        <v>2.24741394931849</v>
      </c>
      <c r="K13" s="11" t="n">
        <f aca="false">INDEX(Economy!$R$6:$R$92,MATCH(K$7,Economy!$A$6:$A$92,0))</f>
        <v>2.24810520693239</v>
      </c>
      <c r="L13" s="11" t="n">
        <f aca="false">INDEX(Economy!$R$6:$R$92,MATCH(L$7,Economy!$A$6:$A$92,0))</f>
        <v>2.97714233240216</v>
      </c>
    </row>
    <row r="14" customFormat="false" ht="14.25" hidden="false" customHeight="fals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14.3258810353994</v>
      </c>
      <c r="F14" s="13" t="n">
        <f aca="false">INDEX('Debt &amp; cash'!$N$6:$N$92,MATCH(F$7,'Debt &amp; cash'!$A$6:$A$92,0))</f>
        <v>11.3817785136719</v>
      </c>
      <c r="G14" s="13" t="n">
        <f aca="false">INDEX('Debt &amp; cash'!$N$6:$N$92,MATCH(G$7,'Debt &amp; cash'!$A$6:$A$92,0))</f>
        <v>127.552638686095</v>
      </c>
      <c r="H14" s="13" t="n">
        <f aca="false">INDEX('Debt &amp; cash'!$N$6:$N$92,MATCH(H$7,'Debt &amp; cash'!$A$6:$A$92,0))</f>
        <v>274.333787539696</v>
      </c>
      <c r="I14" s="13" t="n">
        <f aca="false">INDEX('Debt &amp; cash'!$N$6:$N$92,MATCH(I$7,'Debt &amp; cash'!$A$6:$A$92,0))</f>
        <v>431.124962428323</v>
      </c>
      <c r="J14" s="13" t="n">
        <f aca="false">INDEX('Debt &amp; cash'!$N$6:$N$92,MATCH(J$7,'Debt &amp; cash'!$A$6:$A$92,0))</f>
        <v>572.831446516582</v>
      </c>
      <c r="K14" s="13" t="n">
        <f aca="false">INDEX('Debt &amp; cash'!$N$6:$N$92,MATCH(K$7,'Debt &amp; cash'!$A$6:$A$92,0))</f>
        <v>1459.79449744807</v>
      </c>
      <c r="L14" s="13" t="n">
        <f aca="false">INDEX('Debt &amp; cash'!$N$6:$N$92,MATCH(L$7,'Debt &amp; cash'!$A$6:$A$92,0))</f>
        <v>101.361847976735</v>
      </c>
    </row>
    <row r="15" customFormat="false" ht="14.25" hidden="false" customHeight="fals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false" outlineLevel="0" collapsed="false">
      <c r="B16" s="10" t="s">
        <v>15</v>
      </c>
      <c r="C16" s="13" t="n">
        <f aca="false">INDEX(Champions!$AP$6:$AP$92,MATCH(C$7,Champions!$A$6:$A$92,0))</f>
        <v>0</v>
      </c>
      <c r="D16" s="13" t="n">
        <f aca="false">INDEX(Champions!$AP$6:$AP$92,MATCH(D$7,Champions!$A$6:$A$92,0))</f>
        <v>2.00086654311121</v>
      </c>
      <c r="E16" s="13" t="n">
        <f aca="false">INDEX(Champions!$AP$6:$AP$92,MATCH(E$7,Champions!$A$6:$A$92,0))</f>
        <v>22.8274143798882</v>
      </c>
      <c r="F16" s="13" t="n">
        <f aca="false">INDEX(Champions!$AP$6:$AP$92,MATCH(F$7,Champions!$A$6:$A$92,0))</f>
        <v>125.076843028113</v>
      </c>
      <c r="G16" s="13" t="n">
        <f aca="false">INDEX(Champions!$AP$6:$AP$92,MATCH(G$7,Champions!$A$6:$A$92,0))</f>
        <v>359.026462180649</v>
      </c>
      <c r="H16" s="13" t="n">
        <f aca="false">INDEX(Champions!$AP$6:$AP$92,MATCH(H$7,Champions!$A$6:$A$92,0))</f>
        <v>735.588364838257</v>
      </c>
      <c r="I16" s="13" t="n">
        <f aca="false">INDEX(Champions!$AP$6:$AP$92,MATCH(I$7,Champions!$A$6:$A$92,0))</f>
        <v>1795.83100539425</v>
      </c>
      <c r="J16" s="13" t="n">
        <f aca="false">INDEX(Champions!$AP$6:$AP$92,MATCH(J$7,Champions!$A$6:$A$92,0))</f>
        <v>2152.45251130133</v>
      </c>
      <c r="K16" s="13" t="n">
        <f aca="false">INDEX(Champions!$AP$6:$AP$92,MATCH(K$7,Champions!$A$6:$A$92,0))</f>
        <v>4172.1436994148</v>
      </c>
      <c r="L16" s="13" t="n">
        <f aca="false">INDEX(Champions!$AP$6:$AP$92,MATCH(L$7,Champions!$A$6:$A$92,0))</f>
        <v>2577.46377240718</v>
      </c>
    </row>
    <row r="17" customFormat="false" ht="14.25" hidden="false" customHeight="false" outlineLevel="0" collapsed="false">
      <c r="B17" s="10" t="s">
        <v>16</v>
      </c>
      <c r="C17" s="13" t="n">
        <f aca="false">INDEX(Champions!$AY$6:$AY$92,MATCH(C$7,Champions!$A$6:$A$92,0))</f>
        <v>0</v>
      </c>
      <c r="D17" s="13" t="n">
        <f aca="false">INDEX(Champions!$AY$6:$AY$92,MATCH(D$7,Champions!$A$6:$A$92,0))</f>
        <v>0</v>
      </c>
      <c r="E17" s="13" t="n">
        <f aca="false">INDEX(Champions!$AY$6:$AY$92,MATCH(E$7,Champions!$A$6:$A$92,0))</f>
        <v>46.2482801421313</v>
      </c>
      <c r="F17" s="13" t="n">
        <f aca="false">INDEX(Champions!$AY$6:$AY$92,MATCH(F$7,Champions!$A$6:$A$92,0))</f>
        <v>324.89248903177</v>
      </c>
      <c r="G17" s="13" t="n">
        <f aca="false">INDEX(Champions!$AY$6:$AY$92,MATCH(G$7,Champions!$A$6:$A$92,0))</f>
        <v>1781.2672188384</v>
      </c>
      <c r="H17" s="13" t="n">
        <f aca="false">INDEX(Champions!$AY$6:$AY$92,MATCH(H$7,Champions!$A$6:$A$92,0))</f>
        <v>3085.719848102</v>
      </c>
      <c r="I17" s="13" t="n">
        <f aca="false">INDEX(Champions!$AY$6:$AY$92,MATCH(I$7,Champions!$A$6:$A$92,0))</f>
        <v>4531.29570494567</v>
      </c>
      <c r="J17" s="13" t="n">
        <f aca="false">INDEX(Champions!$AY$6:$AY$92,MATCH(J$7,Champions!$A$6:$A$92,0))</f>
        <v>6504.79274073117</v>
      </c>
      <c r="K17" s="13" t="n">
        <f aca="false">INDEX(Champions!$AY$6:$AY$92,MATCH(K$7,Champions!$A$6:$A$92,0))</f>
        <v>11554.8095474134</v>
      </c>
      <c r="L17" s="13" t="n">
        <f aca="false">INDEX(Champions!$AY$6:$AY$92,MATCH(L$7,Champions!$A$6:$A$92,0))</f>
        <v>9700.11453319547</v>
      </c>
    </row>
    <row r="18" customFormat="false" ht="14.25" hidden="false" customHeight="false" outlineLevel="0" collapsed="false">
      <c r="B18" s="10" t="s">
        <v>17</v>
      </c>
      <c r="C18" s="14" t="n">
        <f aca="false">INDEX(Champions!$I$6:$I$92,MATCH(C$7,Champions!$A$6:$A$92,0))</f>
        <v>0</v>
      </c>
      <c r="D18" s="14" t="n">
        <f aca="false">INDEX(Champions!$I$6:$I$92,MATCH(D$7,Champions!$A$6:$A$92,0))</f>
        <v>0.435317151238882</v>
      </c>
      <c r="E18" s="14" t="n">
        <f aca="false">INDEX(Champions!$I$6:$I$92,MATCH(E$7,Champions!$A$6:$A$92,0))</f>
        <v>1.25286282447219</v>
      </c>
      <c r="F18" s="14" t="n">
        <f aca="false">INDEX(Champions!$I$6:$I$92,MATCH(F$7,Champions!$A$6:$A$92,0))</f>
        <v>1.73139361387163</v>
      </c>
      <c r="G18" s="14" t="n">
        <f aca="false">INDEX(Champions!$I$6:$I$92,MATCH(G$7,Champions!$A$6:$A$92,0))</f>
        <v>2.14778919270804</v>
      </c>
      <c r="H18" s="14" t="n">
        <f aca="false">INDEX(Champions!$I$6:$I$92,MATCH(H$7,Champions!$A$6:$A$92,0))</f>
        <v>2.00391105768362</v>
      </c>
      <c r="I18" s="14" t="n">
        <f aca="false">INDEX(Champions!$I$6:$I$92,MATCH(I$7,Champions!$A$6:$A$92,0))</f>
        <v>2.07554551831971</v>
      </c>
      <c r="J18" s="14" t="n">
        <f aca="false">INDEX(Champions!$I$6:$I$92,MATCH(J$7,Champions!$A$6:$A$92,0))</f>
        <v>2.1565759892094</v>
      </c>
      <c r="K18" s="14" t="n">
        <f aca="false">INDEX(Champions!$I$6:$I$92,MATCH(K$7,Champions!$A$6:$A$92,0))</f>
        <v>2.2308070123427</v>
      </c>
      <c r="L18" s="14" t="n">
        <f aca="false">INDEX(Champions!$I$6:$I$92,MATCH(L$7,Champions!$A$6:$A$92,0))</f>
        <v>1.65151613099808</v>
      </c>
    </row>
    <row r="19" customFormat="false" ht="14.25" hidden="false" customHeight="false" outlineLevel="0" collapsed="false">
      <c r="B19" s="10" t="s">
        <v>18</v>
      </c>
      <c r="C19" s="13" t="n">
        <f aca="false">INDEX(Labour!$AL$6:$AL$92,MATCH(C$7,Labour!$A$6:$A$92,0))</f>
        <v>0</v>
      </c>
      <c r="D19" s="13" t="n">
        <f aca="false">INDEX(Labour!$AL$6:$AL$92,MATCH(D$7,Labour!$A$6:$A$92,0))</f>
        <v>0</v>
      </c>
      <c r="E19" s="13" t="n">
        <f aca="false">INDEX(Labour!$AL$6:$AL$92,MATCH(E$7,Labour!$A$6:$A$92,0))</f>
        <v>8680.10079474584</v>
      </c>
      <c r="F19" s="13" t="n">
        <f aca="false">INDEX(Labour!$AL$6:$AL$92,MATCH(F$7,Labour!$A$6:$A$92,0))</f>
        <v>88453.3559203792</v>
      </c>
      <c r="G19" s="13" t="n">
        <f aca="false">INDEX(Labour!$AL$6:$AL$92,MATCH(G$7,Labour!$A$6:$A$92,0))</f>
        <v>242499.375493276</v>
      </c>
      <c r="H19" s="13" t="n">
        <f aca="false">INDEX(Labour!$AL$6:$AL$92,MATCH(H$7,Labour!$A$6:$A$92,0))</f>
        <v>265924.402145676</v>
      </c>
      <c r="I19" s="13" t="n">
        <f aca="false">INDEX(Labour!$AL$6:$AL$92,MATCH(I$7,Labour!$A$6:$A$92,0))</f>
        <v>125831.456833886</v>
      </c>
      <c r="J19" s="13" t="n">
        <f aca="false">INDEX(Labour!$AL$6:$AL$92,MATCH(J$7,Labour!$A$6:$A$92,0))</f>
        <v>276771.121138922</v>
      </c>
      <c r="K19" s="13" t="n">
        <f aca="false">INDEX(Labour!$AL$6:$AL$92,MATCH(K$7,Labour!$A$6:$A$92,0))</f>
        <v>282622.88575562</v>
      </c>
      <c r="L19" s="13" t="n">
        <f aca="false">INDEX(Labour!$AL$6:$AL$92,MATCH(L$7,Labour!$A$6:$A$92,0))</f>
        <v>240450.359406731</v>
      </c>
    </row>
    <row r="20" customFormat="false" ht="14.25" hidden="false" customHeight="false" outlineLevel="0" collapsed="false">
      <c r="B20" s="10" t="s">
        <v>19</v>
      </c>
      <c r="C20" s="12" t="n">
        <f aca="false">INDEX(Labour!$G$6:$G$92,MATCH(C$7,Labour!$A$6:$A$92,0))</f>
        <v>0</v>
      </c>
      <c r="D20" s="12" t="n">
        <f aca="false">INDEX(Labour!$G$6:$G$92,MATCH(D$7,Labour!$A$6:$A$92,0))</f>
        <v>0.0055068011950846</v>
      </c>
      <c r="E20" s="12" t="n">
        <f aca="false">INDEX(Labour!$G$6:$G$92,MATCH(E$7,Labour!$A$6:$A$92,0))</f>
        <v>0.0220334444595457</v>
      </c>
      <c r="F20" s="12" t="n">
        <f aca="false">INDEX(Labour!$G$6:$G$92,MATCH(F$7,Labour!$A$6:$A$92,0))</f>
        <v>0.0503978313160043</v>
      </c>
      <c r="G20" s="12" t="n">
        <f aca="false">INDEX(Labour!$G$6:$G$92,MATCH(G$7,Labour!$A$6:$A$92,0))</f>
        <v>0.0582014374407631</v>
      </c>
      <c r="H20" s="12" t="n">
        <f aca="false">INDEX(Labour!$G$6:$G$92,MATCH(H$7,Labour!$A$6:$A$92,0))</f>
        <v>0.0571400908153585</v>
      </c>
      <c r="I20" s="12" t="n">
        <f aca="false">INDEX(Labour!$G$6:$G$92,MATCH(I$7,Labour!$A$6:$A$92,0))</f>
        <v>0.0673777518751716</v>
      </c>
      <c r="J20" s="12" t="n">
        <f aca="false">INDEX(Labour!$G$6:$G$92,MATCH(J$7,Labour!$A$6:$A$92,0))</f>
        <v>0.0704583383277632</v>
      </c>
      <c r="K20" s="12" t="n">
        <f aca="false">INDEX(Labour!$G$6:$G$92,MATCH(K$7,Labour!$A$6:$A$92,0))</f>
        <v>0.0862706544334445</v>
      </c>
      <c r="L20" s="12" t="n">
        <f aca="false">INDEX(Labour!$G$6:$G$92,MATCH(L$7,Labour!$A$6:$A$92,0))</f>
        <v>0.0662878581054038</v>
      </c>
    </row>
    <row r="21" customFormat="false" ht="14.25" hidden="false" customHeight="false" outlineLevel="0" collapsed="false">
      <c r="B21" s="10" t="s">
        <v>20</v>
      </c>
      <c r="C21" s="15" t="n">
        <f aca="false">INDEX(Labour!$BL$6:$BL$92,MATCH(C$7,Labour!$A$6:$A$92,0))</f>
        <v>0.000234061633956673</v>
      </c>
      <c r="D21" s="15" t="n">
        <f aca="false">INDEX(Labour!$BL$6:$BL$92,MATCH(D$7,Labour!$A$6:$A$92,0))</f>
        <v>0.00276783988883667</v>
      </c>
      <c r="E21" s="15" t="n">
        <f aca="false">INDEX(Labour!$BL$6:$BL$92,MATCH(E$7,Labour!$A$6:$A$92,0))</f>
        <v>0.00803531066909435</v>
      </c>
      <c r="F21" s="15" t="n">
        <f aca="false">INDEX(Labour!$BL$6:$BL$92,MATCH(F$7,Labour!$A$6:$A$92,0))</f>
        <v>0.0306545915157805</v>
      </c>
      <c r="G21" s="15" t="n">
        <f aca="false">INDEX(Labour!$BL$6:$BL$92,MATCH(G$7,Labour!$A$6:$A$92,0))</f>
        <v>0.0685166869671058</v>
      </c>
      <c r="H21" s="15" t="n">
        <f aca="false">INDEX(Labour!$BL$6:$BL$92,MATCH(H$7,Labour!$A$6:$A$92,0))</f>
        <v>0.0924606682166211</v>
      </c>
      <c r="I21" s="15" t="n">
        <f aca="false">INDEX(Labour!$BL$6:$BL$92,MATCH(I$7,Labour!$A$6:$A$92,0))</f>
        <v>0.106084276422084</v>
      </c>
      <c r="J21" s="15" t="n">
        <f aca="false">INDEX(Labour!$BL$6:$BL$92,MATCH(J$7,Labour!$A$6:$A$92,0))</f>
        <v>0.11796725592579</v>
      </c>
      <c r="K21" s="15" t="n">
        <f aca="false">INDEX(Labour!$BL$6:$BL$92,MATCH(K$7,Labour!$A$6:$A$92,0))</f>
        <v>0.142662129221584</v>
      </c>
      <c r="L21" s="15" t="n">
        <f aca="false">INDEX(Labour!$BL$6:$BL$92,MATCH(L$7,Labour!$A$6:$A$92,0))</f>
        <v>0.226654010618773</v>
      </c>
    </row>
    <row r="22" customFormat="false" ht="14.25" hidden="false" customHeight="false" outlineLevel="0" collapsed="false">
      <c r="B22" s="10" t="s">
        <v>21</v>
      </c>
      <c r="C22" s="14" t="n">
        <f aca="false">INDEX(Labour!$AX$6:$AX$92,MATCH(C$7,Labour!$A$6:$A$92,0))</f>
        <v>16.87</v>
      </c>
      <c r="D22" s="14" t="n">
        <f aca="false">INDEX(Labour!$AX$6:$AX$92,MATCH(D$7,Labour!$A$6:$A$92,0))</f>
        <v>25</v>
      </c>
      <c r="E22" s="14" t="n">
        <f aca="false">INDEX(Labour!$AX$6:$AX$92,MATCH(E$7,Labour!$A$6:$A$92,0))</f>
        <v>39.9939789525194</v>
      </c>
      <c r="F22" s="14" t="n">
        <f aca="false">INDEX(Labour!$AX$6:$AX$92,MATCH(F$7,Labour!$A$6:$A$92,0))</f>
        <v>54.3219047789779</v>
      </c>
      <c r="G22" s="14" t="n">
        <f aca="false">INDEX(Labour!$AX$6:$AX$92,MATCH(G$7,Labour!$A$6:$A$92,0))</f>
        <v>64.3784703683372</v>
      </c>
      <c r="H22" s="14" t="n">
        <f aca="false">INDEX(Labour!$AX$6:$AX$92,MATCH(H$7,Labour!$A$6:$A$92,0))</f>
        <v>73.3883911152412</v>
      </c>
      <c r="I22" s="14" t="n">
        <f aca="false">INDEX(Labour!$AX$6:$AX$92,MATCH(I$7,Labour!$A$6:$A$92,0))</f>
        <v>77.0571253881123</v>
      </c>
      <c r="J22" s="14" t="n">
        <f aca="false">INDEX(Labour!$AX$6:$AX$92,MATCH(J$7,Labour!$A$6:$A$92,0))</f>
        <v>80.1932382991156</v>
      </c>
      <c r="K22" s="14" t="n">
        <f aca="false">INDEX(Labour!$AX$6:$AX$92,MATCH(K$7,Labour!$A$6:$A$92,0))</f>
        <v>86.0840218780452</v>
      </c>
      <c r="L22" s="14" t="n">
        <f aca="false">INDEX(Labour!$AX$6:$AX$92,MATCH(L$7,Labour!$A$6:$A$92,0))</f>
        <v>87.9602249380858</v>
      </c>
    </row>
    <row r="23" customFormat="false" ht="14.25" hidden="false" customHeight="false" outlineLevel="0" collapsed="false">
      <c r="B23" s="10" t="s">
        <v>22</v>
      </c>
      <c r="C23" s="13" t="n">
        <f aca="false">INDEX(Abroad!$M$6:$M$92,MATCH(C$7,Abroad!$A$6:$A$92,0))</f>
        <v>0.0162552351935721</v>
      </c>
      <c r="D23" s="13" t="n">
        <f aca="false">INDEX(Abroad!$M$6:$M$92,MATCH(D$7,Abroad!$A$6:$A$92,0))</f>
        <v>0.257468981624437</v>
      </c>
      <c r="E23" s="13" t="n">
        <f aca="false">INDEX(Abroad!$M$6:$M$92,MATCH(E$7,Abroad!$A$6:$A$92,0))</f>
        <v>6.03458197134447</v>
      </c>
      <c r="F23" s="13" t="n">
        <f aca="false">INDEX(Abroad!$M$6:$M$92,MATCH(F$7,Abroad!$A$6:$A$92,0))</f>
        <v>34.1055269360502</v>
      </c>
      <c r="G23" s="13" t="n">
        <f aca="false">INDEX(Abroad!$M$6:$M$92,MATCH(G$7,Abroad!$A$6:$A$92,0))</f>
        <v>181.075428381808</v>
      </c>
      <c r="H23" s="13" t="n">
        <f aca="false">INDEX(Abroad!$M$6:$M$92,MATCH(H$7,Abroad!$A$6:$A$92,0))</f>
        <v>356.214934688195</v>
      </c>
      <c r="I23" s="13" t="n">
        <f aca="false">INDEX(Abroad!$M$6:$M$92,MATCH(I$7,Abroad!$A$6:$A$92,0))</f>
        <v>674.121417576892</v>
      </c>
      <c r="J23" s="13" t="n">
        <f aca="false">INDEX(Abroad!$M$6:$M$92,MATCH(J$7,Abroad!$A$6:$A$92,0))</f>
        <v>1099.63510168085</v>
      </c>
      <c r="K23" s="13" t="n">
        <f aca="false">INDEX(Abroad!$M$6:$M$92,MATCH(K$7,Abroad!$A$6:$A$92,0))</f>
        <v>2024.62385569987</v>
      </c>
      <c r="L23" s="13" t="n">
        <f aca="false">INDEX(Abroad!$M$6:$M$92,MATCH(L$7,Abroad!$A$6:$A$92,0))</f>
        <v>1278.48155516427</v>
      </c>
    </row>
    <row r="24" customFormat="false" ht="14.25" hidden="false" customHeight="false" outlineLevel="0" collapsed="false">
      <c r="B24" s="10" t="s">
        <v>23</v>
      </c>
      <c r="C24" s="11" t="n">
        <f aca="false">INDEX(Abroad!$P$6:$P$92,MATCH(C$7,Abroad!$A$6:$A$92,0))/1000</f>
        <v>0.0773542877879465</v>
      </c>
      <c r="D24" s="11" t="n">
        <f aca="false">INDEX(Abroad!$P$6:$P$92,MATCH(D$7,Abroad!$A$6:$A$92,0))/1000</f>
        <v>0.343416269121877</v>
      </c>
      <c r="E24" s="11" t="n">
        <f aca="false">INDEX(Abroad!$P$6:$P$92,MATCH(E$7,Abroad!$A$6:$A$92,0))/1000</f>
        <v>0.983812910873549</v>
      </c>
      <c r="F24" s="11" t="n">
        <f aca="false">INDEX(Abroad!$P$6:$P$92,MATCH(F$7,Abroad!$A$6:$A$92,0))/1000</f>
        <v>2.53334235160459</v>
      </c>
      <c r="G24" s="11" t="n">
        <f aca="false">INDEX(Abroad!$P$6:$P$92,MATCH(G$7,Abroad!$A$6:$A$92,0))/1000</f>
        <v>6.44043224240339</v>
      </c>
      <c r="H24" s="11" t="n">
        <f aca="false">INDEX(Abroad!$P$6:$P$92,MATCH(H$7,Abroad!$A$6:$A$92,0))/1000</f>
        <v>13.4664552267932</v>
      </c>
      <c r="I24" s="11" t="n">
        <f aca="false">INDEX(Abroad!$P$6:$P$92,MATCH(I$7,Abroad!$A$6:$A$92,0))/1000</f>
        <v>28.1649635664072</v>
      </c>
      <c r="J24" s="11" t="n">
        <f aca="false">INDEX(Abroad!$P$6:$P$92,MATCH(J$7,Abroad!$A$6:$A$92,0))/1000</f>
        <v>32.1401275544521</v>
      </c>
      <c r="K24" s="11" t="n">
        <f aca="false">INDEX(Abroad!$P$6:$P$92,MATCH(K$7,Abroad!$A$6:$A$92,0))/1000</f>
        <v>52.0389633158683</v>
      </c>
      <c r="L24" s="11" t="n">
        <f aca="false">INDEX(Abroad!$P$6:$P$92,MATCH(L$7,Abroad!$A$6:$A$92,0))/1000</f>
        <v>40.2697939764383</v>
      </c>
    </row>
    <row r="25" customFormat="false" ht="14.25" hidden="false" customHeight="false" outlineLevel="0" collapsed="false">
      <c r="B25" s="8" t="s">
        <v>24</v>
      </c>
      <c r="C25" s="9"/>
      <c r="D25" s="9"/>
      <c r="E25" s="9"/>
      <c r="F25" s="9"/>
      <c r="G25" s="9"/>
      <c r="H25" s="9"/>
      <c r="I25" s="9"/>
      <c r="J25" s="9"/>
      <c r="K25" s="9"/>
      <c r="L25" s="9"/>
    </row>
    <row r="26" customFormat="false" ht="14.25" hidden="false" customHeight="false" outlineLevel="0" collapsed="false">
      <c r="B26" s="10" t="s">
        <v>25</v>
      </c>
      <c r="C26" s="13" t="n">
        <f aca="false">INDEX(Budget!$M$6:$M$92,MATCH(C$7,Budget!$A$6:$A$92,0))</f>
        <v>6.90479482948093</v>
      </c>
      <c r="D26" s="13" t="n">
        <f aca="false">INDEX(Budget!$M$6:$M$92,MATCH(D$7,Budget!$A$6:$A$92,0))</f>
        <v>44.2069031847569</v>
      </c>
      <c r="E26" s="13" t="n">
        <f aca="false">INDEX(Budget!$M$6:$M$92,MATCH(E$7,Budget!$A$6:$A$92,0))</f>
        <v>119.820860409886</v>
      </c>
      <c r="F26" s="13" t="n">
        <f aca="false">INDEX(Budget!$M$6:$M$92,MATCH(F$7,Budget!$A$6:$A$92,0))</f>
        <v>275.420422104847</v>
      </c>
      <c r="G26" s="13" t="n">
        <f aca="false">INDEX(Budget!$M$6:$M$92,MATCH(G$7,Budget!$A$6:$A$92,0))</f>
        <v>655.045281880849</v>
      </c>
      <c r="H26" s="13" t="n">
        <f aca="false">INDEX(Budget!$M$6:$M$92,MATCH(H$7,Budget!$A$6:$A$92,0))</f>
        <v>1336.18068428271</v>
      </c>
      <c r="I26" s="13" t="n">
        <f aca="false">INDEX(Budget!$M$6:$M$92,MATCH(I$7,Budget!$A$6:$A$92,0))</f>
        <v>3318.17945212027</v>
      </c>
      <c r="J26" s="13" t="n">
        <f aca="false">INDEX(Budget!$M$6:$M$92,MATCH(J$7,Budget!$A$6:$A$92,0))</f>
        <v>3364.63846106969</v>
      </c>
      <c r="K26" s="13" t="n">
        <f aca="false">INDEX(Budget!$M$6:$M$92,MATCH(K$7,Budget!$A$6:$A$92,0))</f>
        <v>5659.09044173626</v>
      </c>
      <c r="L26" s="13" t="n">
        <f aca="false">INDEX(Budget!$M$6:$M$92,MATCH(L$7,Budget!$A$6:$A$92,0))</f>
        <v>3916.1460524271</v>
      </c>
    </row>
    <row r="27" customFormat="false" ht="14.25" hidden="false" customHeight="false" outlineLevel="0" collapsed="false">
      <c r="B27" s="10" t="s">
        <v>26</v>
      </c>
      <c r="C27" s="13" t="n">
        <f aca="false">INDEX(Budget!$K$6:$K$92,MATCH(C$7,Budget!$A$6:$A$92,0))</f>
        <v>0</v>
      </c>
      <c r="D27" s="13" t="n">
        <f aca="false">INDEX(Budget!$K$6:$K$92,MATCH(D$7,Budget!$A$6:$A$92,0))</f>
        <v>0</v>
      </c>
      <c r="E27" s="13" t="n">
        <f aca="false">INDEX(Budget!$K$6:$K$92,MATCH(E$7,Budget!$A$6:$A$92,0))</f>
        <v>0.86543629004021</v>
      </c>
      <c r="F27" s="13" t="n">
        <f aca="false">INDEX(Budget!$K$6:$K$92,MATCH(F$7,Budget!$A$6:$A$92,0))</f>
        <v>4.9315226118015</v>
      </c>
      <c r="G27" s="13" t="n">
        <f aca="false">INDEX(Budget!$K$6:$K$92,MATCH(G$7,Budget!$A$6:$A$92,0))</f>
        <v>17.9897861221812</v>
      </c>
      <c r="H27" s="13" t="n">
        <f aca="false">INDEX(Budget!$K$6:$K$92,MATCH(H$7,Budget!$A$6:$A$92,0))</f>
        <v>34.9164943919187</v>
      </c>
      <c r="I27" s="13" t="n">
        <f aca="false">INDEX(Budget!$K$6:$K$92,MATCH(I$7,Budget!$A$6:$A$92,0))</f>
        <v>66.8868748937477</v>
      </c>
      <c r="J27" s="13" t="n">
        <f aca="false">INDEX(Budget!$K$6:$K$92,MATCH(J$7,Budget!$A$6:$A$92,0))</f>
        <v>94.3891521645448</v>
      </c>
      <c r="K27" s="13" t="n">
        <f aca="false">INDEX(Budget!$K$6:$K$92,MATCH(K$7,Budget!$A$6:$A$92,0))</f>
        <v>170.34217810876</v>
      </c>
      <c r="L27" s="13" t="n">
        <f aca="false">INDEX(Budget!$K$6:$K$92,MATCH(L$7,Budget!$A$6:$A$92,0))</f>
        <v>104.496259100162</v>
      </c>
    </row>
    <row r="28" customFormat="false" ht="14.25" hidden="false" customHeight="fals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17.2474136149266</v>
      </c>
      <c r="G28" s="13" t="n">
        <f aca="false">INDEX(Budget!$J$6:$J$92,MATCH(G$7,Budget!$A$6:$A$92,0))</f>
        <v>52.2608605091902</v>
      </c>
      <c r="H28" s="13" t="n">
        <f aca="false">INDEX(Budget!$J$6:$J$92,MATCH(H$7,Budget!$A$6:$A$92,0))</f>
        <v>110.688781177758</v>
      </c>
      <c r="I28" s="13" t="n">
        <f aca="false">INDEX(Budget!$J$6:$J$92,MATCH(I$7,Budget!$A$6:$A$92,0))</f>
        <v>257.520374349007</v>
      </c>
      <c r="J28" s="13" t="n">
        <f aca="false">INDEX(Budget!$J$6:$J$92,MATCH(J$7,Budget!$A$6:$A$92,0))</f>
        <v>247.139566090618</v>
      </c>
      <c r="K28" s="13" t="n">
        <f aca="false">INDEX(Budget!$J$6:$J$92,MATCH(K$7,Budget!$A$6:$A$92,0))</f>
        <v>484.370861472436</v>
      </c>
      <c r="L28" s="13" t="n">
        <f aca="false">INDEX(Budget!$J$6:$J$92,MATCH(L$7,Budget!$A$6:$A$92,0))</f>
        <v>264.462175034072</v>
      </c>
    </row>
    <row r="29" customFormat="false" ht="14.25" hidden="false" customHeight="false" outlineLevel="0" collapsed="false">
      <c r="B29" s="10" t="s">
        <v>28</v>
      </c>
      <c r="C29" s="13" t="n">
        <f aca="false">INDEX(Budget!$Y$6:$Y$92,MATCH(C$7,Budget!$A$6:$A$92,0))</f>
        <v>6.2385247626705</v>
      </c>
      <c r="D29" s="13" t="n">
        <f aca="false">INDEX(Budget!$Y$6:$Y$92,MATCH(D$7,Budget!$A$6:$A$92,0))</f>
        <v>51.6037186177984</v>
      </c>
      <c r="E29" s="13" t="n">
        <f aca="false">INDEX(Budget!$Y$6:$Y$92,MATCH(E$7,Budget!$A$6:$A$92,0))</f>
        <v>100.499396867093</v>
      </c>
      <c r="F29" s="13" t="n">
        <f aca="false">INDEX(Budget!$Y$6:$Y$92,MATCH(F$7,Budget!$A$6:$A$92,0))</f>
        <v>227.730855317056</v>
      </c>
      <c r="G29" s="13" t="n">
        <f aca="false">INDEX(Budget!$Y$6:$Y$92,MATCH(G$7,Budget!$A$6:$A$92,0))</f>
        <v>509.254175150988</v>
      </c>
      <c r="H29" s="13" t="n">
        <f aca="false">INDEX(Budget!$Y$6:$Y$92,MATCH(H$7,Budget!$A$6:$A$92,0))</f>
        <v>1079.37101373993</v>
      </c>
      <c r="I29" s="13" t="n">
        <f aca="false">INDEX(Budget!$Y$6:$Y$92,MATCH(I$7,Budget!$A$6:$A$92,0))</f>
        <v>2466.54340864944</v>
      </c>
      <c r="J29" s="13" t="n">
        <f aca="false">INDEX(Budget!$Y$6:$Y$92,MATCH(J$7,Budget!$A$6:$A$92,0))</f>
        <v>2657.42215127837</v>
      </c>
      <c r="K29" s="13" t="n">
        <f aca="false">INDEX(Budget!$Y$6:$Y$92,MATCH(K$7,Budget!$A$6:$A$92,0))</f>
        <v>4229.48828923963</v>
      </c>
      <c r="L29" s="13" t="n">
        <f aca="false">INDEX(Budget!$Y$6:$Y$92,MATCH(L$7,Budget!$A$6:$A$92,0))</f>
        <v>3732.18768676787</v>
      </c>
    </row>
    <row r="30" customFormat="false" ht="14.25" hidden="false" customHeight="false" outlineLevel="0" collapsed="false">
      <c r="B30" s="10" t="s">
        <v>29</v>
      </c>
      <c r="C30" s="15" t="n">
        <f aca="false">INDEX(Budget!$AC$6:$AC$92,MATCH(C$7,Budget!$A$6:$A$92,0))</f>
        <v>0.0157878337436002</v>
      </c>
      <c r="D30" s="15" t="n">
        <f aca="false">INDEX(Budget!$AC$6:$AC$92,MATCH(D$7,Budget!$A$6:$A$92,0))</f>
        <v>0.0779938908431348</v>
      </c>
      <c r="E30" s="15" t="n">
        <f aca="false">INDEX(Budget!$AC$6:$AC$92,MATCH(E$7,Budget!$A$6:$A$92,0))</f>
        <v>0.0208493753740388</v>
      </c>
      <c r="F30" s="15" t="n">
        <f aca="false">INDEX(Budget!$AC$6:$AC$92,MATCH(F$7,Budget!$A$6:$A$92,0))</f>
        <v>0.00956939719068527</v>
      </c>
      <c r="G30" s="15" t="n">
        <f aca="false">INDEX(Budget!$AC$6:$AC$92,MATCH(G$7,Budget!$A$6:$A$92,0))</f>
        <v>0.00816728498119424</v>
      </c>
      <c r="H30" s="15" t="n">
        <f aca="false">INDEX(Budget!$AC$6:$AC$92,MATCH(H$7,Budget!$A$6:$A$92,0))</f>
        <v>0.00768172575415157</v>
      </c>
      <c r="I30" s="15" t="n">
        <f aca="false">INDEX(Budget!$AC$6:$AC$92,MATCH(I$7,Budget!$A$6:$A$92,0))</f>
        <v>0.0118640259145143</v>
      </c>
      <c r="J30" s="15" t="n">
        <f aca="false">INDEX(Budget!$AC$6:$AC$92,MATCH(J$7,Budget!$A$6:$A$92,0))</f>
        <v>0.00876372825831803</v>
      </c>
      <c r="K30" s="15" t="n">
        <f aca="false">INDEX(Budget!$AC$6:$AC$92,MATCH(K$7,Budget!$A$6:$A$92,0))</f>
        <v>0.00562651264923603</v>
      </c>
      <c r="L30" s="15" t="n">
        <f aca="false">INDEX(Budget!$AC$6:$AC$92,MATCH(L$7,Budget!$A$6:$A$92,0))</f>
        <v>0.0060851676296098</v>
      </c>
    </row>
    <row r="31" customFormat="false" ht="14.25" hidden="false" customHeight="false" outlineLevel="0" collapsed="false">
      <c r="B31" s="10" t="s">
        <v>30</v>
      </c>
      <c r="C31" s="13" t="n">
        <f aca="false">INDEX('Debt &amp; cash'!$R$6:$R$92,MATCH(C$7,'Debt &amp; cash'!$A$6:$A$92,0))</f>
        <v>15.4540189132215</v>
      </c>
      <c r="D31" s="13" t="n">
        <f aca="false">INDEX('Debt &amp; cash'!$R$6:$R$92,MATCH(D$7,'Debt &amp; cash'!$A$6:$A$92,0))</f>
        <v>93.6302879276406</v>
      </c>
      <c r="E31" s="13" t="n">
        <f aca="false">INDEX('Debt &amp; cash'!$R$6:$R$92,MATCH(E$7,'Debt &amp; cash'!$A$6:$A$92,0))</f>
        <v>87.3527337159776</v>
      </c>
      <c r="F31" s="13" t="n">
        <f aca="false">INDEX('Debt &amp; cash'!$R$6:$R$92,MATCH(F$7,'Debt &amp; cash'!$A$6:$A$92,0))</f>
        <v>126.29258336945</v>
      </c>
      <c r="G31" s="13" t="n">
        <f aca="false">INDEX('Debt &amp; cash'!$R$6:$R$92,MATCH(G$7,'Debt &amp; cash'!$A$6:$A$92,0))</f>
        <v>318.78576613832</v>
      </c>
      <c r="H31" s="13" t="n">
        <f aca="false">INDEX('Debt &amp; cash'!$R$6:$R$92,MATCH(H$7,'Debt &amp; cash'!$A$6:$A$92,0))</f>
        <v>665.708808627575</v>
      </c>
      <c r="I31" s="13" t="n">
        <f aca="false">INDEX('Debt &amp; cash'!$R$6:$R$92,MATCH(I$7,'Debt &amp; cash'!$A$6:$A$92,0))</f>
        <v>1393.35914513311</v>
      </c>
      <c r="J31" s="13" t="n">
        <f aca="false">INDEX('Debt &amp; cash'!$R$6:$R$92,MATCH(J$7,'Debt &amp; cash'!$A$6:$A$92,0))</f>
        <v>1572.40958864037</v>
      </c>
      <c r="K31" s="13" t="n">
        <f aca="false">INDEX('Debt &amp; cash'!$R$6:$R$92,MATCH(K$7,'Debt &amp; cash'!$A$6:$A$92,0))</f>
        <v>2539.06643744908</v>
      </c>
      <c r="L31" s="13" t="n">
        <f aca="false">INDEX('Debt &amp; cash'!$R$6:$R$92,MATCH(L$7,'Debt &amp; cash'!$A$6:$A$92,0))</f>
        <v>2169.34283839015</v>
      </c>
    </row>
    <row r="32" customFormat="false" ht="14.25" hidden="false" customHeight="false" outlineLevel="0" collapsed="false">
      <c r="B32" s="10" t="s">
        <v>31</v>
      </c>
      <c r="C32" s="15" t="n">
        <f aca="false">INDEX('Debt &amp; cash'!$V$6:$V$92,MATCH(C$7,'Debt &amp; cash'!$A$6:$A$92,0))</f>
        <v>0.199824308986399</v>
      </c>
      <c r="D32" s="15" t="n">
        <f aca="false">INDEX('Debt &amp; cash'!$V$6:$V$92,MATCH(D$7,'Debt &amp; cash'!$A$6:$A$92,0))</f>
        <v>0.272848278666824</v>
      </c>
      <c r="E32" s="15" t="n">
        <f aca="false">INDEX('Debt &amp; cash'!$V$6:$V$92,MATCH(E$7,'Debt &amp; cash'!$A$6:$A$92,0))</f>
        <v>0.0892741568496317</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0.0549265609919733</v>
      </c>
    </row>
    <row r="33" customFormat="false" ht="14.25" hidden="false" customHeight="false" outlineLevel="0" collapsed="false">
      <c r="B33" s="10" t="s">
        <v>32</v>
      </c>
      <c r="C33" s="13" t="n">
        <f aca="false">INDEX('Debt &amp; cash'!$S$6:$S$92,MATCH(C$7,'Debt &amp; cash'!$A$6:$A$92,0))</f>
        <v>0.0448355715602387</v>
      </c>
      <c r="D33" s="13" t="n">
        <f aca="false">INDEX('Debt &amp; cash'!$S$6:$S$92,MATCH(D$7,'Debt &amp; cash'!$A$6:$A$92,0))</f>
        <v>0</v>
      </c>
      <c r="E33" s="13" t="n">
        <f aca="false">INDEX('Debt &amp; cash'!$S$6:$S$92,MATCH(E$7,'Debt &amp; cash'!$A$6:$A$92,0))</f>
        <v>15.8686564937561</v>
      </c>
      <c r="F33" s="13" t="n">
        <f aca="false">INDEX('Debt &amp; cash'!$S$6:$S$92,MATCH(F$7,'Debt &amp; cash'!$A$6:$A$92,0))</f>
        <v>0</v>
      </c>
      <c r="G33" s="13" t="n">
        <f aca="false">INDEX('Debt &amp; cash'!$S$6:$S$92,MATCH(G$7,'Debt &amp; cash'!$A$6:$A$92,0))</f>
        <v>35.5877510212904</v>
      </c>
      <c r="H33" s="13" t="n">
        <f aca="false">INDEX('Debt &amp; cash'!$S$6:$S$92,MATCH(H$7,'Debt &amp; cash'!$A$6:$A$92,0))</f>
        <v>122.891211735281</v>
      </c>
      <c r="I33" s="13" t="n">
        <f aca="false">INDEX('Debt &amp; cash'!$S$6:$S$92,MATCH(I$7,'Debt &amp; cash'!$A$6:$A$92,0))</f>
        <v>162.532450943117</v>
      </c>
      <c r="J33" s="13" t="n">
        <f aca="false">INDEX('Debt &amp; cash'!$S$6:$S$92,MATCH(J$7,'Debt &amp; cash'!$A$6:$A$92,0))</f>
        <v>342.84627606226</v>
      </c>
      <c r="K33" s="13" t="n">
        <f aca="false">INDEX('Debt &amp; cash'!$S$6:$S$92,MATCH(K$7,'Debt &amp; cash'!$A$6:$A$92,0))</f>
        <v>762.885174656468</v>
      </c>
      <c r="L33" s="13" t="n">
        <f aca="false">INDEX('Debt &amp; cash'!$S$6:$S$92,MATCH(L$7,'Debt &amp; cash'!$A$6:$A$92,0))</f>
        <v>860.845113077837</v>
      </c>
    </row>
    <row r="34" customFormat="false" ht="14.25" hidden="false" customHeight="fals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137.069715436704</v>
      </c>
      <c r="I34" s="13" t="n">
        <f aca="false">INDEX(Loans!$X$6:$X$92,MATCH(I$7,Loans!$A$6:$A$92,0))</f>
        <v>1624.86061020005</v>
      </c>
      <c r="J34" s="13" t="n">
        <f aca="false">INDEX(Loans!$X$6:$X$92,MATCH(J$7,Loans!$A$6:$A$92,0))</f>
        <v>1669.67546109244</v>
      </c>
      <c r="K34" s="13" t="n">
        <f aca="false">INDEX(Loans!$X$6:$X$92,MATCH(K$7,Loans!$A$6:$A$92,0))</f>
        <v>1638.61027161831</v>
      </c>
      <c r="L34" s="13" t="n">
        <f aca="false">INDEX(Loans!$X$6:$X$92,MATCH(L$7,Loans!$A$6:$A$92,0))</f>
        <v>1898.39971196565</v>
      </c>
    </row>
    <row r="35" customFormat="false" ht="14.25" hidden="false" customHeight="false" outlineLevel="0" collapsed="false">
      <c r="B35" s="10" t="s">
        <v>34</v>
      </c>
      <c r="C35" s="13" t="n">
        <f aca="false">INDEX('Gold &amp; money'!$F$6:$F$92,MATCH(C$7,'Gold &amp; money'!$A$6:$A$92,0))</f>
        <v>18.3546760651055</v>
      </c>
      <c r="D35" s="13" t="n">
        <f aca="false">INDEX('Gold &amp; money'!$F$6:$F$92,MATCH(D$7,'Gold &amp; money'!$A$6:$A$92,0))</f>
        <v>187.524043894768</v>
      </c>
      <c r="E35" s="13" t="n">
        <f aca="false">INDEX('Gold &amp; money'!$F$6:$F$92,MATCH(E$7,'Gold &amp; money'!$A$6:$A$92,0))</f>
        <v>291.675063198775</v>
      </c>
      <c r="F35" s="13" t="n">
        <f aca="false">INDEX('Gold &amp; money'!$F$6:$F$92,MATCH(F$7,'Gold &amp; money'!$A$6:$A$92,0))</f>
        <v>357.349040304602</v>
      </c>
      <c r="G35" s="13" t="n">
        <f aca="false">INDEX('Gold &amp; money'!$F$6:$F$92,MATCH(G$7,'Gold &amp; money'!$A$6:$A$92,0))</f>
        <v>535.381086724755</v>
      </c>
      <c r="H35" s="13" t="n">
        <f aca="false">INDEX('Gold &amp; money'!$F$6:$F$92,MATCH(H$7,'Gold &amp; money'!$A$6:$A$92,0))</f>
        <v>836.605364763737</v>
      </c>
      <c r="I35" s="13" t="n">
        <f aca="false">INDEX('Gold &amp; money'!$F$6:$F$92,MATCH(I$7,'Gold &amp; money'!$A$6:$A$92,0))</f>
        <v>1115.1283493888</v>
      </c>
      <c r="J35" s="13" t="n">
        <f aca="false">INDEX('Gold &amp; money'!$F$6:$F$92,MATCH(J$7,'Gold &amp; money'!$A$6:$A$92,0))</f>
        <v>1423.83270291976</v>
      </c>
      <c r="K35" s="13" t="n">
        <f aca="false">INDEX('Gold &amp; money'!$F$6:$F$92,MATCH(K$7,'Gold &amp; money'!$A$6:$A$92,0))</f>
        <v>1851.56034229679</v>
      </c>
      <c r="L35" s="13" t="n">
        <f aca="false">INDEX('Gold &amp; money'!$F$6:$F$92,MATCH(L$7,'Gold &amp; money'!$A$6:$A$92,0))</f>
        <v>1756.98554341871</v>
      </c>
    </row>
    <row r="36" customFormat="false" ht="14.25" hidden="false" customHeight="false" outlineLevel="0" collapsed="false">
      <c r="B36" s="8" t="s">
        <v>35</v>
      </c>
      <c r="C36" s="9"/>
      <c r="D36" s="9"/>
      <c r="E36" s="9"/>
      <c r="F36" s="9"/>
      <c r="G36" s="9"/>
      <c r="H36" s="9"/>
      <c r="I36" s="9"/>
      <c r="J36" s="9"/>
      <c r="K36" s="9"/>
      <c r="L36" s="9"/>
    </row>
    <row r="37" customFormat="false" ht="14.25" hidden="false" customHeight="fals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fals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fals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fals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fals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false" outlineLevel="0" collapsed="false">
      <c r="B42" s="8" t="s">
        <v>41</v>
      </c>
      <c r="C42" s="9"/>
      <c r="D42" s="9"/>
      <c r="E42" s="9"/>
      <c r="F42" s="9"/>
      <c r="G42" s="9"/>
      <c r="H42" s="9"/>
      <c r="I42" s="9"/>
      <c r="J42" s="9"/>
      <c r="K42" s="9"/>
      <c r="L42" s="9"/>
    </row>
    <row r="43" customFormat="false" ht="14.25" hidden="false" customHeight="false" outlineLevel="0" collapsed="false">
      <c r="B43" s="10" t="s">
        <v>42</v>
      </c>
      <c r="C43" s="11" t="n">
        <f aca="false">INDEX(Japan!$D$6:$D$92,MATCH(C$7,Japan!$A$6:$A$92,0))/1000</f>
        <v>0</v>
      </c>
      <c r="D43" s="11" t="n">
        <f aca="false">INDEX(Japan!$D$6:$D$92,MATCH(D$7,Japan!$A$6:$A$92,0))/1000</f>
        <v>0</v>
      </c>
      <c r="E43" s="11" t="n">
        <f aca="false">INDEX(Japan!$D$6:$D$92,MATCH(E$7,Japan!$A$6:$A$92,0))/1000</f>
        <v>0.681369409664653</v>
      </c>
      <c r="F43" s="11" t="n">
        <f aca="false">INDEX(Japan!$D$6:$D$92,MATCH(F$7,Japan!$A$6:$A$92,0))/1000</f>
        <v>1.1603636348834</v>
      </c>
      <c r="G43" s="11" t="n">
        <f aca="false">INDEX(Japan!$D$6:$D$92,MATCH(G$7,Japan!$A$6:$A$92,0))/1000</f>
        <v>2.60276542201918</v>
      </c>
      <c r="H43" s="11" t="n">
        <f aca="false">INDEX(Japan!$D$6:$D$92,MATCH(H$7,Japan!$A$6:$A$92,0))/1000</f>
        <v>4.84278116702582</v>
      </c>
      <c r="I43" s="11" t="n">
        <f aca="false">INDEX(Japan!$D$6:$D$92,MATCH(I$7,Japan!$A$6:$A$92,0))/1000</f>
        <v>12.7160517045704</v>
      </c>
      <c r="J43" s="11" t="n">
        <f aca="false">INDEX(Japan!$D$6:$D$92,MATCH(J$7,Japan!$A$6:$A$92,0))/1000</f>
        <v>17.3310654558172</v>
      </c>
      <c r="K43" s="11" t="n">
        <f aca="false">INDEX(Japan!$D$6:$D$92,MATCH(K$7,Japan!$A$6:$A$92,0))/1000</f>
        <v>20.5557978917044</v>
      </c>
      <c r="L43" s="11" t="n">
        <f aca="false">INDEX(Japan!$D$6:$D$92,MATCH(L$7,Japan!$A$6:$A$92,0))/1000</f>
        <v>17.2779710810326</v>
      </c>
    </row>
    <row r="44" customFormat="false" ht="14.25" hidden="false" customHeight="false" outlineLevel="0" collapsed="false">
      <c r="B44" s="10" t="s">
        <v>43</v>
      </c>
      <c r="C44" s="11" t="n">
        <f aca="false">INDEX(Partners!$J$6:$J$92,MATCH(C$7,Partners!$A$6:$A$92,0))</f>
        <v>0</v>
      </c>
      <c r="D44" s="11" t="n">
        <f aca="false">INDEX(Partners!$J$6:$J$92,MATCH(D$7,Partners!$A$6:$A$92,0))</f>
        <v>0</v>
      </c>
      <c r="E44" s="11" t="n">
        <f aca="false">INDEX(Partners!$J$6:$J$92,MATCH(E$7,Partners!$A$6:$A$92,0))</f>
        <v>0.0895031275831038</v>
      </c>
      <c r="F44" s="11" t="n">
        <f aca="false">INDEX(Partners!$J$6:$J$92,MATCH(F$7,Partners!$A$6:$A$92,0))</f>
        <v>0.138138527962309</v>
      </c>
      <c r="G44" s="11" t="n">
        <f aca="false">INDEX(Partners!$J$6:$J$92,MATCH(G$7,Partners!$A$6:$A$92,0))</f>
        <v>0.191733671851666</v>
      </c>
      <c r="H44" s="11" t="n">
        <f aca="false">INDEX(Partners!$J$6:$J$92,MATCH(H$7,Partners!$A$6:$A$92,0))</f>
        <v>0.234246134837927</v>
      </c>
      <c r="I44" s="11" t="n">
        <f aca="false">INDEX(Partners!$J$6:$J$92,MATCH(I$7,Partners!$A$6:$A$92,0))</f>
        <v>0.315229095571103</v>
      </c>
      <c r="J44" s="11" t="n">
        <f aca="false">INDEX(Partners!$J$6:$J$92,MATCH(J$7,Partners!$A$6:$A$92,0))</f>
        <v>0.441943141398249</v>
      </c>
      <c r="K44" s="11" t="n">
        <f aca="false">INDEX(Partners!$J$6:$J$92,MATCH(K$7,Partners!$A$6:$A$92,0))</f>
        <v>0.376849071740705</v>
      </c>
      <c r="L44" s="11" t="n">
        <f aca="false">INDEX(Partners!$J$6:$J$92,MATCH(L$7,Partners!$A$6:$A$92,0))</f>
        <v>0.546660520686715</v>
      </c>
    </row>
    <row r="45" customFormat="false" ht="14.25" hidden="false" customHeight="false" outlineLevel="0" collapsed="false">
      <c r="B45" s="10" t="s">
        <v>44</v>
      </c>
      <c r="C45" s="11" t="n">
        <f aca="false">INDEX(Partners!$CA$6:$CA$92,MATCH(C$7,Partners!$A$6:$A$92,0))</f>
        <v>0</v>
      </c>
      <c r="D45" s="11" t="n">
        <f aca="false">INDEX(Partners!$CA$6:$CA$92,MATCH(D$7,Partners!$A$6:$A$92,0))</f>
        <v>0</v>
      </c>
      <c r="E45" s="11" t="n">
        <f aca="false">INDEX(Partners!$CA$6:$CA$92,MATCH(E$7,Partners!$A$6:$A$92,0))</f>
        <v>1.12082942676404</v>
      </c>
      <c r="F45" s="11" t="n">
        <f aca="false">INDEX(Partners!$CA$6:$CA$92,MATCH(F$7,Partners!$A$6:$A$92,0))</f>
        <v>1.3795849258774</v>
      </c>
      <c r="G45" s="11" t="n">
        <f aca="false">INDEX(Partners!$CA$6:$CA$92,MATCH(G$7,Partners!$A$6:$A$92,0))</f>
        <v>1.39604104021319</v>
      </c>
      <c r="H45" s="11" t="n">
        <f aca="false">INDEX(Partners!$CA$6:$CA$92,MATCH(H$7,Partners!$A$6:$A$92,0))</f>
        <v>1.55388825823855</v>
      </c>
      <c r="I45" s="11" t="n">
        <f aca="false">INDEX(Partners!$CA$6:$CA$92,MATCH(I$7,Partners!$A$6:$A$92,0))</f>
        <v>1.69995532732382</v>
      </c>
      <c r="J45" s="11" t="n">
        <f aca="false">INDEX(Partners!$CA$6:$CA$92,MATCH(J$7,Partners!$A$6:$A$92,0))</f>
        <v>1.79216530920738</v>
      </c>
      <c r="K45" s="11" t="n">
        <f aca="false">INDEX(Partners!$CA$6:$CA$92,MATCH(K$7,Partners!$A$6:$A$92,0))</f>
        <v>1.91380206676739</v>
      </c>
      <c r="L45" s="11" t="n">
        <f aca="false">INDEX(Partners!$CA$6:$CA$92,MATCH(L$7,Partners!$A$6:$A$92,0))</f>
        <v>2.0959674386385</v>
      </c>
    </row>
    <row r="46" customFormat="false" ht="14.25" hidden="false" customHeight="false" outlineLevel="0" collapsed="false">
      <c r="B46" s="10" t="s">
        <v>45</v>
      </c>
      <c r="C46" s="11" t="n">
        <f aca="false">INDEX(Partners!$BW$6:$BW$92,MATCH(C$7,Partners!$A$6:$A$92,0))</f>
        <v>1</v>
      </c>
      <c r="D46" s="11" t="n">
        <f aca="false">INDEX(Partners!$BW$6:$BW$92,MATCH(D$7,Partners!$A$6:$A$92,0))</f>
        <v>1.00086654311121</v>
      </c>
      <c r="E46" s="11" t="n">
        <f aca="false">INDEX(Partners!$BW$6:$BW$92,MATCH(E$7,Partners!$A$6:$A$92,0))</f>
        <v>1.04638407708545</v>
      </c>
      <c r="F46" s="11" t="n">
        <f aca="false">INDEX(Partners!$BW$6:$BW$92,MATCH(F$7,Partners!$A$6:$A$92,0))</f>
        <v>1.1529350146032</v>
      </c>
      <c r="G46" s="11" t="n">
        <f aca="false">INDEX(Partners!$BW$6:$BW$92,MATCH(G$7,Partners!$A$6:$A$92,0))</f>
        <v>1.25926786634199</v>
      </c>
      <c r="H46" s="11" t="n">
        <f aca="false">INDEX(Partners!$BW$6:$BW$92,MATCH(H$7,Partners!$A$6:$A$92,0))</f>
        <v>1.37067803171838</v>
      </c>
      <c r="I46" s="11" t="n">
        <f aca="false">INDEX(Partners!$BW$6:$BW$92,MATCH(I$7,Partners!$A$6:$A$92,0))</f>
        <v>1.45216604417166</v>
      </c>
      <c r="J46" s="11" t="n">
        <f aca="false">INDEX(Partners!$BW$6:$BW$92,MATCH(J$7,Partners!$A$6:$A$92,0))</f>
        <v>1.52255724073575</v>
      </c>
      <c r="K46" s="11" t="n">
        <f aca="false">INDEX(Partners!$BW$6:$BW$92,MATCH(K$7,Partners!$A$6:$A$92,0))</f>
        <v>1.6677868065726</v>
      </c>
      <c r="L46" s="11" t="n">
        <f aca="false">INDEX(Partners!$BW$6:$BW$92,MATCH(L$7,Partners!$A$6:$A$92,0))</f>
        <v>1.73892942156031</v>
      </c>
    </row>
    <row r="47" customFormat="false" ht="14.25" hidden="false" customHeight="false" outlineLevel="0" collapsed="false">
      <c r="B47" s="10" t="s">
        <v>46</v>
      </c>
      <c r="C47" s="12" t="n">
        <f aca="false">INDEX(Japan!$AA$6:$AA$92,MATCH(C$7,Japan!$A$6:$A$92,0))</f>
        <v>0</v>
      </c>
      <c r="D47" s="12" t="n">
        <f aca="false">INDEX(Japan!$AA$6:$AA$92,MATCH(D$7,Japan!$A$6:$A$92,0))</f>
        <v>0</v>
      </c>
      <c r="E47" s="12" t="n">
        <f aca="false">INDEX(Japan!$AA$6:$AA$92,MATCH(E$7,Japan!$A$6:$A$92,0))</f>
        <v>0.170353328668617</v>
      </c>
      <c r="F47" s="12" t="n">
        <f aca="false">INDEX(Japan!$AA$6:$AA$92,MATCH(F$7,Japan!$A$6:$A$92,0))</f>
        <v>0.142203555380896</v>
      </c>
      <c r="G47" s="12" t="n">
        <f aca="false">INDEX(Japan!$AA$6:$AA$92,MATCH(G$7,Japan!$A$6:$A$92,0))</f>
        <v>0.434370629924488</v>
      </c>
      <c r="H47" s="12" t="n">
        <f aca="false">INDEX(Japan!$AA$6:$AA$92,MATCH(H$7,Japan!$A$6:$A$92,0))</f>
        <v>0.112417445990787</v>
      </c>
      <c r="I47" s="12" t="n">
        <f aca="false">INDEX(Japan!$AA$6:$AA$92,MATCH(I$7,Japan!$A$6:$A$92,0))</f>
        <v>0.0234555018844096</v>
      </c>
      <c r="J47" s="12" t="n">
        <f aca="false">INDEX(Japan!$AA$6:$AA$92,MATCH(J$7,Japan!$A$6:$A$92,0))</f>
        <v>0.0152355694006477</v>
      </c>
      <c r="K47" s="12" t="n">
        <f aca="false">INDEX(Japan!$AA$6:$AA$92,MATCH(K$7,Japan!$A$6:$A$92,0))</f>
        <v>0.043602926756544</v>
      </c>
      <c r="L47" s="12" t="n">
        <f aca="false">INDEX(Japan!$AA$6:$AA$92,MATCH(L$7,Japan!$A$6:$A$92,0))</f>
        <v>0.032099669166501</v>
      </c>
    </row>
    <row r="48" customFormat="false" ht="14.25" hidden="false" customHeight="false" outlineLevel="0" collapsed="false">
      <c r="B48" s="8" t="s">
        <v>47</v>
      </c>
      <c r="C48" s="9"/>
      <c r="D48" s="9"/>
      <c r="E48" s="9"/>
      <c r="F48" s="9"/>
      <c r="G48" s="9"/>
      <c r="H48" s="9"/>
      <c r="I48" s="9"/>
      <c r="J48" s="9"/>
      <c r="K48" s="9"/>
      <c r="L48" s="9"/>
    </row>
    <row r="49" customFormat="false" ht="14.25" hidden="false" customHeight="fals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false" outlineLevel="0" collapsed="false">
      <c r="B51" s="8" t="s">
        <v>49</v>
      </c>
      <c r="C51" s="9"/>
      <c r="D51" s="9"/>
      <c r="E51" s="9"/>
      <c r="F51" s="9"/>
    </row>
    <row r="52" customFormat="false" ht="14.25" hidden="false" customHeight="false" outlineLevel="0" collapsed="false">
      <c r="C52" s="7" t="n">
        <v>1913</v>
      </c>
      <c r="D52" s="7" t="n">
        <v>1929</v>
      </c>
      <c r="E52" s="7" t="n">
        <v>1932</v>
      </c>
    </row>
    <row r="53" customFormat="false" ht="14.25" hidden="false" customHeight="false" outlineLevel="0" collapsed="false">
      <c r="B53" s="10" t="s">
        <v>50</v>
      </c>
      <c r="C53" s="17" t="n">
        <f aca="false">World!E6</f>
        <v>13.3141761725515</v>
      </c>
      <c r="D53" s="17" t="n">
        <f aca="false">World!F6</f>
        <v>50.7813287489817</v>
      </c>
      <c r="E53" s="17" t="n">
        <f aca="false">World!G6</f>
        <v>39.4953333908374</v>
      </c>
    </row>
    <row r="54" customFormat="false" ht="14.25" hidden="false" customHeight="false" outlineLevel="0" collapsed="false">
      <c r="B54" s="4" t="s">
        <v>51</v>
      </c>
      <c r="C54" s="17" t="n">
        <f aca="false">World!E8</f>
        <v>18.1569573395773</v>
      </c>
      <c r="D54" s="17" t="n">
        <f aca="false">World!F8</f>
        <v>71.3371266406861</v>
      </c>
      <c r="E54" s="17" t="n">
        <f aca="false">World!G8</f>
        <v>56.77330447187</v>
      </c>
    </row>
    <row r="55" customFormat="false" ht="14.25" hidden="false" customHeight="false" outlineLevel="0" collapsed="false">
      <c r="B55" s="4" t="s">
        <v>52</v>
      </c>
      <c r="C55" s="17" t="n">
        <f aca="false">World!E12</f>
        <v>21.1314371317809</v>
      </c>
      <c r="D55" s="17" t="n">
        <f aca="false">World!F12</f>
        <v>83.1839345070452</v>
      </c>
      <c r="E55" s="17" t="n">
        <f aca="false">World!G12</f>
        <v>64.4809399373918</v>
      </c>
    </row>
    <row r="56" customFormat="false" ht="14.25" hidden="false" customHeight="false" outlineLevel="0" collapsed="false">
      <c r="B56" s="10" t="s">
        <v>53</v>
      </c>
      <c r="C56" s="17" t="n">
        <f aca="false">World!E13</f>
        <v>29.2521556018677</v>
      </c>
      <c r="D56" s="17" t="n">
        <f aca="false">World!F13</f>
        <v>71.2716606910341</v>
      </c>
      <c r="E56" s="17" t="n">
        <f aca="false">World!G13</f>
        <v>36.7282964940073</v>
      </c>
    </row>
    <row r="57" customFormat="false" ht="14.25" hidden="false" customHeight="false" outlineLevel="0" collapsed="false">
      <c r="B57" s="10" t="s">
        <v>54</v>
      </c>
      <c r="C57" s="17" t="n">
        <f aca="false">World!E15</f>
        <v>12.2</v>
      </c>
      <c r="D57" s="17" t="n">
        <f aca="false">World!F15</f>
        <v>22.9</v>
      </c>
      <c r="E57" s="17" t="n">
        <f aca="false">World!G15</f>
        <v>15.3</v>
      </c>
    </row>
    <row r="58" customFormat="false" ht="14.25" hidden="false" customHeight="false" outlineLevel="0" collapsed="false">
      <c r="B58" s="10" t="s">
        <v>55</v>
      </c>
      <c r="C58" s="17" t="n">
        <f aca="false">World!E16</f>
        <v>12.4</v>
      </c>
      <c r="D58" s="17" t="n">
        <f aca="false">World!F16</f>
        <v>23.3</v>
      </c>
      <c r="E58" s="17" t="n">
        <f aca="false">World!G16</f>
        <v>15.2</v>
      </c>
    </row>
    <row r="60" customFormat="false" ht="14.25" hidden="false" customHeight="false" outlineLevel="0" collapsed="false">
      <c r="B60" s="8" t="s">
        <v>56</v>
      </c>
      <c r="C60" s="9"/>
      <c r="D60" s="9"/>
      <c r="E60" s="9"/>
      <c r="F60" s="9"/>
      <c r="G60" s="9"/>
      <c r="H60" s="9"/>
      <c r="I60" s="9"/>
      <c r="J60" s="9"/>
      <c r="K60" s="9"/>
      <c r="L60" s="9"/>
    </row>
    <row r="61" customFormat="false" ht="14.25" hidden="false" customHeight="false" outlineLevel="0" collapsed="false">
      <c r="B61" s="18" t="s">
        <v>57</v>
      </c>
      <c r="C61" s="10" t="s">
        <v>58</v>
      </c>
    </row>
    <row r="62" customFormat="false" ht="14.25" hidden="false" customHeight="false" outlineLevel="0" collapsed="false">
      <c r="B62" s="18" t="s">
        <v>59</v>
      </c>
      <c r="C62" s="10" t="s">
        <v>60</v>
      </c>
    </row>
    <row r="63" customFormat="false" ht="14.25" hidden="false" customHeight="false" outlineLevel="0" collapsed="false">
      <c r="B63" s="18" t="s">
        <v>61</v>
      </c>
      <c r="C63" s="10" t="s">
        <v>62</v>
      </c>
    </row>
    <row r="64" customFormat="false" ht="14.25" hidden="false" customHeight="false" outlineLevel="0" collapsed="false">
      <c r="B64" s="18" t="s">
        <v>63</v>
      </c>
      <c r="C64" s="10" t="s">
        <v>64</v>
      </c>
    </row>
    <row r="65" customFormat="false" ht="14.25" hidden="false" customHeight="false" outlineLevel="0" collapsed="false">
      <c r="B65" s="18" t="s">
        <v>65</v>
      </c>
      <c r="C65" s="10" t="s">
        <v>66</v>
      </c>
    </row>
    <row r="66" customFormat="false" ht="14.25" hidden="false" customHeight="false" outlineLevel="0" collapsed="false">
      <c r="B66" s="18" t="s">
        <v>67</v>
      </c>
      <c r="C66" s="10" t="s">
        <v>68</v>
      </c>
    </row>
    <row r="67" customFormat="false" ht="14.25" hidden="false" customHeight="false" outlineLevel="0" collapsed="false">
      <c r="B67" s="18" t="s">
        <v>69</v>
      </c>
      <c r="C67" s="10" t="s">
        <v>70</v>
      </c>
    </row>
    <row r="68" customFormat="false" ht="14.25" hidden="false" customHeight="false" outlineLevel="0" collapsed="false">
      <c r="B68" s="18" t="s">
        <v>71</v>
      </c>
      <c r="C68" s="10" t="s">
        <v>72</v>
      </c>
    </row>
    <row r="69" customFormat="false" ht="14.25" hidden="false" customHeight="false" outlineLevel="0" collapsed="false">
      <c r="B69" s="18" t="s">
        <v>73</v>
      </c>
      <c r="C69" s="10" t="s">
        <v>74</v>
      </c>
    </row>
    <row r="70" customFormat="false" ht="14.25" hidden="false" customHeight="false" outlineLevel="0" collapsed="false">
      <c r="B70" s="18" t="s">
        <v>75</v>
      </c>
      <c r="C70" s="10" t="s">
        <v>76</v>
      </c>
    </row>
    <row r="71" customFormat="false" ht="14.25" hidden="false" customHeight="false" outlineLevel="0" collapsed="false">
      <c r="B71" s="18" t="s">
        <v>77</v>
      </c>
      <c r="C71" s="10" t="s">
        <v>78</v>
      </c>
    </row>
    <row r="72" customFormat="false" ht="14.25" hidden="false" customHeight="false" outlineLevel="0" collapsed="false">
      <c r="B72" s="18" t="s">
        <v>35</v>
      </c>
      <c r="C72" s="10" t="s">
        <v>79</v>
      </c>
    </row>
    <row r="73" customFormat="false" ht="14.25" hidden="false" customHeight="false" outlineLevel="0" collapsed="false">
      <c r="B73" s="18" t="s">
        <v>41</v>
      </c>
      <c r="C73" s="10" t="s">
        <v>80</v>
      </c>
    </row>
    <row r="74" customFormat="false" ht="14.25" hidden="false" customHeight="false" outlineLevel="0" collapsed="false">
      <c r="B74" s="18" t="s">
        <v>81</v>
      </c>
      <c r="C74" s="10" t="s">
        <v>82</v>
      </c>
    </row>
    <row r="75" customFormat="false" ht="14.25" hidden="false" customHeight="false" outlineLevel="0" collapsed="false">
      <c r="B75" s="18" t="s">
        <v>83</v>
      </c>
      <c r="C75" s="10" t="s">
        <v>84</v>
      </c>
    </row>
    <row r="76" customFormat="false" ht="14.25" hidden="false" customHeight="false" outlineLevel="0" collapsed="false">
      <c r="B76" s="18" t="s">
        <v>85</v>
      </c>
      <c r="C76" s="10" t="s">
        <v>86</v>
      </c>
    </row>
    <row r="77" customFormat="false" ht="14.25" hidden="false" customHeight="false" outlineLevel="0" collapsed="false">
      <c r="B77" s="18" t="s">
        <v>87</v>
      </c>
      <c r="C77" s="10" t="s">
        <v>88</v>
      </c>
    </row>
    <row r="78" customFormat="false" ht="14.25" hidden="false" customHeight="false" outlineLevel="0" collapsed="false">
      <c r="B78" s="18" t="s">
        <v>89</v>
      </c>
      <c r="C78" s="10" t="s">
        <v>90</v>
      </c>
    </row>
    <row r="79" customFormat="false" ht="14.25" hidden="false" customHeight="false" outlineLevel="0" collapsed="false">
      <c r="B79" s="18" t="s">
        <v>91</v>
      </c>
      <c r="C79" s="10" t="s">
        <v>92</v>
      </c>
    </row>
    <row r="80" customFormat="false" ht="14.25" hidden="false" customHeight="false" outlineLevel="0" collapsed="false">
      <c r="B80" s="18" t="s">
        <v>47</v>
      </c>
      <c r="C80" s="10" t="s">
        <v>93</v>
      </c>
    </row>
    <row r="81" customFormat="false" ht="14.25" hidden="false" customHeight="false" outlineLevel="0" collapsed="false">
      <c r="B81" s="18" t="s">
        <v>94</v>
      </c>
      <c r="C81" s="10" t="s">
        <v>95</v>
      </c>
    </row>
    <row r="82" customFormat="false" ht="14.25" hidden="false" customHeight="false" outlineLevel="0" collapsed="false">
      <c r="B82" s="3" t="s">
        <v>96</v>
      </c>
    </row>
    <row r="84" customFormat="false" ht="14.25" hidden="false" customHeight="fals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55" hidden="false" customHeight="false" outlineLevel="0" collapsed="false">
      <c r="A1" s="19" t="s">
        <v>99</v>
      </c>
    </row>
    <row r="2" customFormat="false" ht="14.25" hidden="false" customHeight="false" outlineLevel="0" collapsed="false">
      <c r="A2" s="3" t="s">
        <v>100</v>
      </c>
    </row>
    <row r="3" customFormat="false" ht="14.25" hidden="false" customHeight="false" outlineLevel="0" collapsed="false">
      <c r="A3" s="20" t="s">
        <v>101</v>
      </c>
    </row>
    <row r="5" customFormat="false" ht="14.25" hidden="false" customHeight="false" outlineLevel="0" collapsed="false">
      <c r="B5" s="7" t="s">
        <v>102</v>
      </c>
      <c r="C5" s="7" t="s">
        <v>103</v>
      </c>
      <c r="D5" s="7" t="s">
        <v>104</v>
      </c>
      <c r="E5" s="7" t="s">
        <v>105</v>
      </c>
      <c r="F5" s="7" t="s">
        <v>106</v>
      </c>
      <c r="G5" s="7" t="s">
        <v>107</v>
      </c>
    </row>
    <row r="6" customFormat="false" ht="14.25" hidden="false" customHeight="false" outlineLevel="0" collapsed="false">
      <c r="B6" s="10" t="s">
        <v>108</v>
      </c>
      <c r="C6" s="10" t="n">
        <v>1895</v>
      </c>
      <c r="D6" s="21" t="n">
        <v>6.01</v>
      </c>
      <c r="E6" s="22" t="n">
        <f aca="false">INDEX(People!$L$6:$L$92,MATCH(C6,People!$A$6:$A$92,0))/1000000</f>
        <v>6.52767542561912</v>
      </c>
      <c r="F6" s="23" t="n">
        <f aca="false">IF(D6&lt;&gt;0,E6/D6,0)</f>
        <v>1.08613567813962</v>
      </c>
      <c r="G6" s="24" t="s">
        <v>109</v>
      </c>
    </row>
    <row r="7" customFormat="false" ht="14.25" hidden="false" customHeight="false" outlineLevel="0" collapsed="false">
      <c r="B7" s="10" t="s">
        <v>108</v>
      </c>
      <c r="C7" s="10" t="n">
        <v>1913</v>
      </c>
      <c r="D7" s="21" t="n">
        <v>9.44</v>
      </c>
      <c r="E7" s="22" t="n">
        <f aca="false">INDEX(People!$L$6:$L$92,MATCH(C7,People!$A$6:$A$92,0))/1000000</f>
        <v>15.2295782222673</v>
      </c>
      <c r="F7" s="23" t="n">
        <f aca="false">IF(D7&lt;&gt;0,E7/D7,0)</f>
        <v>1.61330277778256</v>
      </c>
      <c r="G7" s="24" t="s">
        <v>110</v>
      </c>
    </row>
    <row r="8" customFormat="false" ht="22.35" hidden="false" customHeight="false" outlineLevel="0" collapsed="false">
      <c r="B8" s="10" t="s">
        <v>108</v>
      </c>
      <c r="C8" s="10" t="n">
        <v>1929</v>
      </c>
      <c r="D8" s="21" t="n">
        <v>12.92</v>
      </c>
      <c r="E8" s="22" t="n">
        <f aca="false">INDEX(People!$L$6:$L$92,MATCH(C8,People!$A$6:$A$92,0))/1000000</f>
        <v>25.5162552980718</v>
      </c>
      <c r="F8" s="23" t="n">
        <f aca="false">IF(D8&lt;&gt;0,E8/D8,0)</f>
        <v>1.97494236053187</v>
      </c>
      <c r="G8" s="24" t="s">
        <v>111</v>
      </c>
    </row>
    <row r="9" customFormat="false" ht="14.25" hidden="false" customHeight="false" outlineLevel="0" collapsed="false">
      <c r="B9" s="10" t="s">
        <v>11</v>
      </c>
      <c r="C9" s="10" t="n">
        <v>1895</v>
      </c>
      <c r="D9" s="21" t="n">
        <v>2.24</v>
      </c>
      <c r="E9" s="22" t="n">
        <f aca="false">INDEX(Economy!$O$6:$O$92,MATCH(C9,Economy!$A$6:$A$92,0))/1000</f>
        <v>2.525851667389</v>
      </c>
      <c r="F9" s="23" t="n">
        <f aca="false">IF(D9&lt;&gt;0,E9/D9,0)</f>
        <v>1.12761235151295</v>
      </c>
      <c r="G9" s="24" t="s">
        <v>112</v>
      </c>
    </row>
    <row r="10" customFormat="false" ht="14.25" hidden="false" customHeight="false" outlineLevel="0" collapsed="false">
      <c r="B10" s="10" t="s">
        <v>11</v>
      </c>
      <c r="C10" s="10" t="n">
        <v>1913</v>
      </c>
      <c r="D10" s="21" t="n">
        <v>5.62</v>
      </c>
      <c r="E10" s="22" t="n">
        <f aca="false">INDEX(Economy!$O$6:$O$92,MATCH(C10,Economy!$A$6:$A$92,0))/1000</f>
        <v>13.3141761725515</v>
      </c>
      <c r="F10" s="23" t="n">
        <f aca="false">IF(D10&lt;&gt;0,E10/D10,0)</f>
        <v>2.36907049333656</v>
      </c>
      <c r="G10" s="24"/>
    </row>
    <row r="11" customFormat="false" ht="32.8" hidden="false" customHeight="false" outlineLevel="0" collapsed="false">
      <c r="B11" s="10" t="s">
        <v>11</v>
      </c>
      <c r="C11" s="10" t="n">
        <v>1929</v>
      </c>
      <c r="D11" s="21" t="n">
        <v>12.15</v>
      </c>
      <c r="E11" s="22" t="n">
        <f aca="false">INDEX(Economy!$O$6:$O$92,MATCH(C11,Economy!$A$6:$A$92,0))/1000</f>
        <v>50.7813287489817</v>
      </c>
      <c r="F11" s="23" t="n">
        <f aca="false">IF(D11&lt;&gt;0,E11/D11,0)</f>
        <v>4.17953323036886</v>
      </c>
      <c r="G11" s="24" t="s">
        <v>113</v>
      </c>
    </row>
    <row r="12" customFormat="false" ht="22.35" hidden="false" customHeight="false" outlineLevel="0" collapsed="false">
      <c r="B12" s="10" t="s">
        <v>11</v>
      </c>
      <c r="C12" s="10" t="n">
        <v>1932</v>
      </c>
      <c r="D12" s="21" t="n">
        <v>7.11</v>
      </c>
      <c r="E12" s="22" t="n">
        <f aca="false">INDEX(Economy!$O$6:$O$92,MATCH(C12,Economy!$A$6:$A$92,0))/1000</f>
        <v>39.4953333908374</v>
      </c>
      <c r="F12" s="23" t="n">
        <f aca="false">IF(D12&lt;&gt;0,E12/D12,0)</f>
        <v>5.55489921108824</v>
      </c>
      <c r="G12" s="24" t="s">
        <v>114</v>
      </c>
    </row>
    <row r="13" customFormat="false" ht="14.25" hidden="false" customHeight="false" outlineLevel="0" collapsed="false">
      <c r="B13" s="10" t="s">
        <v>115</v>
      </c>
      <c r="C13" s="10" t="n">
        <v>1929</v>
      </c>
      <c r="D13" s="25" t="n">
        <v>1255</v>
      </c>
      <c r="E13" s="26" t="n">
        <f aca="false">INDEX(Budget!$M$6:$M$92,MATCH(C13,Budget!$A$6:$A$92,0))</f>
        <v>5659.09044173626</v>
      </c>
      <c r="F13" s="23" t="n">
        <f aca="false">IF(D13&lt;&gt;0,E13/D13,0)</f>
        <v>4.50923541174204</v>
      </c>
      <c r="G13" s="24"/>
    </row>
    <row r="14" customFormat="false" ht="14.25" hidden="false" customHeight="fals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fals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2.35" hidden="false" customHeight="false" outlineLevel="0" collapsed="false">
      <c r="B16" s="10" t="s">
        <v>30</v>
      </c>
      <c r="C16" s="10" t="n">
        <v>1932</v>
      </c>
      <c r="D16" s="25" t="n">
        <v>119.8</v>
      </c>
      <c r="E16" s="26" t="n">
        <f aca="false">INDEX('Debt &amp; cash'!$R$6:$R$92,MATCH(C16,'Debt &amp; cash'!$A$6:$A$92,0))</f>
        <v>2169.34283839015</v>
      </c>
      <c r="F16" s="23" t="n">
        <f aca="false">IF(D16&lt;&gt;0,E16/D16,0)</f>
        <v>18.1080370483318</v>
      </c>
      <c r="G16" s="24" t="s">
        <v>119</v>
      </c>
    </row>
    <row r="17" customFormat="false" ht="14.25" hidden="false" customHeight="false" outlineLevel="0" collapsed="false">
      <c r="B17" s="10" t="s">
        <v>120</v>
      </c>
      <c r="C17" s="10" t="n">
        <v>1929</v>
      </c>
      <c r="D17" s="25" t="n">
        <v>2326.7</v>
      </c>
      <c r="E17" s="26" t="n">
        <f aca="false">INDEX('Debt &amp; cash'!$M$6:$M$92,MATCH(C17,'Debt &amp; cash'!$A$6:$A$92,0))</f>
        <v>1414.77261043406</v>
      </c>
      <c r="F17" s="23" t="n">
        <f aca="false">IF(D17&lt;&gt;0,E17/D17,0)</f>
        <v>0.608059745748942</v>
      </c>
      <c r="G17" s="24" t="s">
        <v>121</v>
      </c>
    </row>
    <row r="18" customFormat="false" ht="14.25" hidden="false" customHeight="false" outlineLevel="0" collapsed="false">
      <c r="B18" s="10" t="s">
        <v>34</v>
      </c>
      <c r="C18" s="10" t="n">
        <v>1932</v>
      </c>
      <c r="D18" s="25" t="n">
        <v>1355.5</v>
      </c>
      <c r="E18" s="26" t="n">
        <f aca="false">INDEX('Gold &amp; money'!$F$6:$F$92,MATCH(C18,'Gold &amp; money'!$A$6:$A$92,0))</f>
        <v>1756.98554341871</v>
      </c>
      <c r="F18" s="23" t="n">
        <f aca="false">IF(D18&lt;&gt;0,E18/D18,0)</f>
        <v>1.29618999883343</v>
      </c>
      <c r="G18" s="24"/>
    </row>
    <row r="20" customFormat="false" ht="14.25" hidden="false" customHeight="fals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false" outlineLevel="0" collapsed="false">
      <c r="A40" s="1" t="s">
        <v>152</v>
      </c>
      <c r="B40" s="1" t="s">
        <v>153</v>
      </c>
      <c r="C40" s="1" t="s">
        <v>154</v>
      </c>
    </row>
    <row r="41" customFormat="false" ht="14.25" hidden="false" customHeight="false" outlineLevel="0" collapsed="false">
      <c r="A41" s="1" t="s">
        <v>155</v>
      </c>
      <c r="B41" s="1" t="s">
        <v>156</v>
      </c>
      <c r="C41" s="1" t="s">
        <v>157</v>
      </c>
    </row>
    <row r="42" customFormat="false" ht="14.25" hidden="false" customHeight="false" outlineLevel="0" collapsed="false">
      <c r="A42" s="1" t="s">
        <v>158</v>
      </c>
      <c r="B42" s="1" t="s">
        <v>159</v>
      </c>
      <c r="C42" s="1" t="s">
        <v>160</v>
      </c>
    </row>
    <row r="44" customFormat="false" ht="14.25" hidden="false" customHeight="false" outlineLevel="0" collapsed="false">
      <c r="A44" s="28" t="s">
        <v>161</v>
      </c>
      <c r="B44" s="29" t="s">
        <v>162</v>
      </c>
      <c r="C44" s="29" t="s">
        <v>163</v>
      </c>
    </row>
    <row r="45" customFormat="false" ht="14.25" hidden="false" customHeight="false" outlineLevel="0" collapsed="false">
      <c r="B45" s="1" t="s">
        <v>87</v>
      </c>
      <c r="C45" s="1" t="s">
        <v>164</v>
      </c>
    </row>
    <row r="46" customFormat="false" ht="14.25" hidden="false" customHeight="false" outlineLevel="0" collapsed="false">
      <c r="B46" s="1" t="s">
        <v>165</v>
      </c>
      <c r="C46" s="1" t="s">
        <v>166</v>
      </c>
    </row>
    <row r="47" customFormat="false" ht="14.25" hidden="false" customHeight="false" outlineLevel="0" collapsed="false">
      <c r="B47" s="1" t="s">
        <v>167</v>
      </c>
      <c r="C47" s="1" t="s">
        <v>168</v>
      </c>
    </row>
    <row r="48" customFormat="false" ht="14.25" hidden="false" customHeight="false" outlineLevel="0" collapsed="false">
      <c r="B48" s="1" t="s">
        <v>169</v>
      </c>
      <c r="C48" s="1" t="s">
        <v>170</v>
      </c>
    </row>
    <row r="49" customFormat="false" ht="14.25" hidden="false" customHeight="false" outlineLevel="0" collapsed="false">
      <c r="B49" s="1" t="s">
        <v>171</v>
      </c>
      <c r="C49" s="1" t="s">
        <v>172</v>
      </c>
    </row>
    <row r="51" customFormat="false" ht="14.25" hidden="false" customHeight="false" outlineLevel="0" collapsed="false">
      <c r="A51" s="1" t="s">
        <v>173</v>
      </c>
      <c r="B51" s="1" t="s">
        <v>174</v>
      </c>
      <c r="C51" s="1" t="s">
        <v>175</v>
      </c>
    </row>
    <row r="52" customFormat="false" ht="14.25" hidden="false" customHeight="false" outlineLevel="0" collapsed="false">
      <c r="B52" s="1" t="s">
        <v>176</v>
      </c>
      <c r="C52" s="1" t="s">
        <v>177</v>
      </c>
    </row>
    <row r="53" customFormat="false" ht="14.25" hidden="false" customHeight="false" outlineLevel="0" collapsed="false">
      <c r="A53" s="1" t="s">
        <v>178</v>
      </c>
      <c r="B53" s="1" t="s">
        <v>179</v>
      </c>
      <c r="C53" s="1" t="s">
        <v>180</v>
      </c>
    </row>
    <row r="54" customFormat="false" ht="14.25" hidden="false" customHeight="false" outlineLevel="0" collapsed="false">
      <c r="A54" s="1" t="s">
        <v>181</v>
      </c>
      <c r="B54" s="1" t="s">
        <v>182</v>
      </c>
      <c r="C54" s="1" t="s">
        <v>183</v>
      </c>
    </row>
    <row r="55" customFormat="false" ht="14.25" hidden="false" customHeight="false" outlineLevel="0" collapsed="false">
      <c r="A55" s="1" t="s">
        <v>184</v>
      </c>
      <c r="B55" s="1" t="s">
        <v>185</v>
      </c>
      <c r="C55" s="1" t="s">
        <v>186</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2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55" hidden="false" customHeight="false" outlineLevel="0" collapsed="false">
      <c r="A1" s="19" t="s">
        <v>187</v>
      </c>
    </row>
    <row r="2" customFormat="false" ht="14.25" hidden="false" customHeight="false" outlineLevel="0" collapsed="false">
      <c r="A2" s="3" t="s">
        <v>188</v>
      </c>
    </row>
    <row r="3" customFormat="false" ht="14.25" hidden="false" customHeight="false" outlineLevel="0" collapsed="false">
      <c r="A3" s="20" t="s">
        <v>189</v>
      </c>
    </row>
    <row r="4" customFormat="false" ht="15" hidden="false" customHeight="false" outlineLevel="0" collapsed="false">
      <c r="B4" s="4" t="s">
        <v>190</v>
      </c>
      <c r="E4" s="30" t="n">
        <v>1</v>
      </c>
      <c r="F4" s="4" t="str">
        <f aca="false">IF(E4=1,"Story case","Stress case")</f>
        <v>Story case</v>
      </c>
    </row>
    <row r="6" customFormat="false" ht="14.25" hidden="false" customHeight="false" outlineLevel="0" collapsed="false">
      <c r="B6" s="31" t="s">
        <v>191</v>
      </c>
      <c r="C6" s="31" t="s">
        <v>192</v>
      </c>
      <c r="D6" s="31" t="s">
        <v>193</v>
      </c>
      <c r="E6" s="31" t="s">
        <v>194</v>
      </c>
      <c r="F6" s="31" t="s">
        <v>195</v>
      </c>
      <c r="G6" s="31" t="s">
        <v>196</v>
      </c>
      <c r="H6" s="31" t="s">
        <v>197</v>
      </c>
    </row>
    <row r="7" customFormat="false" ht="14.25" hidden="false" customHeight="false" outlineLevel="0" collapsed="false">
      <c r="B7" s="8" t="s">
        <v>198</v>
      </c>
      <c r="C7" s="9"/>
      <c r="D7" s="9"/>
      <c r="E7" s="9"/>
      <c r="F7" s="9"/>
      <c r="G7" s="9"/>
      <c r="H7" s="9"/>
    </row>
    <row r="8" customFormat="false" ht="32.8" hidden="false" customHeight="false" outlineLevel="0" collapsed="false">
      <c r="B8" s="10" t="s">
        <v>199</v>
      </c>
      <c r="C8" s="32" t="n">
        <v>170000</v>
      </c>
      <c r="D8" s="32" t="n">
        <v>170000</v>
      </c>
      <c r="E8" s="33" t="n">
        <f aca="false">IF(case_sel=1,C8,D8)</f>
        <v>170000</v>
      </c>
      <c r="F8" s="10" t="s">
        <v>200</v>
      </c>
      <c r="G8" s="10" t="s">
        <v>201</v>
      </c>
      <c r="H8" s="24" t="s">
        <v>202</v>
      </c>
    </row>
    <row r="9" customFormat="false" ht="32.8" hidden="false" customHeight="false" outlineLevel="0" collapsed="false">
      <c r="B9" s="10" t="s">
        <v>203</v>
      </c>
      <c r="C9" s="32" t="n">
        <v>150</v>
      </c>
      <c r="D9" s="32" t="n">
        <v>150</v>
      </c>
      <c r="E9" s="33" t="n">
        <f aca="false">IF(case_sel=1,C9,D9)</f>
        <v>150</v>
      </c>
      <c r="F9" s="10" t="s">
        <v>204</v>
      </c>
      <c r="G9" s="10" t="s">
        <v>201</v>
      </c>
      <c r="H9" s="24" t="s">
        <v>205</v>
      </c>
    </row>
    <row r="10" customFormat="false" ht="32.8" hidden="false" customHeight="false" outlineLevel="0" collapsed="false">
      <c r="B10" s="10" t="s">
        <v>206</v>
      </c>
      <c r="C10" s="34" t="n">
        <v>1</v>
      </c>
      <c r="D10" s="34" t="n">
        <v>0.75</v>
      </c>
      <c r="E10" s="35" t="n">
        <f aca="false">IF(case_sel=1,C10,D10)</f>
        <v>1</v>
      </c>
      <c r="F10" s="10" t="s">
        <v>207</v>
      </c>
      <c r="G10" s="10" t="s">
        <v>201</v>
      </c>
      <c r="H10" s="24" t="s">
        <v>208</v>
      </c>
    </row>
    <row r="11" customFormat="false" ht="22.35" hidden="false" customHeight="false" outlineLevel="0" collapsed="false">
      <c r="B11" s="10" t="s">
        <v>209</v>
      </c>
      <c r="C11" s="34" t="n">
        <v>1</v>
      </c>
      <c r="D11" s="34" t="n">
        <v>0.8</v>
      </c>
      <c r="E11" s="35" t="n">
        <f aca="false">IF(case_sel=1,C11,D11)</f>
        <v>1</v>
      </c>
      <c r="F11" s="10" t="s">
        <v>207</v>
      </c>
      <c r="G11" s="10" t="s">
        <v>201</v>
      </c>
      <c r="H11" s="24" t="s">
        <v>210</v>
      </c>
    </row>
    <row r="12" customFormat="false" ht="22.35" hidden="false" customHeight="false" outlineLevel="0" collapsed="false">
      <c r="B12" s="10" t="s">
        <v>211</v>
      </c>
      <c r="C12" s="34" t="n">
        <v>1</v>
      </c>
      <c r="D12" s="34" t="n">
        <v>1.6</v>
      </c>
      <c r="E12" s="35" t="n">
        <f aca="false">IF(case_sel=1,C12,D12)</f>
        <v>1</v>
      </c>
      <c r="F12" s="10" t="s">
        <v>207</v>
      </c>
      <c r="G12" s="10" t="s">
        <v>201</v>
      </c>
      <c r="H12" s="24" t="s">
        <v>212</v>
      </c>
    </row>
    <row r="13" customFormat="false" ht="43.25" hidden="false" customHeight="false" outlineLevel="0" collapsed="false">
      <c r="B13" s="10" t="s">
        <v>213</v>
      </c>
      <c r="C13" s="36" t="n">
        <v>0.28</v>
      </c>
      <c r="D13" s="36" t="n">
        <v>0.28</v>
      </c>
      <c r="E13" s="37" t="n">
        <f aca="false">IF(case_sel=1,C13,D13)</f>
        <v>0.28</v>
      </c>
      <c r="F13" s="10" t="s">
        <v>214</v>
      </c>
      <c r="G13" s="10" t="s">
        <v>201</v>
      </c>
      <c r="H13" s="24" t="s">
        <v>215</v>
      </c>
    </row>
    <row r="14" customFormat="false" ht="32.8" hidden="false" customHeight="false" outlineLevel="0" collapsed="false">
      <c r="B14" s="10" t="s">
        <v>216</v>
      </c>
      <c r="C14" s="32" t="n">
        <v>60</v>
      </c>
      <c r="D14" s="32" t="n">
        <v>60</v>
      </c>
      <c r="E14" s="33" t="n">
        <f aca="false">IF(case_sel=1,C14,D14)</f>
        <v>60</v>
      </c>
      <c r="F14" s="10" t="s">
        <v>204</v>
      </c>
      <c r="G14" s="10" t="s">
        <v>201</v>
      </c>
      <c r="H14" s="24" t="s">
        <v>217</v>
      </c>
    </row>
    <row r="15" customFormat="false" ht="14.25" hidden="false" customHeight="false" outlineLevel="0" collapsed="false">
      <c r="B15" s="10" t="s">
        <v>218</v>
      </c>
      <c r="C15" s="36" t="n">
        <v>0.7</v>
      </c>
      <c r="D15" s="36" t="n">
        <v>0.7</v>
      </c>
      <c r="E15" s="37" t="n">
        <f aca="false">IF(case_sel=1,C15,D15)</f>
        <v>0.7</v>
      </c>
      <c r="F15" s="10" t="s">
        <v>214</v>
      </c>
      <c r="G15" s="10" t="s">
        <v>201</v>
      </c>
      <c r="H15" s="24" t="s">
        <v>219</v>
      </c>
    </row>
    <row r="16" customFormat="false" ht="14.25" hidden="false" customHeight="false" outlineLevel="0" collapsed="false">
      <c r="B16" s="8" t="s">
        <v>220</v>
      </c>
      <c r="C16" s="9"/>
      <c r="D16" s="9"/>
      <c r="E16" s="9"/>
      <c r="F16" s="9"/>
      <c r="G16" s="9"/>
      <c r="H16" s="9"/>
    </row>
    <row r="17" customFormat="false" ht="14.25" hidden="false" customHeight="false" outlineLevel="0" collapsed="false">
      <c r="B17" s="10" t="s">
        <v>221</v>
      </c>
      <c r="C17" s="36" t="n">
        <v>0.9</v>
      </c>
      <c r="D17" s="36" t="n">
        <v>0.9</v>
      </c>
      <c r="E17" s="37" t="n">
        <f aca="false">IF(case_sel=1,C17,D17)</f>
        <v>0.9</v>
      </c>
      <c r="F17" s="10" t="s">
        <v>214</v>
      </c>
      <c r="G17" s="10" t="s">
        <v>201</v>
      </c>
      <c r="H17" s="24" t="s">
        <v>222</v>
      </c>
    </row>
    <row r="18" customFormat="false" ht="32.8" hidden="false" customHeight="false" outlineLevel="0" collapsed="false">
      <c r="B18" s="10" t="s">
        <v>223</v>
      </c>
      <c r="C18" s="36" t="n">
        <v>0.05</v>
      </c>
      <c r="D18" s="36" t="n">
        <v>0.05</v>
      </c>
      <c r="E18" s="37" t="n">
        <f aca="false">IF(case_sel=1,C18,D18)</f>
        <v>0.05</v>
      </c>
      <c r="F18" s="10" t="s">
        <v>214</v>
      </c>
      <c r="G18" s="10" t="s">
        <v>224</v>
      </c>
      <c r="H18" s="24" t="s">
        <v>225</v>
      </c>
    </row>
    <row r="19" customFormat="false" ht="32.8" hidden="false" customHeight="false" outlineLevel="0" collapsed="false">
      <c r="B19" s="10" t="s">
        <v>226</v>
      </c>
      <c r="C19" s="36" t="n">
        <v>0.125</v>
      </c>
      <c r="D19" s="36" t="n">
        <v>0.125</v>
      </c>
      <c r="E19" s="37" t="n">
        <f aca="false">IF(case_sel=1,C19,D19)</f>
        <v>0.125</v>
      </c>
      <c r="F19" s="10" t="s">
        <v>214</v>
      </c>
      <c r="G19" s="10" t="s">
        <v>201</v>
      </c>
      <c r="H19" s="24" t="s">
        <v>227</v>
      </c>
    </row>
    <row r="20" customFormat="false" ht="32.8" hidden="false" customHeight="false" outlineLevel="0" collapsed="false">
      <c r="B20" s="10" t="s">
        <v>228</v>
      </c>
      <c r="C20" s="36" t="n">
        <v>1</v>
      </c>
      <c r="D20" s="36" t="n">
        <v>1</v>
      </c>
      <c r="E20" s="37" t="n">
        <f aca="false">IF(case_sel=1,C20,D20)</f>
        <v>1</v>
      </c>
      <c r="F20" s="10" t="s">
        <v>214</v>
      </c>
      <c r="G20" s="10" t="s">
        <v>201</v>
      </c>
      <c r="H20" s="24" t="s">
        <v>229</v>
      </c>
    </row>
    <row r="21" customFormat="false" ht="22.35" hidden="false" customHeight="false" outlineLevel="0" collapsed="false">
      <c r="B21" s="10" t="s">
        <v>230</v>
      </c>
      <c r="C21" s="36" t="n">
        <v>0.4</v>
      </c>
      <c r="D21" s="36" t="n">
        <v>0.4</v>
      </c>
      <c r="E21" s="37" t="n">
        <f aca="false">IF(case_sel=1,C21,D21)</f>
        <v>0.4</v>
      </c>
      <c r="F21" s="10" t="s">
        <v>214</v>
      </c>
      <c r="G21" s="10" t="s">
        <v>201</v>
      </c>
      <c r="H21" s="24" t="s">
        <v>231</v>
      </c>
    </row>
    <row r="22" customFormat="false" ht="22.35" hidden="false" customHeight="false" outlineLevel="0" collapsed="false">
      <c r="B22" s="10" t="s">
        <v>232</v>
      </c>
      <c r="C22" s="36" t="n">
        <v>0.04</v>
      </c>
      <c r="D22" s="36" t="n">
        <v>0.04</v>
      </c>
      <c r="E22" s="37" t="n">
        <f aca="false">IF(case_sel=1,C22,D22)</f>
        <v>0.04</v>
      </c>
      <c r="F22" s="10" t="s">
        <v>214</v>
      </c>
      <c r="G22" s="10" t="s">
        <v>201</v>
      </c>
      <c r="H22" s="24" t="s">
        <v>233</v>
      </c>
    </row>
    <row r="23" customFormat="false" ht="14.25" hidden="false" customHeight="false" outlineLevel="0" collapsed="false">
      <c r="B23" s="8" t="s">
        <v>234</v>
      </c>
      <c r="C23" s="9"/>
      <c r="D23" s="9"/>
      <c r="E23" s="9"/>
      <c r="F23" s="9"/>
      <c r="G23" s="9"/>
      <c r="H23" s="9"/>
    </row>
    <row r="24" customFormat="false" ht="32.8" hidden="false" customHeight="false" outlineLevel="0" collapsed="false">
      <c r="B24" s="10" t="s">
        <v>235</v>
      </c>
      <c r="C24" s="32" t="n">
        <v>700</v>
      </c>
      <c r="D24" s="32" t="n">
        <v>700</v>
      </c>
      <c r="E24" s="33" t="n">
        <f aca="false">IF(case_sel=1,C24,D24)</f>
        <v>700</v>
      </c>
      <c r="F24" s="10" t="s">
        <v>204</v>
      </c>
      <c r="G24" s="10" t="s">
        <v>201</v>
      </c>
      <c r="H24" s="24" t="s">
        <v>236</v>
      </c>
    </row>
    <row r="25" customFormat="false" ht="22.35" hidden="false" customHeight="false" outlineLevel="0" collapsed="false">
      <c r="B25" s="10" t="s">
        <v>237</v>
      </c>
      <c r="C25" s="32" t="n">
        <v>15</v>
      </c>
      <c r="D25" s="32" t="n">
        <v>15</v>
      </c>
      <c r="E25" s="33" t="n">
        <f aca="false">IF(case_sel=1,C25,D25)</f>
        <v>15</v>
      </c>
      <c r="F25" s="10" t="s">
        <v>204</v>
      </c>
      <c r="G25" s="10" t="s">
        <v>201</v>
      </c>
      <c r="H25" s="24" t="s">
        <v>238</v>
      </c>
    </row>
    <row r="26" customFormat="false" ht="14.25" hidden="false" customHeight="false" outlineLevel="0" collapsed="false">
      <c r="B26" s="10" t="s">
        <v>239</v>
      </c>
      <c r="C26" s="32" t="n">
        <v>900</v>
      </c>
      <c r="D26" s="32" t="n">
        <v>900</v>
      </c>
      <c r="E26" s="33" t="n">
        <f aca="false">IF(case_sel=1,C26,D26)</f>
        <v>900</v>
      </c>
      <c r="F26" s="10" t="s">
        <v>204</v>
      </c>
      <c r="G26" s="10" t="s">
        <v>201</v>
      </c>
      <c r="H26" s="24" t="s">
        <v>240</v>
      </c>
    </row>
    <row r="27" customFormat="false" ht="14.25" hidden="false" customHeight="false" outlineLevel="0" collapsed="false">
      <c r="B27" s="10" t="s">
        <v>241</v>
      </c>
      <c r="C27" s="36" t="n">
        <v>0.05</v>
      </c>
      <c r="D27" s="36" t="n">
        <v>0.05</v>
      </c>
      <c r="E27" s="37" t="n">
        <f aca="false">IF(case_sel=1,C27,D27)</f>
        <v>0.05</v>
      </c>
      <c r="F27" s="10" t="s">
        <v>214</v>
      </c>
      <c r="G27" s="10" t="s">
        <v>201</v>
      </c>
      <c r="H27" s="24"/>
    </row>
    <row r="28" customFormat="false" ht="14.25" hidden="false" customHeight="false" outlineLevel="0" collapsed="false">
      <c r="B28" s="10" t="s">
        <v>242</v>
      </c>
      <c r="C28" s="36" t="n">
        <v>0.15</v>
      </c>
      <c r="D28" s="36" t="n">
        <v>0.15</v>
      </c>
      <c r="E28" s="37" t="n">
        <f aca="false">IF(case_sel=1,C28,D28)</f>
        <v>0.15</v>
      </c>
      <c r="F28" s="10" t="s">
        <v>214</v>
      </c>
      <c r="G28" s="10" t="s">
        <v>201</v>
      </c>
      <c r="H28" s="24"/>
    </row>
    <row r="29" customFormat="false" ht="32.8" hidden="false" customHeight="false" outlineLevel="0" collapsed="false">
      <c r="B29" s="10" t="s">
        <v>243</v>
      </c>
      <c r="C29" s="38" t="n">
        <v>0.78</v>
      </c>
      <c r="D29" s="38" t="n">
        <v>0.78</v>
      </c>
      <c r="E29" s="35" t="n">
        <f aca="false">IF(case_sel=1,C29,D29)</f>
        <v>0.78</v>
      </c>
      <c r="F29" s="10" t="s">
        <v>207</v>
      </c>
      <c r="G29" s="10" t="s">
        <v>201</v>
      </c>
      <c r="H29" s="24" t="s">
        <v>244</v>
      </c>
    </row>
    <row r="30" customFormat="false" ht="22.35" hidden="false" customHeight="false" outlineLevel="0" collapsed="false">
      <c r="B30" s="10" t="s">
        <v>245</v>
      </c>
      <c r="C30" s="38" t="n">
        <v>0.7</v>
      </c>
      <c r="D30" s="38" t="n">
        <v>0.7</v>
      </c>
      <c r="E30" s="35" t="n">
        <f aca="false">IF(case_sel=1,C30,D30)</f>
        <v>0.7</v>
      </c>
      <c r="F30" s="10" t="s">
        <v>207</v>
      </c>
      <c r="G30" s="10" t="s">
        <v>201</v>
      </c>
      <c r="H30" s="24" t="s">
        <v>246</v>
      </c>
    </row>
    <row r="31" customFormat="false" ht="22.35" hidden="false" customHeight="false" outlineLevel="0" collapsed="false">
      <c r="B31" s="10" t="s">
        <v>247</v>
      </c>
      <c r="C31" s="36" t="n">
        <v>0.65</v>
      </c>
      <c r="D31" s="36" t="n">
        <v>0.65</v>
      </c>
      <c r="E31" s="37" t="n">
        <f aca="false">IF(case_sel=1,C31,D31)</f>
        <v>0.65</v>
      </c>
      <c r="F31" s="10" t="s">
        <v>214</v>
      </c>
      <c r="G31" s="10" t="s">
        <v>248</v>
      </c>
      <c r="H31" s="24" t="s">
        <v>249</v>
      </c>
    </row>
    <row r="32" customFormat="false" ht="14.25" hidden="false" customHeight="false" outlineLevel="0" collapsed="false">
      <c r="B32" s="8" t="s">
        <v>250</v>
      </c>
      <c r="C32" s="9"/>
      <c r="D32" s="9"/>
      <c r="E32" s="9"/>
      <c r="F32" s="9"/>
      <c r="G32" s="9"/>
      <c r="H32" s="9"/>
    </row>
    <row r="33" customFormat="false" ht="14.25" hidden="false" customHeight="false" outlineLevel="0" collapsed="false">
      <c r="B33" s="10" t="s">
        <v>251</v>
      </c>
      <c r="C33" s="32" t="n">
        <v>0.05</v>
      </c>
      <c r="D33" s="32" t="n">
        <v>0.05</v>
      </c>
      <c r="E33" s="33" t="n">
        <f aca="false">IF(case_sel=1,C33,D33)</f>
        <v>0.05</v>
      </c>
      <c r="F33" s="10" t="s">
        <v>252</v>
      </c>
      <c r="G33" s="10" t="s">
        <v>201</v>
      </c>
      <c r="H33" s="24" t="s">
        <v>222</v>
      </c>
    </row>
    <row r="34" customFormat="false" ht="14.25" hidden="false" customHeight="false" outlineLevel="0" collapsed="false">
      <c r="B34" s="10" t="s">
        <v>253</v>
      </c>
      <c r="C34" s="36" t="n">
        <v>0.25</v>
      </c>
      <c r="D34" s="36" t="n">
        <v>0.25</v>
      </c>
      <c r="E34" s="37" t="n">
        <f aca="false">IF(case_sel=1,C34,D34)</f>
        <v>0.25</v>
      </c>
      <c r="F34" s="10" t="s">
        <v>214</v>
      </c>
      <c r="G34" s="10" t="s">
        <v>201</v>
      </c>
      <c r="H34" s="24" t="s">
        <v>222</v>
      </c>
    </row>
    <row r="35" customFormat="false" ht="14.25" hidden="false" customHeight="false" outlineLevel="0" collapsed="false">
      <c r="B35" s="10" t="s">
        <v>254</v>
      </c>
      <c r="C35" s="36" t="n">
        <v>0.97</v>
      </c>
      <c r="D35" s="36" t="n">
        <v>0.97</v>
      </c>
      <c r="E35" s="37" t="n">
        <f aca="false">IF(case_sel=1,C35,D35)</f>
        <v>0.97</v>
      </c>
      <c r="F35" s="10" t="s">
        <v>214</v>
      </c>
      <c r="G35" s="10" t="s">
        <v>201</v>
      </c>
      <c r="H35" s="24"/>
    </row>
    <row r="36" customFormat="false" ht="14.25" hidden="false" customHeight="false" outlineLevel="0" collapsed="false">
      <c r="B36" s="10" t="s">
        <v>255</v>
      </c>
      <c r="C36" s="36" t="n">
        <v>0.02</v>
      </c>
      <c r="D36" s="36" t="n">
        <v>0.02</v>
      </c>
      <c r="E36" s="37" t="n">
        <f aca="false">IF(case_sel=1,C36,D36)</f>
        <v>0.02</v>
      </c>
      <c r="F36" s="10" t="s">
        <v>214</v>
      </c>
      <c r="G36" s="10" t="s">
        <v>201</v>
      </c>
      <c r="H36" s="24"/>
    </row>
    <row r="37" customFormat="false" ht="22.35" hidden="false" customHeight="false" outlineLevel="0" collapsed="false">
      <c r="B37" s="10" t="s">
        <v>256</v>
      </c>
      <c r="C37" s="36" t="n">
        <v>0.8</v>
      </c>
      <c r="D37" s="36" t="n">
        <v>0.8</v>
      </c>
      <c r="E37" s="37" t="n">
        <f aca="false">IF(case_sel=1,C37,D37)</f>
        <v>0.8</v>
      </c>
      <c r="F37" s="10" t="s">
        <v>214</v>
      </c>
      <c r="G37" s="10" t="s">
        <v>201</v>
      </c>
      <c r="H37" s="24" t="s">
        <v>257</v>
      </c>
    </row>
    <row r="38" customFormat="false" ht="22.35" hidden="false" customHeight="false" outlineLevel="0" collapsed="false">
      <c r="B38" s="10" t="s">
        <v>258</v>
      </c>
      <c r="C38" s="36" t="n">
        <v>0.06</v>
      </c>
      <c r="D38" s="36" t="n">
        <v>0.06</v>
      </c>
      <c r="E38" s="37" t="n">
        <f aca="false">IF(case_sel=1,C38,D38)</f>
        <v>0.06</v>
      </c>
      <c r="F38" s="10" t="s">
        <v>214</v>
      </c>
      <c r="G38" s="10" t="s">
        <v>201</v>
      </c>
      <c r="H38" s="24" t="s">
        <v>259</v>
      </c>
    </row>
    <row r="39" customFormat="false" ht="22.35" hidden="false" customHeight="false" outlineLevel="0" collapsed="false">
      <c r="B39" s="10" t="s">
        <v>260</v>
      </c>
      <c r="C39" s="32" t="n">
        <v>10</v>
      </c>
      <c r="D39" s="32" t="n">
        <v>10</v>
      </c>
      <c r="E39" s="33" t="n">
        <f aca="false">IF(case_sel=1,C39,D39)</f>
        <v>10</v>
      </c>
      <c r="F39" s="10" t="s">
        <v>252</v>
      </c>
      <c r="G39" s="10" t="s">
        <v>201</v>
      </c>
      <c r="H39" s="24" t="s">
        <v>261</v>
      </c>
    </row>
    <row r="40" customFormat="false" ht="14.25" hidden="false" customHeight="false" outlineLevel="0" collapsed="false">
      <c r="B40" s="8" t="s">
        <v>262</v>
      </c>
      <c r="C40" s="9"/>
      <c r="D40" s="9"/>
      <c r="E40" s="9"/>
      <c r="F40" s="9"/>
      <c r="G40" s="9"/>
      <c r="H40" s="9"/>
    </row>
    <row r="41" customFormat="false" ht="14.25" hidden="false" customHeight="false" outlineLevel="0" collapsed="false">
      <c r="B41" s="10" t="s">
        <v>263</v>
      </c>
      <c r="C41" s="36" t="n">
        <v>0.05</v>
      </c>
      <c r="D41" s="36" t="n">
        <v>0.05</v>
      </c>
      <c r="E41" s="37" t="n">
        <f aca="false">IF(case_sel=1,C41,D41)</f>
        <v>0.05</v>
      </c>
      <c r="F41" s="10" t="s">
        <v>214</v>
      </c>
      <c r="G41" s="10" t="s">
        <v>201</v>
      </c>
      <c r="H41" s="24"/>
    </row>
    <row r="42" customFormat="false" ht="14.25" hidden="false" customHeight="false" outlineLevel="0" collapsed="false">
      <c r="B42" s="10" t="s">
        <v>264</v>
      </c>
      <c r="C42" s="36" t="n">
        <v>0.04</v>
      </c>
      <c r="D42" s="36" t="n">
        <v>0.04</v>
      </c>
      <c r="E42" s="37" t="n">
        <f aca="false">IF(case_sel=1,C42,D42)</f>
        <v>0.04</v>
      </c>
      <c r="F42" s="10" t="s">
        <v>214</v>
      </c>
      <c r="G42" s="10" t="s">
        <v>201</v>
      </c>
      <c r="H42" s="24"/>
    </row>
    <row r="43" customFormat="false" ht="14.25" hidden="false" customHeight="false" outlineLevel="0" collapsed="false">
      <c r="B43" s="10" t="s">
        <v>265</v>
      </c>
      <c r="C43" s="36" t="n">
        <v>0.055</v>
      </c>
      <c r="D43" s="36" t="n">
        <v>0.055</v>
      </c>
      <c r="E43" s="37" t="n">
        <f aca="false">IF(case_sel=1,C43,D43)</f>
        <v>0.055</v>
      </c>
      <c r="F43" s="10" t="s">
        <v>214</v>
      </c>
      <c r="G43" s="10" t="s">
        <v>201</v>
      </c>
      <c r="H43" s="24"/>
    </row>
    <row r="44" customFormat="false" ht="14.25" hidden="false" customHeight="false" outlineLevel="0" collapsed="false">
      <c r="B44" s="10" t="s">
        <v>266</v>
      </c>
      <c r="C44" s="36" t="n">
        <v>0.04</v>
      </c>
      <c r="D44" s="36" t="n">
        <v>0.04</v>
      </c>
      <c r="E44" s="37" t="n">
        <f aca="false">IF(case_sel=1,C44,D44)</f>
        <v>0.04</v>
      </c>
      <c r="F44" s="10" t="s">
        <v>214</v>
      </c>
      <c r="G44" s="10" t="s">
        <v>201</v>
      </c>
      <c r="H44" s="24"/>
    </row>
    <row r="45" customFormat="false" ht="14.25" hidden="false" customHeight="false" outlineLevel="0" collapsed="false">
      <c r="B45" s="10" t="s">
        <v>267</v>
      </c>
      <c r="C45" s="36" t="n">
        <v>0.04</v>
      </c>
      <c r="D45" s="36" t="n">
        <v>0.04</v>
      </c>
      <c r="E45" s="37" t="n">
        <f aca="false">IF(case_sel=1,C45,D45)</f>
        <v>0.04</v>
      </c>
      <c r="F45" s="10" t="s">
        <v>214</v>
      </c>
      <c r="G45" s="10" t="s">
        <v>201</v>
      </c>
      <c r="H45" s="24" t="s">
        <v>268</v>
      </c>
    </row>
    <row r="46" customFormat="false" ht="32.8" hidden="false" customHeight="false" outlineLevel="0" collapsed="false">
      <c r="B46" s="10" t="s">
        <v>269</v>
      </c>
      <c r="C46" s="39" t="n">
        <v>8500</v>
      </c>
      <c r="D46" s="39" t="n">
        <v>8500</v>
      </c>
      <c r="E46" s="33" t="n">
        <f aca="false">IF(case_sel=1,C46,D46)</f>
        <v>8500</v>
      </c>
      <c r="F46" s="10" t="s">
        <v>252</v>
      </c>
      <c r="G46" s="10" t="s">
        <v>248</v>
      </c>
      <c r="H46" s="24" t="s">
        <v>270</v>
      </c>
    </row>
    <row r="47" customFormat="false" ht="32.8" hidden="false" customHeight="false" outlineLevel="0" collapsed="false">
      <c r="B47" s="10" t="s">
        <v>271</v>
      </c>
      <c r="C47" s="40" t="n">
        <v>0.2</v>
      </c>
      <c r="D47" s="40" t="n">
        <v>0.3</v>
      </c>
      <c r="E47" s="37" t="n">
        <f aca="false">IF(case_sel=1,C47,D47)</f>
        <v>0.2</v>
      </c>
      <c r="F47" s="10" t="s">
        <v>214</v>
      </c>
      <c r="G47" s="10" t="s">
        <v>201</v>
      </c>
      <c r="H47" s="24" t="s">
        <v>272</v>
      </c>
    </row>
    <row r="48" customFormat="false" ht="14.25" hidden="false" customHeight="false" outlineLevel="0" collapsed="false">
      <c r="B48" s="10" t="s">
        <v>273</v>
      </c>
      <c r="C48" s="36" t="n">
        <v>0.12</v>
      </c>
      <c r="D48" s="36" t="n">
        <v>0.15</v>
      </c>
      <c r="E48" s="37" t="n">
        <f aca="false">IF(case_sel=1,C48,D48)</f>
        <v>0.12</v>
      </c>
      <c r="F48" s="10" t="s">
        <v>214</v>
      </c>
      <c r="G48" s="10" t="s">
        <v>201</v>
      </c>
      <c r="H48" s="24"/>
    </row>
    <row r="49" customFormat="false" ht="22.35" hidden="false" customHeight="false" outlineLevel="0" collapsed="false">
      <c r="B49" s="10" t="s">
        <v>274</v>
      </c>
      <c r="C49" s="32" t="n">
        <v>40</v>
      </c>
      <c r="D49" s="32" t="n">
        <v>40</v>
      </c>
      <c r="E49" s="33" t="n">
        <f aca="false">IF(case_sel=1,C49,D49)</f>
        <v>40</v>
      </c>
      <c r="F49" s="10" t="s">
        <v>252</v>
      </c>
      <c r="G49" s="10" t="s">
        <v>248</v>
      </c>
      <c r="H49" s="24" t="s">
        <v>275</v>
      </c>
    </row>
    <row r="50" customFormat="false" ht="14.25" hidden="false" customHeight="false" outlineLevel="0" collapsed="false">
      <c r="B50" s="8" t="s">
        <v>276</v>
      </c>
      <c r="C50" s="9"/>
      <c r="D50" s="9"/>
      <c r="E50" s="9"/>
      <c r="F50" s="9"/>
      <c r="G50" s="9"/>
      <c r="H50" s="9"/>
    </row>
    <row r="51" customFormat="false" ht="22.35" hidden="false" customHeight="false" outlineLevel="0" collapsed="false">
      <c r="B51" s="10" t="s">
        <v>277</v>
      </c>
      <c r="C51" s="39" t="n">
        <v>808</v>
      </c>
      <c r="D51" s="39" t="n">
        <v>1212</v>
      </c>
      <c r="E51" s="33" t="n">
        <f aca="false">IF(case_sel=1,C51,D51)</f>
        <v>808</v>
      </c>
      <c r="F51" s="10" t="s">
        <v>252</v>
      </c>
      <c r="G51" s="10" t="s">
        <v>201</v>
      </c>
      <c r="H51" s="24" t="s">
        <v>278</v>
      </c>
    </row>
    <row r="52" customFormat="false" ht="14.25" hidden="false" customHeight="false" outlineLevel="0" collapsed="false">
      <c r="B52" s="10" t="s">
        <v>279</v>
      </c>
      <c r="C52" s="32" t="n">
        <v>80</v>
      </c>
      <c r="D52" s="32" t="n">
        <v>112</v>
      </c>
      <c r="E52" s="33" t="n">
        <f aca="false">IF(case_sel=1,C52,D52)</f>
        <v>80</v>
      </c>
      <c r="F52" s="10" t="s">
        <v>252</v>
      </c>
      <c r="G52" s="10" t="s">
        <v>201</v>
      </c>
      <c r="H52" s="24" t="s">
        <v>280</v>
      </c>
    </row>
    <row r="53" customFormat="false" ht="22.35" hidden="false" customHeight="false" outlineLevel="0" collapsed="false">
      <c r="B53" s="10" t="s">
        <v>281</v>
      </c>
      <c r="C53" s="39" t="n">
        <v>400</v>
      </c>
      <c r="D53" s="39" t="n">
        <v>700</v>
      </c>
      <c r="E53" s="33" t="n">
        <f aca="false">IF(case_sel=1,C53,D53)</f>
        <v>400</v>
      </c>
      <c r="F53" s="10" t="s">
        <v>252</v>
      </c>
      <c r="G53" s="10" t="s">
        <v>248</v>
      </c>
      <c r="H53" s="24" t="s">
        <v>282</v>
      </c>
    </row>
    <row r="54" customFormat="false" ht="14.25" hidden="false" customHeight="false" outlineLevel="0" collapsed="false">
      <c r="B54" s="10" t="s">
        <v>283</v>
      </c>
      <c r="C54" s="32" t="n">
        <v>150</v>
      </c>
      <c r="D54" s="32" t="n">
        <v>300</v>
      </c>
      <c r="E54" s="33" t="n">
        <f aca="false">IF(case_sel=1,C54,D54)</f>
        <v>150</v>
      </c>
      <c r="F54" s="10" t="s">
        <v>252</v>
      </c>
      <c r="G54" s="10" t="s">
        <v>201</v>
      </c>
      <c r="H54" s="24"/>
    </row>
    <row r="55" customFormat="false" ht="32.8" hidden="false" customHeight="false" outlineLevel="0" collapsed="false">
      <c r="B55" s="10" t="s">
        <v>284</v>
      </c>
      <c r="C55" s="39" t="n">
        <v>0</v>
      </c>
      <c r="D55" s="39" t="n">
        <v>400</v>
      </c>
      <c r="E55" s="33" t="n">
        <f aca="false">IF(case_sel=1,C55,D55)</f>
        <v>0</v>
      </c>
      <c r="F55" s="10" t="s">
        <v>252</v>
      </c>
      <c r="G55" s="10" t="s">
        <v>248</v>
      </c>
      <c r="H55" s="24" t="s">
        <v>285</v>
      </c>
    </row>
    <row r="56" customFormat="false" ht="14.25" hidden="false" customHeight="false" outlineLevel="0" collapsed="false">
      <c r="B56" s="8" t="s">
        <v>286</v>
      </c>
      <c r="C56" s="9"/>
      <c r="D56" s="9"/>
      <c r="E56" s="9"/>
      <c r="F56" s="9"/>
      <c r="G56" s="9"/>
      <c r="H56" s="9"/>
    </row>
    <row r="57" customFormat="false" ht="22.35" hidden="false" customHeight="false" outlineLevel="0" collapsed="false">
      <c r="B57" s="10" t="s">
        <v>287</v>
      </c>
      <c r="C57" s="36" t="n">
        <v>0.2</v>
      </c>
      <c r="D57" s="36" t="n">
        <v>0.2</v>
      </c>
      <c r="E57" s="37" t="n">
        <f aca="false">IF(case_sel=1,C57,D57)</f>
        <v>0.2</v>
      </c>
      <c r="F57" s="10" t="s">
        <v>214</v>
      </c>
      <c r="G57" s="10" t="s">
        <v>201</v>
      </c>
      <c r="H57" s="24" t="s">
        <v>288</v>
      </c>
    </row>
    <row r="58" customFormat="false" ht="32.8" hidden="false" customHeight="false" outlineLevel="0" collapsed="false">
      <c r="B58" s="10" t="s">
        <v>289</v>
      </c>
      <c r="C58" s="36" t="n">
        <v>0.6</v>
      </c>
      <c r="D58" s="36" t="n">
        <v>0.4</v>
      </c>
      <c r="E58" s="37" t="n">
        <f aca="false">IF(case_sel=1,C58,D58)</f>
        <v>0.6</v>
      </c>
      <c r="F58" s="10" t="s">
        <v>214</v>
      </c>
      <c r="G58" s="10" t="s">
        <v>248</v>
      </c>
      <c r="H58" s="24" t="s">
        <v>290</v>
      </c>
    </row>
    <row r="59" customFormat="false" ht="22.35" hidden="false" customHeight="false" outlineLevel="0" collapsed="false">
      <c r="B59" s="10" t="s">
        <v>291</v>
      </c>
      <c r="C59" s="41" t="n">
        <v>0.002</v>
      </c>
      <c r="D59" s="41" t="n">
        <v>0.0012</v>
      </c>
      <c r="E59" s="42" t="n">
        <f aca="false">IF(case_sel=1,C59,D59)</f>
        <v>0.002</v>
      </c>
      <c r="F59" s="10" t="s">
        <v>214</v>
      </c>
      <c r="G59" s="10" t="s">
        <v>201</v>
      </c>
      <c r="H59" s="24" t="s">
        <v>292</v>
      </c>
    </row>
    <row r="60" customFormat="false" ht="22.35" hidden="false" customHeight="false" outlineLevel="0" collapsed="false">
      <c r="B60" s="10" t="s">
        <v>293</v>
      </c>
      <c r="C60" s="36" t="n">
        <v>0.07</v>
      </c>
      <c r="D60" s="36" t="n">
        <v>0.07</v>
      </c>
      <c r="E60" s="37" t="n">
        <f aca="false">IF(case_sel=1,C60,D60)</f>
        <v>0.07</v>
      </c>
      <c r="F60" s="10" t="s">
        <v>214</v>
      </c>
      <c r="G60" s="10" t="s">
        <v>201</v>
      </c>
      <c r="H60" s="24" t="s">
        <v>294</v>
      </c>
    </row>
    <row r="61" customFormat="false" ht="14.25" hidden="false" customHeight="false" outlineLevel="0" collapsed="false">
      <c r="B61" s="10" t="s">
        <v>295</v>
      </c>
      <c r="C61" s="36" t="n">
        <v>0.4</v>
      </c>
      <c r="D61" s="36" t="n">
        <v>0.4</v>
      </c>
      <c r="E61" s="37" t="n">
        <f aca="false">IF(case_sel=1,C61,D61)</f>
        <v>0.4</v>
      </c>
      <c r="F61" s="10" t="s">
        <v>214</v>
      </c>
      <c r="G61" s="10" t="s">
        <v>248</v>
      </c>
      <c r="H61" s="24" t="s">
        <v>296</v>
      </c>
    </row>
    <row r="62" customFormat="false" ht="14.25" hidden="false" customHeight="false" outlineLevel="0" collapsed="false">
      <c r="B62" s="8" t="s">
        <v>297</v>
      </c>
      <c r="C62" s="9"/>
      <c r="D62" s="9"/>
      <c r="E62" s="9"/>
      <c r="F62" s="9"/>
      <c r="G62" s="9"/>
      <c r="H62" s="9"/>
    </row>
    <row r="63" customFormat="false" ht="32.8" hidden="false" customHeight="false" outlineLevel="0" collapsed="false">
      <c r="B63" s="10" t="s">
        <v>298</v>
      </c>
      <c r="C63" s="43" t="n">
        <v>0</v>
      </c>
      <c r="D63" s="43" t="n">
        <v>0</v>
      </c>
      <c r="E63" s="44" t="n">
        <f aca="false">IF(case_sel=1,C63,D63)</f>
        <v>0</v>
      </c>
      <c r="F63" s="10" t="s">
        <v>299</v>
      </c>
      <c r="G63" s="10" t="s">
        <v>248</v>
      </c>
      <c r="H63" s="24" t="s">
        <v>300</v>
      </c>
    </row>
    <row r="64" customFormat="false" ht="32.8" hidden="false" customHeight="false" outlineLevel="0" collapsed="false">
      <c r="B64" s="10" t="s">
        <v>301</v>
      </c>
      <c r="C64" s="39" t="n">
        <v>25</v>
      </c>
      <c r="D64" s="39" t="n">
        <v>25</v>
      </c>
      <c r="E64" s="33" t="n">
        <f aca="false">IF(case_sel=1,C64,D64)</f>
        <v>25</v>
      </c>
      <c r="F64" s="10" t="s">
        <v>302</v>
      </c>
      <c r="G64" s="10" t="s">
        <v>303</v>
      </c>
      <c r="H64" s="24" t="s">
        <v>304</v>
      </c>
    </row>
    <row r="65" customFormat="false" ht="53.7" hidden="false" customHeight="false" outlineLevel="0" collapsed="false">
      <c r="B65" s="10" t="s">
        <v>305</v>
      </c>
      <c r="C65" s="43" t="n">
        <v>1960</v>
      </c>
      <c r="D65" s="43" t="n">
        <v>1960</v>
      </c>
      <c r="E65" s="44" t="n">
        <f aca="false">IF(case_sel=1,C65,D65)</f>
        <v>1960</v>
      </c>
      <c r="F65" s="10" t="s">
        <v>306</v>
      </c>
      <c r="G65" s="10" t="s">
        <v>303</v>
      </c>
      <c r="H65" s="24" t="s">
        <v>307</v>
      </c>
    </row>
    <row r="66" customFormat="false" ht="14.25" hidden="false" customHeight="false" outlineLevel="0" collapsed="false">
      <c r="B66" s="8" t="s">
        <v>308</v>
      </c>
      <c r="C66" s="9"/>
      <c r="D66" s="9"/>
      <c r="E66" s="9"/>
      <c r="F66" s="9"/>
      <c r="G66" s="9"/>
      <c r="H66" s="9"/>
    </row>
    <row r="67" customFormat="false" ht="32.8" hidden="false" customHeight="false" outlineLevel="0" collapsed="false">
      <c r="B67" s="10" t="s">
        <v>309</v>
      </c>
      <c r="C67" s="34" t="n">
        <v>0.6</v>
      </c>
      <c r="D67" s="34" t="n">
        <v>1</v>
      </c>
      <c r="E67" s="35" t="n">
        <f aca="false">IF(case_sel=1,C67,D67)</f>
        <v>0.6</v>
      </c>
      <c r="F67" s="10" t="s">
        <v>207</v>
      </c>
      <c r="G67" s="10" t="s">
        <v>248</v>
      </c>
      <c r="H67" s="24" t="s">
        <v>310</v>
      </c>
    </row>
    <row r="68" customFormat="false" ht="43.25" hidden="false" customHeight="false" outlineLevel="0" collapsed="false">
      <c r="B68" s="10" t="s">
        <v>311</v>
      </c>
      <c r="C68" s="43" t="n">
        <v>1</v>
      </c>
      <c r="D68" s="43" t="n">
        <v>0</v>
      </c>
      <c r="E68" s="44" t="n">
        <f aca="false">IF(case_sel=1,C68,D68)</f>
        <v>1</v>
      </c>
      <c r="F68" s="10" t="s">
        <v>299</v>
      </c>
      <c r="G68" s="10" t="s">
        <v>248</v>
      </c>
      <c r="H68" s="24" t="s">
        <v>312</v>
      </c>
    </row>
    <row r="69" customFormat="false" ht="22.35" hidden="false" customHeight="false" outlineLevel="0" collapsed="false">
      <c r="B69" s="10" t="s">
        <v>313</v>
      </c>
      <c r="C69" s="32" t="n">
        <v>0.95</v>
      </c>
      <c r="D69" s="32" t="n">
        <v>0.95</v>
      </c>
      <c r="E69" s="33" t="n">
        <f aca="false">IF(case_sel=1,C69,D69)</f>
        <v>0.95</v>
      </c>
      <c r="F69" s="10" t="s">
        <v>314</v>
      </c>
      <c r="G69" s="10" t="s">
        <v>248</v>
      </c>
      <c r="H69" s="24" t="s">
        <v>315</v>
      </c>
    </row>
    <row r="70" customFormat="false" ht="14.25" hidden="false" customHeight="false" outlineLevel="0" collapsed="false">
      <c r="B70" s="10" t="s">
        <v>316</v>
      </c>
      <c r="C70" s="36" t="n">
        <v>0.15</v>
      </c>
      <c r="D70" s="36" t="n">
        <v>0.15</v>
      </c>
      <c r="E70" s="37" t="n">
        <f aca="false">IF(case_sel=1,C70,D70)</f>
        <v>0.15</v>
      </c>
      <c r="F70" s="10" t="s">
        <v>214</v>
      </c>
      <c r="G70" s="10" t="s">
        <v>248</v>
      </c>
      <c r="H70" s="24"/>
    </row>
    <row r="71" customFormat="false" ht="43.25" hidden="false" customHeight="false" outlineLevel="0" collapsed="false">
      <c r="B71" s="10" t="s">
        <v>317</v>
      </c>
      <c r="C71" s="45" t="n">
        <v>1932</v>
      </c>
      <c r="D71" s="45" t="n">
        <v>1932</v>
      </c>
      <c r="E71" s="44" t="n">
        <f aca="false">IF(case_sel=1,C71,D71)</f>
        <v>1932</v>
      </c>
      <c r="F71" s="10" t="s">
        <v>306</v>
      </c>
      <c r="G71" s="10" t="s">
        <v>248</v>
      </c>
      <c r="H71" s="24" t="s">
        <v>318</v>
      </c>
    </row>
    <row r="72" customFormat="false" ht="22.35" hidden="false" customHeight="false" outlineLevel="0" collapsed="false">
      <c r="B72" s="10" t="s">
        <v>319</v>
      </c>
      <c r="C72" s="36" t="n">
        <v>0.09</v>
      </c>
      <c r="D72" s="36" t="n">
        <v>0.12</v>
      </c>
      <c r="E72" s="37" t="n">
        <f aca="false">IF(case_sel=1,C72,D72)</f>
        <v>0.09</v>
      </c>
      <c r="F72" s="10" t="s">
        <v>214</v>
      </c>
      <c r="G72" s="10" t="s">
        <v>201</v>
      </c>
      <c r="H72" s="24" t="s">
        <v>320</v>
      </c>
    </row>
    <row r="73" customFormat="false" ht="14.25" hidden="false" customHeight="false" outlineLevel="0" collapsed="false">
      <c r="B73" s="10" t="s">
        <v>321</v>
      </c>
      <c r="C73" s="36" t="n">
        <v>0.05</v>
      </c>
      <c r="D73" s="36" t="n">
        <v>0.05</v>
      </c>
      <c r="E73" s="37" t="n">
        <f aca="false">IF(case_sel=1,C73,D73)</f>
        <v>0.05</v>
      </c>
      <c r="F73" s="10" t="s">
        <v>214</v>
      </c>
      <c r="G73" s="10" t="s">
        <v>201</v>
      </c>
      <c r="H73" s="24"/>
    </row>
    <row r="74" customFormat="false" ht="43.25" hidden="false" customHeight="false" outlineLevel="0" collapsed="false">
      <c r="B74" s="10" t="s">
        <v>322</v>
      </c>
      <c r="C74" s="40" t="n">
        <v>0.05</v>
      </c>
      <c r="D74" s="40" t="n">
        <v>0.05</v>
      </c>
      <c r="E74" s="37" t="n">
        <f aca="false">IF(case_sel=1,C74,D74)</f>
        <v>0.05</v>
      </c>
      <c r="F74" s="10" t="s">
        <v>214</v>
      </c>
      <c r="G74" s="10" t="s">
        <v>248</v>
      </c>
      <c r="H74" s="24" t="s">
        <v>323</v>
      </c>
    </row>
    <row r="75" customFormat="false" ht="14.25" hidden="false" customHeight="false" outlineLevel="0" collapsed="false">
      <c r="B75" s="10" t="s">
        <v>324</v>
      </c>
      <c r="C75" s="36" t="n">
        <v>0.3</v>
      </c>
      <c r="D75" s="36" t="n">
        <v>0.2</v>
      </c>
      <c r="E75" s="37" t="n">
        <f aca="false">IF(case_sel=1,C75,D75)</f>
        <v>0.3</v>
      </c>
      <c r="F75" s="10" t="s">
        <v>214</v>
      </c>
      <c r="G75" s="10" t="s">
        <v>248</v>
      </c>
      <c r="H75" s="24" t="s">
        <v>325</v>
      </c>
    </row>
    <row r="76" customFormat="false" ht="22.35" hidden="false" customHeight="false" outlineLevel="0" collapsed="false">
      <c r="B76" s="10" t="s">
        <v>326</v>
      </c>
      <c r="C76" s="36" t="n">
        <v>0.06</v>
      </c>
      <c r="D76" s="36" t="n">
        <v>0.05</v>
      </c>
      <c r="E76" s="37" t="n">
        <f aca="false">IF(case_sel=1,C76,D76)</f>
        <v>0.06</v>
      </c>
      <c r="F76" s="10" t="s">
        <v>214</v>
      </c>
      <c r="G76" s="10" t="s">
        <v>201</v>
      </c>
      <c r="H76" s="24" t="s">
        <v>327</v>
      </c>
    </row>
    <row r="77" customFormat="false" ht="14.25" hidden="false" customHeight="false" outlineLevel="0" collapsed="false">
      <c r="B77" s="10" t="s">
        <v>328</v>
      </c>
      <c r="C77" s="36" t="n">
        <v>0.03</v>
      </c>
      <c r="D77" s="36" t="n">
        <v>0.03</v>
      </c>
      <c r="E77" s="37" t="n">
        <f aca="false">IF(case_sel=1,C77,D77)</f>
        <v>0.03</v>
      </c>
      <c r="F77" s="10" t="s">
        <v>214</v>
      </c>
      <c r="G77" s="10" t="s">
        <v>201</v>
      </c>
      <c r="H77" s="24"/>
    </row>
    <row r="78" customFormat="false" ht="14.25" hidden="false" customHeight="false" outlineLevel="0" collapsed="false">
      <c r="B78" s="10" t="s">
        <v>329</v>
      </c>
      <c r="C78" s="36" t="n">
        <v>0.08</v>
      </c>
      <c r="D78" s="36" t="n">
        <v>0.15</v>
      </c>
      <c r="E78" s="37" t="n">
        <f aca="false">IF(case_sel=1,C78,D78)</f>
        <v>0.08</v>
      </c>
      <c r="F78" s="10" t="s">
        <v>214</v>
      </c>
      <c r="G78" s="10" t="s">
        <v>201</v>
      </c>
      <c r="H78" s="24" t="s">
        <v>330</v>
      </c>
    </row>
    <row r="79" customFormat="false" ht="14.25" hidden="false" customHeight="false" outlineLevel="0" collapsed="false">
      <c r="B79" s="10" t="s">
        <v>331</v>
      </c>
      <c r="C79" s="38" t="n">
        <v>0.7</v>
      </c>
      <c r="D79" s="38" t="n">
        <v>0.6</v>
      </c>
      <c r="E79" s="35" t="n">
        <f aca="false">IF(case_sel=1,C79,D79)</f>
        <v>0.7</v>
      </c>
      <c r="F79" s="10" t="s">
        <v>207</v>
      </c>
      <c r="G79" s="10" t="s">
        <v>201</v>
      </c>
      <c r="H79" s="24" t="s">
        <v>332</v>
      </c>
    </row>
    <row r="80" customFormat="false" ht="14.25" hidden="false" customHeight="false" outlineLevel="0" collapsed="false">
      <c r="B80" s="10" t="s">
        <v>333</v>
      </c>
      <c r="C80" s="36" t="n">
        <v>0.1</v>
      </c>
      <c r="D80" s="36" t="n">
        <v>0.1</v>
      </c>
      <c r="E80" s="37" t="n">
        <f aca="false">IF(case_sel=1,C80,D80)</f>
        <v>0.1</v>
      </c>
      <c r="F80" s="10" t="s">
        <v>214</v>
      </c>
      <c r="G80" s="10" t="s">
        <v>201</v>
      </c>
      <c r="H80" s="24"/>
    </row>
    <row r="81" customFormat="false" ht="14.25" hidden="false" customHeight="false" outlineLevel="0" collapsed="false">
      <c r="B81" s="8" t="s">
        <v>334</v>
      </c>
      <c r="C81" s="9"/>
      <c r="D81" s="9"/>
      <c r="E81" s="9"/>
      <c r="F81" s="9"/>
      <c r="G81" s="9"/>
      <c r="H81" s="9"/>
    </row>
    <row r="82" customFormat="false" ht="64.15" hidden="false" customHeight="false" outlineLevel="0" collapsed="false">
      <c r="B82" s="10" t="s">
        <v>335</v>
      </c>
      <c r="C82" s="40" t="n">
        <v>0.7</v>
      </c>
      <c r="D82" s="40" t="n">
        <v>0.7</v>
      </c>
      <c r="E82" s="37" t="n">
        <f aca="false">IF(case_sel=1,C82,D82)</f>
        <v>0.7</v>
      </c>
      <c r="F82" s="10" t="s">
        <v>214</v>
      </c>
      <c r="G82" s="10" t="s">
        <v>248</v>
      </c>
      <c r="H82" s="24" t="s">
        <v>336</v>
      </c>
    </row>
    <row r="83" customFormat="false" ht="53.7" hidden="false" customHeight="false" outlineLevel="0" collapsed="false">
      <c r="B83" s="10" t="s">
        <v>337</v>
      </c>
      <c r="C83" s="40" t="n">
        <v>0.3</v>
      </c>
      <c r="D83" s="40" t="n">
        <v>0.15</v>
      </c>
      <c r="E83" s="37" t="n">
        <f aca="false">IF(case_sel=1,C83,D83)</f>
        <v>0.3</v>
      </c>
      <c r="F83" s="10" t="s">
        <v>214</v>
      </c>
      <c r="G83" s="10" t="s">
        <v>201</v>
      </c>
      <c r="H83" s="24" t="s">
        <v>338</v>
      </c>
    </row>
    <row r="84" customFormat="false" ht="22.35" hidden="false" customHeight="false" outlineLevel="0" collapsed="false">
      <c r="B84" s="10" t="s">
        <v>339</v>
      </c>
      <c r="C84" s="45" t="n">
        <v>1880</v>
      </c>
      <c r="D84" s="45" t="n">
        <v>1880</v>
      </c>
      <c r="E84" s="44" t="n">
        <f aca="false">IF(case_sel=1,C84,D84)</f>
        <v>1880</v>
      </c>
      <c r="F84" s="10" t="s">
        <v>306</v>
      </c>
      <c r="G84" s="10" t="s">
        <v>248</v>
      </c>
      <c r="H84" s="24" t="s">
        <v>340</v>
      </c>
    </row>
    <row r="85" customFormat="false" ht="53.7" hidden="false" customHeight="false" outlineLevel="0" collapsed="false">
      <c r="B85" s="10" t="s">
        <v>341</v>
      </c>
      <c r="C85" s="43" t="n">
        <v>1</v>
      </c>
      <c r="D85" s="43" t="n">
        <v>1</v>
      </c>
      <c r="E85" s="44" t="n">
        <f aca="false">IF(case_sel=1,C85,D85)</f>
        <v>1</v>
      </c>
      <c r="F85" s="10" t="s">
        <v>299</v>
      </c>
      <c r="G85" s="10" t="s">
        <v>248</v>
      </c>
      <c r="H85" s="24" t="s">
        <v>342</v>
      </c>
    </row>
    <row r="86" customFormat="false" ht="22.35" hidden="false" customHeight="false" outlineLevel="0" collapsed="false">
      <c r="B86" s="10" t="s">
        <v>343</v>
      </c>
      <c r="C86" s="40" t="n">
        <v>0.03</v>
      </c>
      <c r="D86" s="40" t="n">
        <v>0.03</v>
      </c>
      <c r="E86" s="37" t="n">
        <f aca="false">IF(case_sel=1,C86,D86)</f>
        <v>0.03</v>
      </c>
      <c r="F86" s="10" t="s">
        <v>214</v>
      </c>
      <c r="G86" s="10" t="s">
        <v>248</v>
      </c>
      <c r="H86" s="24" t="s">
        <v>344</v>
      </c>
    </row>
    <row r="87" customFormat="false" ht="43.25" hidden="false" customHeight="false" outlineLevel="0" collapsed="false">
      <c r="B87" s="10" t="s">
        <v>345</v>
      </c>
      <c r="C87" s="36" t="n">
        <v>0.012</v>
      </c>
      <c r="D87" s="36" t="n">
        <v>0.012</v>
      </c>
      <c r="E87" s="37" t="n">
        <f aca="false">IF(case_sel=1,C87,D87)</f>
        <v>0.012</v>
      </c>
      <c r="F87" s="10" t="s">
        <v>214</v>
      </c>
      <c r="G87" s="10" t="s">
        <v>201</v>
      </c>
      <c r="H87" s="24" t="s">
        <v>346</v>
      </c>
    </row>
    <row r="88" customFormat="false" ht="14.25" hidden="false" customHeight="false" outlineLevel="0" collapsed="false">
      <c r="B88" s="10" t="s">
        <v>347</v>
      </c>
      <c r="C88" s="36" t="n">
        <v>0.03</v>
      </c>
      <c r="D88" s="36" t="n">
        <v>0.03</v>
      </c>
      <c r="E88" s="37" t="n">
        <f aca="false">IF(case_sel=1,C88,D88)</f>
        <v>0.03</v>
      </c>
      <c r="F88" s="10" t="s">
        <v>214</v>
      </c>
      <c r="G88" s="10" t="s">
        <v>201</v>
      </c>
      <c r="H88" s="24" t="s">
        <v>348</v>
      </c>
    </row>
    <row r="89" customFormat="false" ht="14.25" hidden="false" customHeight="false" outlineLevel="0" collapsed="false">
      <c r="B89" s="8" t="s">
        <v>349</v>
      </c>
      <c r="C89" s="9"/>
      <c r="D89" s="9"/>
      <c r="E89" s="9"/>
      <c r="F89" s="9"/>
      <c r="G89" s="9"/>
      <c r="H89" s="9"/>
    </row>
    <row r="90" customFormat="false" ht="53.7" hidden="false" customHeight="false" outlineLevel="0" collapsed="false">
      <c r="B90" s="10" t="s">
        <v>350</v>
      </c>
      <c r="C90" s="34" t="n">
        <v>1</v>
      </c>
      <c r="D90" s="34" t="n">
        <v>0.6</v>
      </c>
      <c r="E90" s="35" t="n">
        <f aca="false">IF(case_sel=1,C90,D90)</f>
        <v>1</v>
      </c>
      <c r="F90" s="10" t="s">
        <v>207</v>
      </c>
      <c r="G90" s="10" t="s">
        <v>248</v>
      </c>
      <c r="H90" s="24" t="s">
        <v>351</v>
      </c>
    </row>
    <row r="91" customFormat="false" ht="43.25" hidden="false" customHeight="false" outlineLevel="0" collapsed="false">
      <c r="B91" s="10" t="s">
        <v>352</v>
      </c>
      <c r="C91" s="38" t="n">
        <v>1.8</v>
      </c>
      <c r="D91" s="38" t="n">
        <v>1.6</v>
      </c>
      <c r="E91" s="35" t="n">
        <f aca="false">IF(case_sel=1,C91,D91)</f>
        <v>1.8</v>
      </c>
      <c r="F91" s="10" t="s">
        <v>207</v>
      </c>
      <c r="G91" s="10" t="s">
        <v>201</v>
      </c>
      <c r="H91" s="24" t="s">
        <v>353</v>
      </c>
    </row>
    <row r="92" customFormat="false" ht="32.8" hidden="false" customHeight="false" outlineLevel="0" collapsed="false">
      <c r="B92" s="10" t="s">
        <v>354</v>
      </c>
      <c r="C92" s="38" t="n">
        <v>0.25</v>
      </c>
      <c r="D92" s="38" t="n">
        <v>0.1</v>
      </c>
      <c r="E92" s="35" t="n">
        <f aca="false">IF(case_sel=1,C92,D92)</f>
        <v>0.25</v>
      </c>
      <c r="F92" s="10" t="s">
        <v>207</v>
      </c>
      <c r="G92" s="10" t="s">
        <v>201</v>
      </c>
      <c r="H92" s="24" t="s">
        <v>355</v>
      </c>
    </row>
    <row r="93" customFormat="false" ht="14.25" hidden="false" customHeight="false" outlineLevel="0" collapsed="false">
      <c r="B93" s="10" t="s">
        <v>356</v>
      </c>
      <c r="C93" s="36" t="n">
        <v>0.45</v>
      </c>
      <c r="D93" s="36" t="n">
        <v>0.45</v>
      </c>
      <c r="E93" s="37" t="n">
        <f aca="false">IF(case_sel=1,C93,D93)</f>
        <v>0.45</v>
      </c>
      <c r="F93" s="10" t="s">
        <v>214</v>
      </c>
      <c r="G93" s="10" t="s">
        <v>201</v>
      </c>
      <c r="H93" s="24"/>
    </row>
    <row r="94" customFormat="false" ht="14.25" hidden="false" customHeight="false" outlineLevel="0" collapsed="false">
      <c r="B94" s="10" t="s">
        <v>357</v>
      </c>
      <c r="C94" s="36" t="n">
        <v>0.45</v>
      </c>
      <c r="D94" s="36" t="n">
        <v>0.45</v>
      </c>
      <c r="E94" s="37" t="n">
        <f aca="false">IF(case_sel=1,C94,D94)</f>
        <v>0.45</v>
      </c>
      <c r="F94" s="10" t="s">
        <v>214</v>
      </c>
      <c r="G94" s="10" t="s">
        <v>201</v>
      </c>
      <c r="H94" s="24"/>
    </row>
    <row r="95" customFormat="false" ht="22.35" hidden="false" customHeight="false" outlineLevel="0" collapsed="false">
      <c r="B95" s="10" t="s">
        <v>358</v>
      </c>
      <c r="C95" s="36" t="n">
        <v>0.03</v>
      </c>
      <c r="D95" s="36" t="n">
        <v>0.02</v>
      </c>
      <c r="E95" s="37" t="n">
        <f aca="false">IF(case_sel=1,C95,D95)</f>
        <v>0.03</v>
      </c>
      <c r="F95" s="10" t="s">
        <v>214</v>
      </c>
      <c r="G95" s="10" t="s">
        <v>201</v>
      </c>
      <c r="H95" s="24" t="s">
        <v>359</v>
      </c>
    </row>
    <row r="96" customFormat="false" ht="14.25" hidden="false" customHeight="false" outlineLevel="0" collapsed="false">
      <c r="B96" s="10" t="s">
        <v>360</v>
      </c>
      <c r="C96" s="36" t="n">
        <v>0.025</v>
      </c>
      <c r="D96" s="36" t="n">
        <v>0.02</v>
      </c>
      <c r="E96" s="37" t="n">
        <f aca="false">IF(case_sel=1,C96,D96)</f>
        <v>0.025</v>
      </c>
      <c r="F96" s="10" t="s">
        <v>214</v>
      </c>
      <c r="G96" s="10" t="s">
        <v>201</v>
      </c>
      <c r="H96" s="24"/>
    </row>
    <row r="97" customFormat="false" ht="14.25" hidden="false" customHeight="false" outlineLevel="0" collapsed="false">
      <c r="B97" s="10" t="s">
        <v>361</v>
      </c>
      <c r="C97" s="32" t="n">
        <v>7</v>
      </c>
      <c r="D97" s="32" t="n">
        <v>7</v>
      </c>
      <c r="E97" s="33" t="n">
        <f aca="false">IF(case_sel=1,C97,D97)</f>
        <v>7</v>
      </c>
      <c r="F97" s="10" t="s">
        <v>302</v>
      </c>
      <c r="G97" s="10" t="s">
        <v>201</v>
      </c>
      <c r="H97" s="24"/>
    </row>
    <row r="98" customFormat="false" ht="14.25" hidden="false" customHeight="false" outlineLevel="0" collapsed="false">
      <c r="B98" s="10" t="s">
        <v>362</v>
      </c>
      <c r="C98" s="36" t="n">
        <v>0.05</v>
      </c>
      <c r="D98" s="36" t="n">
        <v>0.04</v>
      </c>
      <c r="E98" s="37" t="n">
        <f aca="false">IF(case_sel=1,C98,D98)</f>
        <v>0.05</v>
      </c>
      <c r="F98" s="10" t="s">
        <v>214</v>
      </c>
      <c r="G98" s="10" t="s">
        <v>201</v>
      </c>
      <c r="H98" s="24" t="s">
        <v>363</v>
      </c>
    </row>
    <row r="99" customFormat="false" ht="22.35" hidden="false" customHeight="false" outlineLevel="0" collapsed="false">
      <c r="B99" s="10" t="s">
        <v>364</v>
      </c>
      <c r="C99" s="36" t="n">
        <v>0.1</v>
      </c>
      <c r="D99" s="36" t="n">
        <v>0.08</v>
      </c>
      <c r="E99" s="37" t="n">
        <f aca="false">IF(case_sel=1,C99,D99)</f>
        <v>0.1</v>
      </c>
      <c r="F99" s="10" t="s">
        <v>214</v>
      </c>
      <c r="G99" s="10" t="s">
        <v>201</v>
      </c>
      <c r="H99" s="24" t="s">
        <v>365</v>
      </c>
    </row>
    <row r="100" customFormat="false" ht="14.25" hidden="false" customHeight="false" outlineLevel="0" collapsed="false">
      <c r="B100" s="10" t="s">
        <v>366</v>
      </c>
      <c r="C100" s="36" t="n">
        <v>0.07</v>
      </c>
      <c r="D100" s="36" t="n">
        <v>0.06</v>
      </c>
      <c r="E100" s="37" t="n">
        <f aca="false">IF(case_sel=1,C100,D100)</f>
        <v>0.07</v>
      </c>
      <c r="F100" s="10" t="s">
        <v>214</v>
      </c>
      <c r="G100" s="10" t="s">
        <v>201</v>
      </c>
      <c r="H100" s="24"/>
    </row>
    <row r="101" customFormat="false" ht="14.25" hidden="false" customHeight="false" outlineLevel="0" collapsed="false">
      <c r="B101" s="10" t="s">
        <v>367</v>
      </c>
      <c r="C101" s="36" t="n">
        <v>0.12</v>
      </c>
      <c r="D101" s="36" t="n">
        <v>0.08</v>
      </c>
      <c r="E101" s="37" t="n">
        <f aca="false">IF(case_sel=1,C101,D101)</f>
        <v>0.12</v>
      </c>
      <c r="F101" s="10" t="s">
        <v>214</v>
      </c>
      <c r="G101" s="10" t="s">
        <v>201</v>
      </c>
      <c r="H101" s="24"/>
    </row>
    <row r="102" customFormat="false" ht="14.25" hidden="false" customHeight="false" outlineLevel="0" collapsed="false">
      <c r="B102" s="10" t="s">
        <v>368</v>
      </c>
      <c r="C102" s="36" t="n">
        <v>0.12</v>
      </c>
      <c r="D102" s="36" t="n">
        <v>0.08</v>
      </c>
      <c r="E102" s="37" t="n">
        <f aca="false">IF(case_sel=1,C102,D102)</f>
        <v>0.12</v>
      </c>
      <c r="F102" s="10" t="s">
        <v>214</v>
      </c>
      <c r="G102" s="10" t="s">
        <v>201</v>
      </c>
      <c r="H102" s="24"/>
    </row>
    <row r="103" customFormat="false" ht="14.25" hidden="false" customHeight="false" outlineLevel="0" collapsed="false">
      <c r="B103" s="10" t="s">
        <v>369</v>
      </c>
      <c r="C103" s="36" t="n">
        <v>0.06</v>
      </c>
      <c r="D103" s="36" t="n">
        <v>0.05</v>
      </c>
      <c r="E103" s="37" t="n">
        <f aca="false">IF(case_sel=1,C103,D103)</f>
        <v>0.06</v>
      </c>
      <c r="F103" s="10" t="s">
        <v>214</v>
      </c>
      <c r="G103" s="10" t="s">
        <v>201</v>
      </c>
      <c r="H103" s="24"/>
    </row>
    <row r="104" customFormat="false" ht="14.25" hidden="false" customHeight="false" outlineLevel="0" collapsed="false">
      <c r="B104" s="10" t="s">
        <v>370</v>
      </c>
      <c r="C104" s="36" t="n">
        <v>0.2</v>
      </c>
      <c r="D104" s="36" t="n">
        <v>0.15</v>
      </c>
      <c r="E104" s="37" t="n">
        <f aca="false">IF(case_sel=1,C104,D104)</f>
        <v>0.2</v>
      </c>
      <c r="F104" s="10" t="s">
        <v>214</v>
      </c>
      <c r="G104" s="10" t="s">
        <v>201</v>
      </c>
      <c r="H104" s="24"/>
    </row>
    <row r="105" customFormat="false" ht="64.15" hidden="false" customHeight="false" outlineLevel="0" collapsed="false">
      <c r="B105" s="10" t="s">
        <v>371</v>
      </c>
      <c r="C105" s="40" t="n">
        <v>0.25</v>
      </c>
      <c r="D105" s="40" t="n">
        <v>0.25</v>
      </c>
      <c r="E105" s="37" t="n">
        <f aca="false">IF(case_sel=1,C105,D105)</f>
        <v>0.25</v>
      </c>
      <c r="F105" s="10" t="s">
        <v>214</v>
      </c>
      <c r="G105" s="10" t="s">
        <v>303</v>
      </c>
      <c r="H105" s="24" t="s">
        <v>372</v>
      </c>
    </row>
    <row r="106" customFormat="false" ht="43.25" hidden="false" customHeight="false" outlineLevel="0" collapsed="false">
      <c r="B106" s="10" t="s">
        <v>373</v>
      </c>
      <c r="C106" s="40" t="n">
        <v>0.08</v>
      </c>
      <c r="D106" s="40" t="n">
        <v>0.08</v>
      </c>
      <c r="E106" s="37" t="n">
        <f aca="false">IF(case_sel=1,C106,D106)</f>
        <v>0.08</v>
      </c>
      <c r="F106" s="10" t="s">
        <v>214</v>
      </c>
      <c r="G106" s="10" t="s">
        <v>303</v>
      </c>
      <c r="H106" s="24" t="s">
        <v>374</v>
      </c>
    </row>
    <row r="107" customFormat="false" ht="14.25" hidden="false" customHeight="false" outlineLevel="0" collapsed="false">
      <c r="B107" s="10" t="s">
        <v>375</v>
      </c>
      <c r="C107" s="36" t="n">
        <v>0.5</v>
      </c>
      <c r="D107" s="36" t="n">
        <v>0.5</v>
      </c>
      <c r="E107" s="37" t="n">
        <f aca="false">IF(case_sel=1,C107,D107)</f>
        <v>0.5</v>
      </c>
      <c r="F107" s="10" t="s">
        <v>214</v>
      </c>
      <c r="G107" s="10" t="s">
        <v>201</v>
      </c>
      <c r="H107" s="24"/>
    </row>
    <row r="108" customFormat="false" ht="14.25" hidden="false" customHeight="false" outlineLevel="0" collapsed="false">
      <c r="B108" s="10" t="s">
        <v>376</v>
      </c>
      <c r="C108" s="45" t="n">
        <v>1880</v>
      </c>
      <c r="D108" s="45" t="n">
        <v>1880</v>
      </c>
      <c r="E108" s="44" t="n">
        <f aca="false">IF(case_sel=1,C108,D108)</f>
        <v>1880</v>
      </c>
      <c r="F108" s="10" t="s">
        <v>306</v>
      </c>
      <c r="G108" s="10" t="s">
        <v>248</v>
      </c>
      <c r="H108" s="24"/>
    </row>
    <row r="109" customFormat="false" ht="14.25" hidden="false" customHeight="false" outlineLevel="0" collapsed="false">
      <c r="B109" s="8" t="s">
        <v>377</v>
      </c>
      <c r="C109" s="9"/>
      <c r="D109" s="9"/>
      <c r="E109" s="9"/>
      <c r="F109" s="9"/>
      <c r="G109" s="9"/>
      <c r="H109" s="9"/>
    </row>
    <row r="110" customFormat="false" ht="32.8" hidden="false" customHeight="false" outlineLevel="0" collapsed="false">
      <c r="B110" s="10" t="s">
        <v>378</v>
      </c>
      <c r="C110" s="43" t="n">
        <v>1</v>
      </c>
      <c r="D110" s="43" t="n">
        <v>1</v>
      </c>
      <c r="E110" s="44" t="n">
        <f aca="false">IF(case_sel=1,C110,D110)</f>
        <v>1</v>
      </c>
      <c r="F110" s="10" t="s">
        <v>299</v>
      </c>
      <c r="G110" s="10" t="s">
        <v>248</v>
      </c>
      <c r="H110" s="24" t="s">
        <v>379</v>
      </c>
    </row>
    <row r="111" customFormat="false" ht="14.25" hidden="false" customHeight="false" outlineLevel="0" collapsed="false">
      <c r="B111" s="10" t="s">
        <v>380</v>
      </c>
      <c r="C111" s="45" t="n">
        <v>1880</v>
      </c>
      <c r="D111" s="45" t="n">
        <v>1880</v>
      </c>
      <c r="E111" s="44" t="n">
        <f aca="false">IF(case_sel=1,C111,D111)</f>
        <v>1880</v>
      </c>
      <c r="F111" s="10" t="s">
        <v>306</v>
      </c>
      <c r="G111" s="10" t="s">
        <v>248</v>
      </c>
      <c r="H111" s="24"/>
    </row>
    <row r="112" customFormat="false" ht="14.25" hidden="false" customHeight="false" outlineLevel="0" collapsed="false">
      <c r="B112" s="10" t="s">
        <v>381</v>
      </c>
      <c r="C112" s="38" t="n">
        <v>1.5</v>
      </c>
      <c r="D112" s="38" t="n">
        <v>1.5</v>
      </c>
      <c r="E112" s="35" t="n">
        <f aca="false">IF(case_sel=1,C112,D112)</f>
        <v>1.5</v>
      </c>
      <c r="F112" s="10" t="s">
        <v>207</v>
      </c>
      <c r="G112" s="10" t="s">
        <v>201</v>
      </c>
      <c r="H112" s="24"/>
    </row>
    <row r="113" customFormat="false" ht="22.35" hidden="false" customHeight="false" outlineLevel="0" collapsed="false">
      <c r="B113" s="10" t="s">
        <v>382</v>
      </c>
      <c r="C113" s="36" t="n">
        <v>0.12</v>
      </c>
      <c r="D113" s="36" t="n">
        <v>0.12</v>
      </c>
      <c r="E113" s="37" t="n">
        <f aca="false">IF(case_sel=1,C113,D113)</f>
        <v>0.12</v>
      </c>
      <c r="F113" s="10" t="s">
        <v>214</v>
      </c>
      <c r="G113" s="10" t="s">
        <v>201</v>
      </c>
      <c r="H113" s="24" t="s">
        <v>383</v>
      </c>
    </row>
    <row r="114" customFormat="false" ht="53.7" hidden="false" customHeight="false" outlineLevel="0" collapsed="false">
      <c r="B114" s="10" t="s">
        <v>384</v>
      </c>
      <c r="C114" s="40" t="n">
        <v>0.01</v>
      </c>
      <c r="D114" s="40" t="n">
        <v>0.006</v>
      </c>
      <c r="E114" s="37" t="n">
        <f aca="false">IF(case_sel=1,C114,D114)</f>
        <v>0.01</v>
      </c>
      <c r="F114" s="10" t="s">
        <v>214</v>
      </c>
      <c r="G114" s="10" t="s">
        <v>201</v>
      </c>
      <c r="H114" s="24" t="s">
        <v>385</v>
      </c>
    </row>
    <row r="115" customFormat="false" ht="14.25" hidden="false" customHeight="false" outlineLevel="0" collapsed="false">
      <c r="B115" s="10" t="s">
        <v>386</v>
      </c>
      <c r="C115" s="36" t="n">
        <v>0.27</v>
      </c>
      <c r="D115" s="36" t="n">
        <v>0.15</v>
      </c>
      <c r="E115" s="37" t="n">
        <f aca="false">IF(case_sel=1,C115,D115)</f>
        <v>0.27</v>
      </c>
      <c r="F115" s="10" t="s">
        <v>214</v>
      </c>
      <c r="G115" s="10" t="s">
        <v>201</v>
      </c>
      <c r="H115" s="24"/>
    </row>
    <row r="116" customFormat="false" ht="43.25" hidden="false" customHeight="false" outlineLevel="0" collapsed="false">
      <c r="B116" s="10" t="s">
        <v>387</v>
      </c>
      <c r="C116" s="46" t="n">
        <v>0.003</v>
      </c>
      <c r="D116" s="46" t="n">
        <v>0.0015</v>
      </c>
      <c r="E116" s="42" t="n">
        <f aca="false">IF(case_sel=1,C116,D116)</f>
        <v>0.003</v>
      </c>
      <c r="F116" s="10" t="s">
        <v>214</v>
      </c>
      <c r="G116" s="10" t="s">
        <v>248</v>
      </c>
      <c r="H116" s="24" t="s">
        <v>388</v>
      </c>
    </row>
    <row r="117" customFormat="false" ht="14.25" hidden="false" customHeight="false" outlineLevel="0" collapsed="false">
      <c r="B117" s="10" t="s">
        <v>389</v>
      </c>
      <c r="C117" s="38" t="n">
        <v>2.2</v>
      </c>
      <c r="D117" s="38" t="n">
        <v>2.2</v>
      </c>
      <c r="E117" s="35" t="n">
        <f aca="false">IF(case_sel=1,C117,D117)</f>
        <v>2.2</v>
      </c>
      <c r="F117" s="10" t="s">
        <v>207</v>
      </c>
      <c r="G117" s="10" t="s">
        <v>201</v>
      </c>
      <c r="H117" s="24"/>
    </row>
    <row r="118" customFormat="false" ht="14.25" hidden="false" customHeight="false" outlineLevel="0" collapsed="false">
      <c r="B118" s="10" t="s">
        <v>390</v>
      </c>
      <c r="C118" s="36" t="n">
        <v>0.015</v>
      </c>
      <c r="D118" s="36" t="n">
        <v>0.008</v>
      </c>
      <c r="E118" s="37" t="n">
        <f aca="false">IF(case_sel=1,C118,D118)</f>
        <v>0.015</v>
      </c>
      <c r="F118" s="10" t="s">
        <v>214</v>
      </c>
      <c r="G118" s="10" t="s">
        <v>201</v>
      </c>
      <c r="H118" s="24"/>
    </row>
    <row r="119" customFormat="false" ht="22.35" hidden="false" customHeight="false" outlineLevel="0" collapsed="false">
      <c r="B119" s="10" t="s">
        <v>391</v>
      </c>
      <c r="C119" s="38" t="n">
        <v>2</v>
      </c>
      <c r="D119" s="38" t="n">
        <v>1.7</v>
      </c>
      <c r="E119" s="35" t="n">
        <f aca="false">IF(case_sel=1,C119,D119)</f>
        <v>2</v>
      </c>
      <c r="F119" s="10" t="s">
        <v>207</v>
      </c>
      <c r="G119" s="10" t="s">
        <v>201</v>
      </c>
      <c r="H119" s="24" t="s">
        <v>392</v>
      </c>
    </row>
    <row r="120" customFormat="false" ht="22.35" hidden="false" customHeight="false" outlineLevel="0" collapsed="false">
      <c r="B120" s="10" t="s">
        <v>393</v>
      </c>
      <c r="C120" s="38" t="n">
        <v>0.3</v>
      </c>
      <c r="D120" s="38" t="n">
        <v>0.15</v>
      </c>
      <c r="E120" s="35" t="n">
        <f aca="false">IF(case_sel=1,C120,D120)</f>
        <v>0.3</v>
      </c>
      <c r="F120" s="10" t="s">
        <v>207</v>
      </c>
      <c r="G120" s="10" t="s">
        <v>201</v>
      </c>
      <c r="H120" s="24" t="s">
        <v>394</v>
      </c>
    </row>
    <row r="121" customFormat="false" ht="14.25" hidden="false" customHeight="false" outlineLevel="0" collapsed="false">
      <c r="B121" s="10" t="s">
        <v>395</v>
      </c>
      <c r="C121" s="36" t="n">
        <v>0.025</v>
      </c>
      <c r="D121" s="36" t="n">
        <v>0.025</v>
      </c>
      <c r="E121" s="37" t="n">
        <f aca="false">IF(case_sel=1,C121,D121)</f>
        <v>0.025</v>
      </c>
      <c r="F121" s="10" t="s">
        <v>214</v>
      </c>
      <c r="G121" s="10" t="s">
        <v>201</v>
      </c>
      <c r="H121" s="24"/>
    </row>
    <row r="122" customFormat="false" ht="14.25" hidden="false" customHeight="false" outlineLevel="0" collapsed="false">
      <c r="B122" s="10" t="s">
        <v>396</v>
      </c>
      <c r="C122" s="36" t="n">
        <v>0.15</v>
      </c>
      <c r="D122" s="36" t="n">
        <v>0.15</v>
      </c>
      <c r="E122" s="37" t="n">
        <f aca="false">IF(case_sel=1,C122,D122)</f>
        <v>0.15</v>
      </c>
      <c r="F122" s="10" t="s">
        <v>214</v>
      </c>
      <c r="G122" s="10" t="s">
        <v>201</v>
      </c>
      <c r="H122" s="24"/>
    </row>
    <row r="123" customFormat="false" ht="14.25" hidden="false" customHeight="false" outlineLevel="0" collapsed="false">
      <c r="B123" s="10" t="s">
        <v>397</v>
      </c>
      <c r="C123" s="38" t="n">
        <v>0.3</v>
      </c>
      <c r="D123" s="38" t="n">
        <v>0.15</v>
      </c>
      <c r="E123" s="35" t="n">
        <f aca="false">IF(case_sel=1,C123,D123)</f>
        <v>0.3</v>
      </c>
      <c r="F123" s="10" t="s">
        <v>207</v>
      </c>
      <c r="G123" s="10" t="s">
        <v>201</v>
      </c>
      <c r="H123" s="24"/>
    </row>
    <row r="124" customFormat="false" ht="14.25" hidden="false" customHeight="false" outlineLevel="0" collapsed="false">
      <c r="B124" s="10" t="s">
        <v>398</v>
      </c>
      <c r="C124" s="36" t="n">
        <v>0.42</v>
      </c>
      <c r="D124" s="36" t="n">
        <v>0.42</v>
      </c>
      <c r="E124" s="37" t="n">
        <f aca="false">IF(case_sel=1,C124,D124)</f>
        <v>0.42</v>
      </c>
      <c r="F124" s="10" t="s">
        <v>214</v>
      </c>
      <c r="G124" s="10" t="s">
        <v>201</v>
      </c>
      <c r="H124" s="24"/>
    </row>
    <row r="125" customFormat="false" ht="14.25" hidden="false" customHeight="false" outlineLevel="0" collapsed="false">
      <c r="B125" s="10" t="s">
        <v>399</v>
      </c>
      <c r="C125" s="38" t="n">
        <v>0.7</v>
      </c>
      <c r="D125" s="38" t="n">
        <v>0.5</v>
      </c>
      <c r="E125" s="35" t="n">
        <f aca="false">IF(case_sel=1,C125,D125)</f>
        <v>0.7</v>
      </c>
      <c r="F125" s="10" t="s">
        <v>207</v>
      </c>
      <c r="G125" s="10" t="s">
        <v>201</v>
      </c>
      <c r="H125" s="24" t="s">
        <v>400</v>
      </c>
    </row>
    <row r="126" customFormat="false" ht="14.25" hidden="false" customHeight="false" outlineLevel="0" collapsed="false">
      <c r="B126" s="10" t="s">
        <v>401</v>
      </c>
      <c r="C126" s="36" t="n">
        <v>0.35</v>
      </c>
      <c r="D126" s="36" t="n">
        <v>0.25</v>
      </c>
      <c r="E126" s="37" t="n">
        <f aca="false">IF(case_sel=1,C126,D126)</f>
        <v>0.35</v>
      </c>
      <c r="F126" s="10" t="s">
        <v>214</v>
      </c>
      <c r="G126" s="10" t="s">
        <v>201</v>
      </c>
      <c r="H126" s="24"/>
    </row>
    <row r="127" customFormat="false" ht="14.25" hidden="false" customHeight="false" outlineLevel="0" collapsed="false">
      <c r="B127" s="10" t="s">
        <v>402</v>
      </c>
      <c r="C127" s="36" t="n">
        <v>0.3</v>
      </c>
      <c r="D127" s="36" t="n">
        <v>0.3</v>
      </c>
      <c r="E127" s="37" t="n">
        <f aca="false">IF(case_sel=1,C127,D127)</f>
        <v>0.3</v>
      </c>
      <c r="F127" s="10" t="s">
        <v>214</v>
      </c>
      <c r="G127" s="10" t="s">
        <v>201</v>
      </c>
      <c r="H127" s="24"/>
    </row>
    <row r="128" customFormat="false" ht="14.25" hidden="false" customHeight="false" outlineLevel="0" collapsed="false">
      <c r="B128" s="10" t="s">
        <v>403</v>
      </c>
      <c r="C128" s="38" t="n">
        <v>1.8</v>
      </c>
      <c r="D128" s="38" t="n">
        <v>1.8</v>
      </c>
      <c r="E128" s="35" t="n">
        <f aca="false">IF(case_sel=1,C128,D128)</f>
        <v>1.8</v>
      </c>
      <c r="F128" s="10" t="s">
        <v>207</v>
      </c>
      <c r="G128" s="10" t="s">
        <v>201</v>
      </c>
      <c r="H128" s="24"/>
    </row>
    <row r="129" customFormat="false" ht="14.25" hidden="false" customHeight="false" outlineLevel="0" collapsed="false">
      <c r="B129" s="10" t="s">
        <v>404</v>
      </c>
      <c r="C129" s="36" t="n">
        <v>0.3</v>
      </c>
      <c r="D129" s="36" t="n">
        <v>0.2</v>
      </c>
      <c r="E129" s="37" t="n">
        <f aca="false">IF(case_sel=1,C129,D129)</f>
        <v>0.3</v>
      </c>
      <c r="F129" s="10" t="s">
        <v>214</v>
      </c>
      <c r="G129" s="10" t="s">
        <v>201</v>
      </c>
      <c r="H129" s="24"/>
    </row>
    <row r="130" customFormat="false" ht="14.25" hidden="false" customHeight="false" outlineLevel="0" collapsed="false">
      <c r="B130" s="10" t="s">
        <v>405</v>
      </c>
      <c r="C130" s="36" t="n">
        <v>0.25</v>
      </c>
      <c r="D130" s="36" t="n">
        <v>0.25</v>
      </c>
      <c r="E130" s="37" t="n">
        <f aca="false">IF(case_sel=1,C130,D130)</f>
        <v>0.25</v>
      </c>
      <c r="F130" s="10" t="s">
        <v>214</v>
      </c>
      <c r="G130" s="10" t="s">
        <v>201</v>
      </c>
      <c r="H130" s="24"/>
    </row>
    <row r="131" customFormat="false" ht="53.7" hidden="false" customHeight="false" outlineLevel="0" collapsed="false">
      <c r="B131" s="10" t="s">
        <v>406</v>
      </c>
      <c r="C131" s="36" t="n">
        <v>0.015</v>
      </c>
      <c r="D131" s="36" t="n">
        <v>0.025</v>
      </c>
      <c r="E131" s="37" t="n">
        <f aca="false">IF(case_sel=1,C131,D131)</f>
        <v>0.015</v>
      </c>
      <c r="F131" s="10" t="s">
        <v>214</v>
      </c>
      <c r="G131" s="10" t="s">
        <v>201</v>
      </c>
      <c r="H131" s="24" t="s">
        <v>407</v>
      </c>
    </row>
    <row r="132" customFormat="false" ht="22.35" hidden="false" customHeight="false" outlineLevel="0" collapsed="false">
      <c r="B132" s="10" t="s">
        <v>408</v>
      </c>
      <c r="C132" s="38" t="n">
        <v>0.6</v>
      </c>
      <c r="D132" s="38" t="n">
        <v>0.6</v>
      </c>
      <c r="E132" s="35" t="n">
        <f aca="false">IF(case_sel=1,C132,D132)</f>
        <v>0.6</v>
      </c>
      <c r="F132" s="10" t="s">
        <v>207</v>
      </c>
      <c r="G132" s="10" t="s">
        <v>201</v>
      </c>
      <c r="H132" s="24" t="s">
        <v>409</v>
      </c>
    </row>
    <row r="133" customFormat="false" ht="14.25" hidden="false" customHeight="false" outlineLevel="0" collapsed="false">
      <c r="B133" s="10" t="s">
        <v>410</v>
      </c>
      <c r="C133" s="38" t="n">
        <v>0.5</v>
      </c>
      <c r="D133" s="38" t="n">
        <v>0.5</v>
      </c>
      <c r="E133" s="35" t="n">
        <f aca="false">IF(case_sel=1,C133,D133)</f>
        <v>0.5</v>
      </c>
      <c r="F133" s="10" t="s">
        <v>207</v>
      </c>
      <c r="G133" s="10" t="s">
        <v>201</v>
      </c>
      <c r="H133" s="24" t="s">
        <v>411</v>
      </c>
    </row>
    <row r="134" customFormat="false" ht="22.35" hidden="false" customHeight="false" outlineLevel="0" collapsed="false">
      <c r="B134" s="10" t="s">
        <v>412</v>
      </c>
      <c r="C134" s="32" t="n">
        <v>400</v>
      </c>
      <c r="D134" s="32" t="n">
        <v>400</v>
      </c>
      <c r="E134" s="33" t="n">
        <f aca="false">IF(case_sel=1,C134,D134)</f>
        <v>400</v>
      </c>
      <c r="F134" s="10" t="s">
        <v>314</v>
      </c>
      <c r="G134" s="10" t="s">
        <v>201</v>
      </c>
      <c r="H134" s="24" t="s">
        <v>413</v>
      </c>
    </row>
    <row r="135" customFormat="false" ht="14.25" hidden="false" customHeight="false" outlineLevel="0" collapsed="false">
      <c r="B135" s="8" t="s">
        <v>414</v>
      </c>
      <c r="C135" s="9"/>
      <c r="D135" s="9"/>
      <c r="E135" s="9"/>
      <c r="F135" s="9"/>
      <c r="G135" s="9"/>
      <c r="H135" s="9"/>
    </row>
    <row r="136" customFormat="false" ht="32.8" hidden="false" customHeight="false" outlineLevel="0" collapsed="false">
      <c r="B136" s="10" t="s">
        <v>415</v>
      </c>
      <c r="C136" s="43" t="n">
        <v>1</v>
      </c>
      <c r="D136" s="43" t="n">
        <v>1</v>
      </c>
      <c r="E136" s="44" t="n">
        <f aca="false">IF(case_sel=1,C136,D136)</f>
        <v>1</v>
      </c>
      <c r="F136" s="10" t="s">
        <v>299</v>
      </c>
      <c r="G136" s="10" t="s">
        <v>248</v>
      </c>
      <c r="H136" s="24" t="s">
        <v>416</v>
      </c>
    </row>
    <row r="137" customFormat="false" ht="32.8" hidden="false" customHeight="false" outlineLevel="0" collapsed="false">
      <c r="B137" s="10" t="s">
        <v>417</v>
      </c>
      <c r="C137" s="45" t="n">
        <v>1880</v>
      </c>
      <c r="D137" s="45" t="n">
        <v>1880</v>
      </c>
      <c r="E137" s="44" t="n">
        <f aca="false">IF(case_sel=1,C137,D137)</f>
        <v>1880</v>
      </c>
      <c r="F137" s="10" t="s">
        <v>306</v>
      </c>
      <c r="G137" s="10" t="s">
        <v>201</v>
      </c>
      <c r="H137" s="24" t="s">
        <v>418</v>
      </c>
    </row>
    <row r="138" customFormat="false" ht="14.25" hidden="false" customHeight="false" outlineLevel="0" collapsed="false">
      <c r="B138" s="10" t="s">
        <v>419</v>
      </c>
      <c r="C138" s="36" t="n">
        <v>0.25</v>
      </c>
      <c r="D138" s="36" t="n">
        <v>0.15</v>
      </c>
      <c r="E138" s="37" t="n">
        <f aca="false">IF(case_sel=1,C138,D138)</f>
        <v>0.25</v>
      </c>
      <c r="F138" s="10" t="s">
        <v>214</v>
      </c>
      <c r="G138" s="10" t="s">
        <v>201</v>
      </c>
      <c r="H138" s="24"/>
    </row>
    <row r="139" customFormat="false" ht="32.8" hidden="false" customHeight="false" outlineLevel="0" collapsed="false">
      <c r="B139" s="10" t="s">
        <v>420</v>
      </c>
      <c r="C139" s="40" t="n">
        <v>0.2</v>
      </c>
      <c r="D139" s="40" t="n">
        <v>0.12</v>
      </c>
      <c r="E139" s="37" t="n">
        <f aca="false">IF(case_sel=1,C139,D139)</f>
        <v>0.2</v>
      </c>
      <c r="F139" s="10" t="s">
        <v>214</v>
      </c>
      <c r="G139" s="10" t="s">
        <v>201</v>
      </c>
      <c r="H139" s="24" t="s">
        <v>421</v>
      </c>
    </row>
    <row r="140" customFormat="false" ht="14.25" hidden="false" customHeight="false" outlineLevel="0" collapsed="false">
      <c r="B140" s="10" t="s">
        <v>422</v>
      </c>
      <c r="C140" s="38" t="n">
        <v>0.75</v>
      </c>
      <c r="D140" s="38" t="n">
        <v>0.7</v>
      </c>
      <c r="E140" s="35" t="n">
        <f aca="false">IF(case_sel=1,C140,D140)</f>
        <v>0.75</v>
      </c>
      <c r="F140" s="10" t="s">
        <v>207</v>
      </c>
      <c r="G140" s="10" t="s">
        <v>201</v>
      </c>
      <c r="H140" s="24"/>
    </row>
    <row r="141" customFormat="false" ht="14.25" hidden="false" customHeight="false" outlineLevel="0" collapsed="false">
      <c r="B141" s="10" t="s">
        <v>423</v>
      </c>
      <c r="C141" s="36" t="n">
        <v>0.05</v>
      </c>
      <c r="D141" s="36" t="n">
        <v>0.04</v>
      </c>
      <c r="E141" s="37" t="n">
        <f aca="false">IF(case_sel=1,C141,D141)</f>
        <v>0.05</v>
      </c>
      <c r="F141" s="10" t="s">
        <v>214</v>
      </c>
      <c r="G141" s="10" t="s">
        <v>201</v>
      </c>
      <c r="H141" s="24"/>
    </row>
    <row r="142" customFormat="false" ht="22.35" hidden="false" customHeight="false" outlineLevel="0" collapsed="false">
      <c r="B142" s="10" t="s">
        <v>424</v>
      </c>
      <c r="C142" s="36" t="n">
        <v>0.013</v>
      </c>
      <c r="D142" s="36" t="n">
        <v>0.013</v>
      </c>
      <c r="E142" s="37" t="n">
        <f aca="false">IF(case_sel=1,C142,D142)</f>
        <v>0.013</v>
      </c>
      <c r="F142" s="10" t="s">
        <v>214</v>
      </c>
      <c r="G142" s="10" t="s">
        <v>201</v>
      </c>
      <c r="H142" s="24" t="s">
        <v>425</v>
      </c>
    </row>
    <row r="143" customFormat="false" ht="32.8" hidden="false" customHeight="false" outlineLevel="0" collapsed="false">
      <c r="B143" s="10" t="s">
        <v>426</v>
      </c>
      <c r="C143" s="34" t="n">
        <v>0.03</v>
      </c>
      <c r="D143" s="34" t="n">
        <v>0.015</v>
      </c>
      <c r="E143" s="35" t="n">
        <f aca="false">IF(case_sel=1,C143,D143)</f>
        <v>0.03</v>
      </c>
      <c r="F143" s="10" t="s">
        <v>207</v>
      </c>
      <c r="G143" s="10" t="s">
        <v>201</v>
      </c>
      <c r="H143" s="24" t="s">
        <v>427</v>
      </c>
    </row>
    <row r="144" customFormat="false" ht="32.8" hidden="false" customHeight="false" outlineLevel="0" collapsed="false">
      <c r="B144" s="10" t="s">
        <v>428</v>
      </c>
      <c r="C144" s="46" t="n">
        <v>0.003</v>
      </c>
      <c r="D144" s="46" t="n">
        <v>0.002</v>
      </c>
      <c r="E144" s="42" t="n">
        <f aca="false">IF(case_sel=1,C144,D144)</f>
        <v>0.003</v>
      </c>
      <c r="F144" s="10" t="s">
        <v>214</v>
      </c>
      <c r="G144" s="10" t="s">
        <v>201</v>
      </c>
      <c r="H144" s="24" t="s">
        <v>429</v>
      </c>
    </row>
    <row r="145" customFormat="false" ht="14.25" hidden="false" customHeight="false" outlineLevel="0" collapsed="false">
      <c r="B145" s="10" t="s">
        <v>430</v>
      </c>
      <c r="C145" s="36" t="n">
        <v>0.2</v>
      </c>
      <c r="D145" s="36" t="n">
        <v>0.2</v>
      </c>
      <c r="E145" s="37" t="n">
        <f aca="false">IF(case_sel=1,C145,D145)</f>
        <v>0.2</v>
      </c>
      <c r="F145" s="10" t="s">
        <v>214</v>
      </c>
      <c r="G145" s="10" t="s">
        <v>201</v>
      </c>
      <c r="H145" s="24"/>
    </row>
    <row r="146" customFormat="false" ht="14.25" hidden="false" customHeight="false" outlineLevel="0" collapsed="false">
      <c r="B146" s="8" t="s">
        <v>431</v>
      </c>
      <c r="C146" s="9"/>
      <c r="D146" s="9"/>
      <c r="E146" s="9"/>
      <c r="F146" s="9"/>
      <c r="G146" s="9"/>
      <c r="H146" s="9"/>
    </row>
    <row r="147" customFormat="false" ht="53.7" hidden="false" customHeight="false" outlineLevel="0" collapsed="false">
      <c r="B147" s="10" t="s">
        <v>432</v>
      </c>
      <c r="C147" s="40" t="n">
        <v>0.01</v>
      </c>
      <c r="D147" s="40" t="n">
        <v>0.006</v>
      </c>
      <c r="E147" s="37" t="n">
        <f aca="false">IF(case_sel=1,C147,D147)</f>
        <v>0.01</v>
      </c>
      <c r="F147" s="10" t="s">
        <v>214</v>
      </c>
      <c r="G147" s="10" t="s">
        <v>201</v>
      </c>
      <c r="H147" s="24" t="s">
        <v>433</v>
      </c>
    </row>
    <row r="148" customFormat="false" ht="22.35" hidden="false" customHeight="false" outlineLevel="0" collapsed="false">
      <c r="B148" s="10" t="s">
        <v>434</v>
      </c>
      <c r="C148" s="36" t="n">
        <v>0.03</v>
      </c>
      <c r="D148" s="36" t="n">
        <v>0.02</v>
      </c>
      <c r="E148" s="37" t="n">
        <f aca="false">IF(case_sel=1,C148,D148)</f>
        <v>0.03</v>
      </c>
      <c r="F148" s="10" t="s">
        <v>214</v>
      </c>
      <c r="G148" s="10" t="s">
        <v>201</v>
      </c>
      <c r="H148" s="24" t="s">
        <v>435</v>
      </c>
    </row>
    <row r="149" customFormat="false" ht="32.8" hidden="false" customHeight="false" outlineLevel="0" collapsed="false">
      <c r="B149" s="10" t="s">
        <v>436</v>
      </c>
      <c r="C149" s="34" t="n">
        <v>0.5</v>
      </c>
      <c r="D149" s="34" t="n">
        <v>0.3</v>
      </c>
      <c r="E149" s="35" t="n">
        <f aca="false">IF(case_sel=1,C149,D149)</f>
        <v>0.5</v>
      </c>
      <c r="F149" s="10" t="s">
        <v>207</v>
      </c>
      <c r="G149" s="10" t="s">
        <v>201</v>
      </c>
      <c r="H149" s="24" t="s">
        <v>437</v>
      </c>
    </row>
    <row r="150" customFormat="false" ht="14.25" hidden="false" customHeight="false" outlineLevel="0" collapsed="false">
      <c r="B150" s="10" t="s">
        <v>438</v>
      </c>
      <c r="C150" s="36" t="n">
        <v>0.5</v>
      </c>
      <c r="D150" s="36" t="n">
        <v>0.3</v>
      </c>
      <c r="E150" s="37" t="n">
        <f aca="false">IF(case_sel=1,C150,D150)</f>
        <v>0.5</v>
      </c>
      <c r="F150" s="10" t="s">
        <v>214</v>
      </c>
      <c r="G150" s="10" t="s">
        <v>201</v>
      </c>
      <c r="H150" s="24"/>
    </row>
    <row r="151" customFormat="false" ht="14.25" hidden="false" customHeight="false" outlineLevel="0" collapsed="false">
      <c r="B151" s="8" t="s">
        <v>439</v>
      </c>
      <c r="C151" s="9"/>
      <c r="D151" s="9"/>
      <c r="E151" s="9"/>
      <c r="F151" s="9"/>
      <c r="G151" s="9"/>
      <c r="H151" s="9"/>
    </row>
    <row r="152" customFormat="false" ht="22.35" hidden="false" customHeight="false" outlineLevel="0" collapsed="false">
      <c r="B152" s="10" t="s">
        <v>440</v>
      </c>
      <c r="C152" s="43" t="n">
        <v>2</v>
      </c>
      <c r="D152" s="43" t="n">
        <v>2</v>
      </c>
      <c r="E152" s="44" t="n">
        <f aca="false">IF(case_sel=1,C152,D152)</f>
        <v>2</v>
      </c>
      <c r="F152" s="10" t="s">
        <v>299</v>
      </c>
      <c r="G152" s="10" t="s">
        <v>248</v>
      </c>
      <c r="H152" s="24" t="s">
        <v>441</v>
      </c>
    </row>
    <row r="153" customFormat="false" ht="32.8" hidden="false" customHeight="false" outlineLevel="0" collapsed="false">
      <c r="B153" s="10" t="s">
        <v>442</v>
      </c>
      <c r="C153" s="43" t="n">
        <v>1903</v>
      </c>
      <c r="D153" s="43" t="n">
        <v>1903</v>
      </c>
      <c r="E153" s="44" t="n">
        <f aca="false">IF(case_sel=1,C153,D153)</f>
        <v>1903</v>
      </c>
      <c r="F153" s="10" t="s">
        <v>306</v>
      </c>
      <c r="G153" s="10" t="s">
        <v>248</v>
      </c>
      <c r="H153" s="24" t="s">
        <v>443</v>
      </c>
    </row>
    <row r="154" customFormat="false" ht="14.25" hidden="false" customHeight="false" outlineLevel="0" collapsed="false">
      <c r="B154" s="10" t="s">
        <v>444</v>
      </c>
      <c r="C154" s="45" t="n">
        <v>1910</v>
      </c>
      <c r="D154" s="45" t="n">
        <v>1910</v>
      </c>
      <c r="E154" s="44" t="n">
        <f aca="false">IF(case_sel=1,C154,D154)</f>
        <v>1910</v>
      </c>
      <c r="F154" s="10" t="s">
        <v>306</v>
      </c>
      <c r="G154" s="10" t="s">
        <v>248</v>
      </c>
      <c r="H154" s="24"/>
    </row>
    <row r="155" customFormat="false" ht="14.25" hidden="false" customHeight="false" outlineLevel="0" collapsed="false">
      <c r="B155" s="10" t="s">
        <v>445</v>
      </c>
      <c r="C155" s="34" t="n">
        <v>0.333</v>
      </c>
      <c r="D155" s="34" t="n">
        <v>0.333</v>
      </c>
      <c r="E155" s="35" t="n">
        <f aca="false">IF(case_sel=1,C155,D155)</f>
        <v>0.333</v>
      </c>
      <c r="F155" s="10" t="s">
        <v>207</v>
      </c>
      <c r="G155" s="10" t="s">
        <v>248</v>
      </c>
      <c r="H155" s="24" t="s">
        <v>446</v>
      </c>
    </row>
    <row r="156" customFormat="false" ht="14.25" hidden="false" customHeight="false" outlineLevel="0" collapsed="false">
      <c r="B156" s="10" t="s">
        <v>447</v>
      </c>
      <c r="C156" s="36" t="n">
        <v>0.3</v>
      </c>
      <c r="D156" s="36" t="n">
        <v>0.4</v>
      </c>
      <c r="E156" s="37" t="n">
        <f aca="false">IF(case_sel=1,C156,D156)</f>
        <v>0.3</v>
      </c>
      <c r="F156" s="10" t="s">
        <v>214</v>
      </c>
      <c r="G156" s="10" t="s">
        <v>201</v>
      </c>
      <c r="H156" s="24"/>
    </row>
    <row r="157" customFormat="false" ht="14.25" hidden="false" customHeight="false" outlineLevel="0" collapsed="false">
      <c r="B157" s="10" t="s">
        <v>448</v>
      </c>
      <c r="C157" s="36" t="n">
        <v>0.3</v>
      </c>
      <c r="D157" s="36" t="n">
        <v>0.4</v>
      </c>
      <c r="E157" s="37" t="n">
        <f aca="false">IF(case_sel=1,C157,D157)</f>
        <v>0.3</v>
      </c>
      <c r="F157" s="10" t="s">
        <v>214</v>
      </c>
      <c r="G157" s="10" t="s">
        <v>201</v>
      </c>
      <c r="H157" s="24"/>
    </row>
    <row r="158" customFormat="false" ht="14.25" hidden="false" customHeight="false" outlineLevel="0" collapsed="false">
      <c r="B158" s="10" t="s">
        <v>449</v>
      </c>
      <c r="C158" s="41" t="n">
        <v>0.0015</v>
      </c>
      <c r="D158" s="41" t="n">
        <v>0.0025</v>
      </c>
      <c r="E158" s="42" t="n">
        <f aca="false">IF(case_sel=1,C158,D158)</f>
        <v>0.0015</v>
      </c>
      <c r="F158" s="10" t="s">
        <v>214</v>
      </c>
      <c r="G158" s="10" t="s">
        <v>201</v>
      </c>
      <c r="H158" s="24"/>
    </row>
    <row r="159" customFormat="false" ht="14.25" hidden="false" customHeight="false" outlineLevel="0" collapsed="false">
      <c r="B159" s="10" t="s">
        <v>450</v>
      </c>
      <c r="C159" s="36" t="n">
        <v>0.3</v>
      </c>
      <c r="D159" s="36" t="n">
        <v>0.3</v>
      </c>
      <c r="E159" s="37" t="n">
        <f aca="false">IF(case_sel=1,C159,D159)</f>
        <v>0.3</v>
      </c>
      <c r="F159" s="10" t="s">
        <v>214</v>
      </c>
      <c r="G159" s="10" t="s">
        <v>201</v>
      </c>
      <c r="H159" s="24"/>
    </row>
    <row r="160" customFormat="false" ht="14.25" hidden="false" customHeight="false" outlineLevel="0" collapsed="false">
      <c r="B160" s="10" t="s">
        <v>451</v>
      </c>
      <c r="C160" s="36" t="n">
        <v>0.3</v>
      </c>
      <c r="D160" s="36" t="n">
        <v>0.3</v>
      </c>
      <c r="E160" s="37" t="n">
        <f aca="false">IF(case_sel=1,C160,D160)</f>
        <v>0.3</v>
      </c>
      <c r="F160" s="10" t="s">
        <v>214</v>
      </c>
      <c r="G160" s="10" t="s">
        <v>201</v>
      </c>
      <c r="H160" s="24"/>
    </row>
    <row r="161" customFormat="false" ht="14.25" hidden="false" customHeight="false" outlineLevel="0" collapsed="false">
      <c r="B161" s="10" t="s">
        <v>452</v>
      </c>
      <c r="C161" s="36" t="n">
        <v>0.04</v>
      </c>
      <c r="D161" s="36" t="n">
        <v>0.05</v>
      </c>
      <c r="E161" s="37" t="n">
        <f aca="false">IF(case_sel=1,C161,D161)</f>
        <v>0.04</v>
      </c>
      <c r="F161" s="10" t="s">
        <v>214</v>
      </c>
      <c r="G161" s="10" t="s">
        <v>201</v>
      </c>
      <c r="H161" s="24"/>
    </row>
    <row r="162" customFormat="false" ht="22.35" hidden="false" customHeight="false" outlineLevel="0" collapsed="false">
      <c r="B162" s="10" t="s">
        <v>453</v>
      </c>
      <c r="C162" s="40" t="n">
        <v>0.2</v>
      </c>
      <c r="D162" s="40" t="n">
        <v>0.12</v>
      </c>
      <c r="E162" s="37" t="n">
        <f aca="false">IF(case_sel=1,C162,D162)</f>
        <v>0.2</v>
      </c>
      <c r="F162" s="10" t="s">
        <v>214</v>
      </c>
      <c r="G162" s="10" t="s">
        <v>248</v>
      </c>
      <c r="H162" s="24" t="s">
        <v>454</v>
      </c>
    </row>
    <row r="163" customFormat="false" ht="14.25" hidden="false" customHeight="false" outlineLevel="0" collapsed="false">
      <c r="B163" s="8" t="s">
        <v>455</v>
      </c>
      <c r="C163" s="9"/>
      <c r="D163" s="9"/>
      <c r="E163" s="9"/>
      <c r="F163" s="9"/>
      <c r="G163" s="9"/>
      <c r="H163" s="9"/>
    </row>
    <row r="164" customFormat="false" ht="53.7" hidden="false" customHeight="false" outlineLevel="0" collapsed="false">
      <c r="B164" s="10" t="s">
        <v>456</v>
      </c>
      <c r="C164" s="43" t="n">
        <v>1</v>
      </c>
      <c r="D164" s="43" t="n">
        <v>1</v>
      </c>
      <c r="E164" s="44" t="n">
        <f aca="false">IF(case_sel=1,C164,D164)</f>
        <v>1</v>
      </c>
      <c r="F164" s="10" t="s">
        <v>299</v>
      </c>
      <c r="G164" s="10" t="s">
        <v>248</v>
      </c>
      <c r="H164" s="24" t="s">
        <v>457</v>
      </c>
    </row>
    <row r="165" customFormat="false" ht="14.25" hidden="false" customHeight="false" outlineLevel="0" collapsed="false">
      <c r="B165" s="10" t="s">
        <v>458</v>
      </c>
      <c r="C165" s="45" t="n">
        <v>1890</v>
      </c>
      <c r="D165" s="45" t="n">
        <v>1890</v>
      </c>
      <c r="E165" s="44" t="n">
        <f aca="false">IF(case_sel=1,C165,D165)</f>
        <v>1890</v>
      </c>
      <c r="F165" s="10" t="s">
        <v>306</v>
      </c>
      <c r="G165" s="10" t="s">
        <v>248</v>
      </c>
      <c r="H165" s="24" t="s">
        <v>459</v>
      </c>
    </row>
    <row r="166" customFormat="false" ht="14.25" hidden="false" customHeight="false" outlineLevel="0" collapsed="false">
      <c r="B166" s="10" t="s">
        <v>460</v>
      </c>
      <c r="C166" s="38" t="n">
        <v>0.6</v>
      </c>
      <c r="D166" s="38" t="n">
        <v>0.4</v>
      </c>
      <c r="E166" s="35" t="n">
        <f aca="false">IF(case_sel=1,C166,D166)</f>
        <v>0.6</v>
      </c>
      <c r="F166" s="10" t="s">
        <v>207</v>
      </c>
      <c r="G166" s="10" t="s">
        <v>201</v>
      </c>
      <c r="H166" s="24"/>
    </row>
    <row r="167" customFormat="false" ht="14.25" hidden="false" customHeight="false" outlineLevel="0" collapsed="false">
      <c r="B167" s="10" t="s">
        <v>461</v>
      </c>
      <c r="C167" s="36" t="n">
        <v>0.08</v>
      </c>
      <c r="D167" s="36" t="n">
        <v>0.05</v>
      </c>
      <c r="E167" s="37" t="n">
        <f aca="false">IF(case_sel=1,C167,D167)</f>
        <v>0.08</v>
      </c>
      <c r="F167" s="10" t="s">
        <v>214</v>
      </c>
      <c r="G167" s="10" t="s">
        <v>201</v>
      </c>
      <c r="H167" s="24"/>
    </row>
    <row r="168" customFormat="false" ht="43.25" hidden="false" customHeight="false" outlineLevel="0" collapsed="false">
      <c r="B168" s="10" t="s">
        <v>462</v>
      </c>
      <c r="C168" s="40" t="n">
        <v>0.2</v>
      </c>
      <c r="D168" s="40" t="n">
        <v>0.15</v>
      </c>
      <c r="E168" s="37" t="n">
        <f aca="false">IF(case_sel=1,C168,D168)</f>
        <v>0.2</v>
      </c>
      <c r="F168" s="10" t="s">
        <v>214</v>
      </c>
      <c r="G168" s="10" t="s">
        <v>248</v>
      </c>
      <c r="H168" s="24" t="s">
        <v>463</v>
      </c>
    </row>
    <row r="169" customFormat="false" ht="14.25" hidden="false" customHeight="false" outlineLevel="0" collapsed="false">
      <c r="B169" s="10" t="s">
        <v>464</v>
      </c>
      <c r="C169" s="36" t="n">
        <v>0.4</v>
      </c>
      <c r="D169" s="36" t="n">
        <v>0.3</v>
      </c>
      <c r="E169" s="37" t="n">
        <f aca="false">IF(case_sel=1,C169,D169)</f>
        <v>0.4</v>
      </c>
      <c r="F169" s="10" t="s">
        <v>214</v>
      </c>
      <c r="G169" s="10" t="s">
        <v>201</v>
      </c>
      <c r="H169" s="24"/>
    </row>
    <row r="170" customFormat="false" ht="14.25" hidden="false" customHeight="false" outlineLevel="0" collapsed="false">
      <c r="B170" s="10" t="s">
        <v>465</v>
      </c>
      <c r="C170" s="32" t="n">
        <v>3</v>
      </c>
      <c r="D170" s="32" t="n">
        <v>3</v>
      </c>
      <c r="E170" s="33" t="n">
        <f aca="false">IF(case_sel=1,C170,D170)</f>
        <v>3</v>
      </c>
      <c r="F170" s="10" t="s">
        <v>302</v>
      </c>
      <c r="G170" s="10" t="s">
        <v>248</v>
      </c>
      <c r="H170" s="24"/>
    </row>
    <row r="171" customFormat="false" ht="22.35" hidden="false" customHeight="false" outlineLevel="0" collapsed="false">
      <c r="B171" s="10" t="s">
        <v>466</v>
      </c>
      <c r="C171" s="38" t="n">
        <v>1.6</v>
      </c>
      <c r="D171" s="38" t="n">
        <v>1.6</v>
      </c>
      <c r="E171" s="35" t="n">
        <f aca="false">IF(case_sel=1,C171,D171)</f>
        <v>1.6</v>
      </c>
      <c r="F171" s="10" t="s">
        <v>207</v>
      </c>
      <c r="G171" s="10" t="s">
        <v>201</v>
      </c>
      <c r="H171" s="24" t="s">
        <v>467</v>
      </c>
    </row>
    <row r="172" customFormat="false" ht="14.25" hidden="false" customHeight="false" outlineLevel="0" collapsed="false">
      <c r="B172" s="10" t="s">
        <v>468</v>
      </c>
      <c r="C172" s="36" t="n">
        <v>0.03</v>
      </c>
      <c r="D172" s="36" t="n">
        <v>0.02</v>
      </c>
      <c r="E172" s="37" t="n">
        <f aca="false">IF(case_sel=1,C172,D172)</f>
        <v>0.03</v>
      </c>
      <c r="F172" s="10" t="s">
        <v>214</v>
      </c>
      <c r="G172" s="10" t="s">
        <v>248</v>
      </c>
      <c r="H172" s="24" t="s">
        <v>469</v>
      </c>
    </row>
    <row r="173" customFormat="false" ht="14.25" hidden="false" customHeight="false" outlineLevel="0" collapsed="false">
      <c r="B173" s="10" t="s">
        <v>470</v>
      </c>
      <c r="C173" s="38" t="n">
        <v>1.8</v>
      </c>
      <c r="D173" s="38" t="n">
        <v>1.8</v>
      </c>
      <c r="E173" s="35" t="n">
        <f aca="false">IF(case_sel=1,C173,D173)</f>
        <v>1.8</v>
      </c>
      <c r="F173" s="10" t="s">
        <v>207</v>
      </c>
      <c r="G173" s="10" t="s">
        <v>201</v>
      </c>
      <c r="H173" s="24"/>
    </row>
    <row r="174" customFormat="false" ht="43.25" hidden="false" customHeight="false" outlineLevel="0" collapsed="false">
      <c r="B174" s="10" t="s">
        <v>471</v>
      </c>
      <c r="C174" s="36" t="n">
        <v>0.6</v>
      </c>
      <c r="D174" s="36" t="n">
        <v>0.6</v>
      </c>
      <c r="E174" s="37" t="n">
        <f aca="false">IF(case_sel=1,C174,D174)</f>
        <v>0.6</v>
      </c>
      <c r="F174" s="10" t="s">
        <v>214</v>
      </c>
      <c r="G174" s="10" t="s">
        <v>201</v>
      </c>
      <c r="H174" s="24" t="s">
        <v>472</v>
      </c>
    </row>
    <row r="175" customFormat="false" ht="14.25" hidden="false" customHeight="false" outlineLevel="0" collapsed="false">
      <c r="B175" s="10" t="s">
        <v>473</v>
      </c>
      <c r="C175" s="38" t="n">
        <v>0.6</v>
      </c>
      <c r="D175" s="38" t="n">
        <v>0.55</v>
      </c>
      <c r="E175" s="35" t="n">
        <f aca="false">IF(case_sel=1,C175,D175)</f>
        <v>0.6</v>
      </c>
      <c r="F175" s="10" t="s">
        <v>207</v>
      </c>
      <c r="G175" s="10" t="s">
        <v>201</v>
      </c>
      <c r="H175" s="24"/>
    </row>
    <row r="176" customFormat="false" ht="14.25" hidden="false" customHeight="false" outlineLevel="0" collapsed="false">
      <c r="B176" s="10" t="s">
        <v>474</v>
      </c>
      <c r="C176" s="36" t="n">
        <v>0.65</v>
      </c>
      <c r="D176" s="36" t="n">
        <v>0.65</v>
      </c>
      <c r="E176" s="37" t="n">
        <f aca="false">IF(case_sel=1,C176,D176)</f>
        <v>0.65</v>
      </c>
      <c r="F176" s="10" t="s">
        <v>214</v>
      </c>
      <c r="G176" s="10" t="s">
        <v>201</v>
      </c>
      <c r="H176" s="24"/>
    </row>
    <row r="177" customFormat="false" ht="43.25" hidden="false" customHeight="false" outlineLevel="0" collapsed="false">
      <c r="B177" s="10" t="s">
        <v>475</v>
      </c>
      <c r="C177" s="40" t="n">
        <v>0.25</v>
      </c>
      <c r="D177" s="40" t="n">
        <v>0.15</v>
      </c>
      <c r="E177" s="37" t="n">
        <f aca="false">IF(case_sel=1,C177,D177)</f>
        <v>0.25</v>
      </c>
      <c r="F177" s="10" t="s">
        <v>214</v>
      </c>
      <c r="G177" s="10" t="s">
        <v>248</v>
      </c>
      <c r="H177" s="24" t="s">
        <v>476</v>
      </c>
    </row>
    <row r="178" customFormat="false" ht="14.25" hidden="false" customHeight="false" outlineLevel="0" collapsed="false">
      <c r="B178" s="10" t="s">
        <v>477</v>
      </c>
      <c r="C178" s="36" t="n">
        <v>0.25</v>
      </c>
      <c r="D178" s="36" t="n">
        <v>0.3</v>
      </c>
      <c r="E178" s="37" t="n">
        <f aca="false">IF(case_sel=1,C178,D178)</f>
        <v>0.25</v>
      </c>
      <c r="F178" s="10" t="s">
        <v>214</v>
      </c>
      <c r="G178" s="10" t="s">
        <v>201</v>
      </c>
      <c r="H178" s="24"/>
    </row>
    <row r="179" customFormat="false" ht="14.25" hidden="false" customHeight="false" outlineLevel="0" collapsed="false">
      <c r="B179" s="10" t="s">
        <v>478</v>
      </c>
      <c r="C179" s="32" t="n">
        <v>25</v>
      </c>
      <c r="D179" s="32" t="n">
        <v>25</v>
      </c>
      <c r="E179" s="33" t="n">
        <f aca="false">IF(case_sel=1,C179,D179)</f>
        <v>25</v>
      </c>
      <c r="F179" s="10" t="s">
        <v>314</v>
      </c>
      <c r="G179" s="10" t="s">
        <v>201</v>
      </c>
      <c r="H179" s="24"/>
    </row>
    <row r="180" customFormat="false" ht="14.25" hidden="false" customHeight="false" outlineLevel="0" collapsed="false">
      <c r="B180" s="8" t="s">
        <v>479</v>
      </c>
      <c r="C180" s="9"/>
      <c r="D180" s="9"/>
      <c r="E180" s="9"/>
      <c r="F180" s="9"/>
      <c r="G180" s="9"/>
      <c r="H180" s="9"/>
    </row>
    <row r="181" customFormat="false" ht="22.35" hidden="false" customHeight="false" outlineLevel="0" collapsed="false">
      <c r="B181" s="10" t="s">
        <v>480</v>
      </c>
      <c r="C181" s="34" t="n">
        <v>1</v>
      </c>
      <c r="D181" s="34" t="n">
        <v>0.6</v>
      </c>
      <c r="E181" s="35" t="n">
        <f aca="false">IF(case_sel=1,C181,D181)</f>
        <v>1</v>
      </c>
      <c r="F181" s="10" t="s">
        <v>207</v>
      </c>
      <c r="G181" s="10" t="s">
        <v>201</v>
      </c>
      <c r="H181" s="24" t="s">
        <v>481</v>
      </c>
    </row>
    <row r="182" customFormat="false" ht="32.8" hidden="false" customHeight="false" outlineLevel="0" collapsed="false">
      <c r="B182" s="10" t="s">
        <v>482</v>
      </c>
      <c r="C182" s="36" t="n">
        <v>0.05</v>
      </c>
      <c r="D182" s="36" t="n">
        <v>0.05</v>
      </c>
      <c r="E182" s="37" t="n">
        <f aca="false">IF(case_sel=1,C182,D182)</f>
        <v>0.05</v>
      </c>
      <c r="F182" s="10" t="s">
        <v>214</v>
      </c>
      <c r="G182" s="10" t="s">
        <v>201</v>
      </c>
      <c r="H182" s="24" t="s">
        <v>483</v>
      </c>
    </row>
    <row r="183" customFormat="false" ht="32.8" hidden="false" customHeight="false" outlineLevel="0" collapsed="false">
      <c r="B183" s="10" t="s">
        <v>484</v>
      </c>
      <c r="C183" s="36" t="n">
        <v>0.03</v>
      </c>
      <c r="D183" s="36" t="n">
        <v>0.03</v>
      </c>
      <c r="E183" s="37" t="n">
        <f aca="false">IF(case_sel=1,C183,D183)</f>
        <v>0.03</v>
      </c>
      <c r="F183" s="10" t="s">
        <v>214</v>
      </c>
      <c r="G183" s="10" t="s">
        <v>201</v>
      </c>
      <c r="H183" s="24" t="s">
        <v>485</v>
      </c>
    </row>
    <row r="184" customFormat="false" ht="14.25" hidden="false" customHeight="false" outlineLevel="0" collapsed="false">
      <c r="B184" s="8" t="s">
        <v>486</v>
      </c>
      <c r="C184" s="9"/>
      <c r="D184" s="9"/>
      <c r="E184" s="9"/>
      <c r="F184" s="9"/>
      <c r="G184" s="9"/>
      <c r="H184" s="9"/>
    </row>
    <row r="185" customFormat="false" ht="14.25" hidden="false" customHeight="false" outlineLevel="0" collapsed="false">
      <c r="B185" s="10" t="s">
        <v>487</v>
      </c>
      <c r="C185" s="36" t="n">
        <v>0.04</v>
      </c>
      <c r="D185" s="36" t="n">
        <v>0.04</v>
      </c>
      <c r="E185" s="37" t="n">
        <f aca="false">IF(case_sel=1,C185,D185)</f>
        <v>0.04</v>
      </c>
      <c r="F185" s="10" t="s">
        <v>214</v>
      </c>
      <c r="G185" s="10" t="s">
        <v>224</v>
      </c>
      <c r="H185" s="24" t="s">
        <v>488</v>
      </c>
    </row>
    <row r="186" customFormat="false" ht="14.25" hidden="false" customHeight="false" outlineLevel="0" collapsed="false">
      <c r="B186" s="10" t="s">
        <v>489</v>
      </c>
      <c r="C186" s="36" t="n">
        <v>0.15</v>
      </c>
      <c r="D186" s="36" t="n">
        <v>0.15</v>
      </c>
      <c r="E186" s="37" t="n">
        <f aca="false">IF(case_sel=1,C186,D186)</f>
        <v>0.15</v>
      </c>
      <c r="F186" s="10" t="s">
        <v>214</v>
      </c>
      <c r="G186" s="10" t="s">
        <v>224</v>
      </c>
      <c r="H186" s="24" t="s">
        <v>490</v>
      </c>
    </row>
    <row r="187" customFormat="false" ht="14.25" hidden="false" customHeight="false" outlineLevel="0" collapsed="false">
      <c r="B187" s="10" t="s">
        <v>491</v>
      </c>
      <c r="C187" s="36" t="n">
        <v>0.3</v>
      </c>
      <c r="D187" s="36" t="n">
        <v>0.3</v>
      </c>
      <c r="E187" s="37" t="n">
        <f aca="false">IF(case_sel=1,C187,D187)</f>
        <v>0.3</v>
      </c>
      <c r="F187" s="10" t="s">
        <v>214</v>
      </c>
      <c r="G187" s="10" t="s">
        <v>224</v>
      </c>
      <c r="H187" s="24" t="s">
        <v>492</v>
      </c>
    </row>
    <row r="189" customFormat="false" ht="14.25" hidden="false" customHeight="false" outlineLevel="0" collapsed="false">
      <c r="B189" s="8" t="s">
        <v>493</v>
      </c>
      <c r="C189" s="9"/>
      <c r="D189" s="9"/>
      <c r="E189" s="9"/>
      <c r="F189" s="9"/>
      <c r="G189" s="9"/>
      <c r="H189" s="9"/>
      <c r="I189" s="9"/>
      <c r="J189" s="9"/>
      <c r="K189" s="9"/>
    </row>
    <row r="190" customFormat="false" ht="42" hidden="false" customHeight="true" outlineLevel="0" collapsed="false">
      <c r="B190" s="47" t="s">
        <v>494</v>
      </c>
      <c r="C190" s="31" t="s">
        <v>495</v>
      </c>
      <c r="D190" s="31" t="s">
        <v>496</v>
      </c>
      <c r="E190" s="31" t="s">
        <v>497</v>
      </c>
      <c r="F190" s="31" t="s">
        <v>498</v>
      </c>
      <c r="G190" s="31" t="s">
        <v>499</v>
      </c>
      <c r="H190" s="31" t="s">
        <v>500</v>
      </c>
      <c r="I190" s="31" t="s">
        <v>501</v>
      </c>
      <c r="J190" s="31" t="s">
        <v>502</v>
      </c>
      <c r="K190" s="31" t="s">
        <v>503</v>
      </c>
    </row>
    <row r="191" customFormat="false" ht="14.25" hidden="false" customHeight="false" outlineLevel="0" collapsed="false">
      <c r="B191" s="10" t="s">
        <v>504</v>
      </c>
      <c r="C191" s="48" t="n">
        <v>25</v>
      </c>
      <c r="D191" s="48" t="n">
        <v>20</v>
      </c>
      <c r="E191" s="48" t="n">
        <v>15</v>
      </c>
      <c r="F191" s="48" t="n">
        <v>22</v>
      </c>
      <c r="G191" s="48" t="n">
        <v>18</v>
      </c>
      <c r="H191" s="48" t="n">
        <v>22</v>
      </c>
      <c r="I191" s="48" t="n">
        <v>22</v>
      </c>
      <c r="J191" s="48" t="n">
        <v>15</v>
      </c>
      <c r="K191" s="48" t="n">
        <v>25</v>
      </c>
    </row>
    <row r="192" customFormat="false" ht="14.25" hidden="false" customHeight="false" outlineLevel="0" collapsed="false">
      <c r="B192" s="10" t="s">
        <v>505</v>
      </c>
      <c r="C192" s="48" t="n">
        <v>120</v>
      </c>
      <c r="D192" s="48" t="n">
        <v>250</v>
      </c>
      <c r="E192" s="48" t="n">
        <v>20</v>
      </c>
      <c r="F192" s="48" t="n">
        <v>280</v>
      </c>
      <c r="G192" s="48" t="n">
        <v>90</v>
      </c>
      <c r="H192" s="48" t="n">
        <v>400</v>
      </c>
      <c r="I192" s="48" t="n">
        <v>1000</v>
      </c>
      <c r="J192" s="48" t="n">
        <v>30</v>
      </c>
      <c r="K192" s="48" t="n">
        <v>1500</v>
      </c>
    </row>
    <row r="193" customFormat="false" ht="14.25" hidden="false" customHeight="false" outlineLevel="0" collapsed="false">
      <c r="B193" s="10" t="s">
        <v>506</v>
      </c>
      <c r="C193" s="49" t="n">
        <v>0.02</v>
      </c>
      <c r="D193" s="49" t="n">
        <v>0.05</v>
      </c>
      <c r="E193" s="49" t="n">
        <v>0.005</v>
      </c>
      <c r="F193" s="49" t="n">
        <v>0.05</v>
      </c>
      <c r="G193" s="49" t="n">
        <v>0.03</v>
      </c>
      <c r="H193" s="49" t="n">
        <v>0.08</v>
      </c>
      <c r="I193" s="49" t="n">
        <v>0.2</v>
      </c>
      <c r="J193" s="49" t="n">
        <v>0.01</v>
      </c>
      <c r="K193" s="49" t="n">
        <v>0.25</v>
      </c>
    </row>
    <row r="194" customFormat="false" ht="14.25" hidden="false" customHeight="false" outlineLevel="0" collapsed="false">
      <c r="B194" s="10" t="s">
        <v>507</v>
      </c>
      <c r="C194" s="48" t="n">
        <v>0</v>
      </c>
      <c r="D194" s="48" t="n">
        <v>0</v>
      </c>
      <c r="E194" s="48" t="n">
        <v>1</v>
      </c>
      <c r="F194" s="48" t="n">
        <v>1</v>
      </c>
      <c r="G194" s="48" t="n">
        <v>1</v>
      </c>
      <c r="H194" s="48" t="n">
        <v>1</v>
      </c>
      <c r="I194" s="48" t="n">
        <v>1</v>
      </c>
      <c r="J194" s="48" t="n">
        <v>1</v>
      </c>
      <c r="K194" s="48" t="n">
        <v>1</v>
      </c>
    </row>
    <row r="195" customFormat="false" ht="14.25" hidden="false" customHeight="false" outlineLevel="0" collapsed="false">
      <c r="B195" s="10" t="s">
        <v>508</v>
      </c>
      <c r="C195" s="50" t="n">
        <f aca="false">C192/IF(C194=1,oil_crew,1)</f>
        <v>120</v>
      </c>
      <c r="D195" s="50" t="n">
        <f aca="false">D192/IF(D194=1,oil_crew,1)</f>
        <v>250</v>
      </c>
      <c r="E195" s="50" t="n">
        <f aca="false">E192/IF(E194=1,oil_crew,1)</f>
        <v>25.6410256410256</v>
      </c>
      <c r="F195" s="50" t="n">
        <f aca="false">F192/IF(F194=1,oil_crew,1)</f>
        <v>358.974358974359</v>
      </c>
      <c r="G195" s="50" t="n">
        <f aca="false">G192/IF(G194=1,oil_crew,1)</f>
        <v>115.384615384615</v>
      </c>
      <c r="H195" s="50" t="n">
        <f aca="false">H192/IF(H194=1,oil_crew,1)</f>
        <v>512.820512820513</v>
      </c>
      <c r="I195" s="50" t="n">
        <f aca="false">I192/IF(I194=1,oil_crew,1)</f>
        <v>1282.05128205128</v>
      </c>
      <c r="J195" s="50" t="n">
        <f aca="false">J192/IF(J194=1,oil_crew,1)</f>
        <v>38.4615384615385</v>
      </c>
      <c r="K195" s="50" t="n">
        <f aca="false">K192/IF(K194=1,oil_crew,1)</f>
        <v>1923.07692307692</v>
      </c>
    </row>
    <row r="196" customFormat="false" ht="14.25" hidden="false" customHeight="false" outlineLevel="0" collapsed="false">
      <c r="B196" s="10" t="s">
        <v>509</v>
      </c>
      <c r="C196" s="51" t="s">
        <v>224</v>
      </c>
      <c r="D196" s="51" t="s">
        <v>224</v>
      </c>
      <c r="E196" s="51" t="s">
        <v>303</v>
      </c>
      <c r="F196" s="51" t="s">
        <v>303</v>
      </c>
      <c r="G196" s="51" t="s">
        <v>303</v>
      </c>
      <c r="H196" s="51" t="s">
        <v>303</v>
      </c>
      <c r="I196" s="51" t="s">
        <v>248</v>
      </c>
      <c r="J196" s="51" t="s">
        <v>248</v>
      </c>
      <c r="K196" s="51" t="s">
        <v>248</v>
      </c>
    </row>
    <row r="197" customFormat="false" ht="63.75" hidden="false" customHeight="true" outlineLevel="0" collapsed="false">
      <c r="B197" s="10" t="s">
        <v>510</v>
      </c>
      <c r="C197" s="52" t="s">
        <v>511</v>
      </c>
      <c r="D197" s="52" t="s">
        <v>512</v>
      </c>
      <c r="E197" s="52" t="s">
        <v>513</v>
      </c>
      <c r="F197" s="52" t="s">
        <v>514</v>
      </c>
      <c r="G197" s="52" t="s">
        <v>515</v>
      </c>
      <c r="H197" s="52" t="s">
        <v>516</v>
      </c>
      <c r="I197" s="52" t="s">
        <v>517</v>
      </c>
      <c r="J197" s="52" t="s">
        <v>518</v>
      </c>
      <c r="K197" s="52" t="s">
        <v>519</v>
      </c>
    </row>
    <row r="199" customFormat="false" ht="14.25" hidden="false" customHeight="false" outlineLevel="0" collapsed="false">
      <c r="B199" s="28" t="s">
        <v>520</v>
      </c>
      <c r="C199" s="29" t="n">
        <v>0.9</v>
      </c>
      <c r="D199" s="29" t="n">
        <v>0.9</v>
      </c>
      <c r="E199" s="1" t="n">
        <f aca="false">IF(case_sel=1,C199,D199)</f>
        <v>0.9</v>
      </c>
      <c r="F199" s="1" t="s">
        <v>214</v>
      </c>
      <c r="G199" s="1" t="s">
        <v>201</v>
      </c>
    </row>
    <row r="200" customFormat="false" ht="14.25" hidden="false" customHeight="false" outlineLevel="0" collapsed="false">
      <c r="B200" s="1" t="s">
        <v>521</v>
      </c>
      <c r="C200" s="29" t="n">
        <v>0.3</v>
      </c>
      <c r="D200" s="29" t="n">
        <v>0.3</v>
      </c>
      <c r="E200" s="1" t="n">
        <f aca="false">IF(case_sel=1,C200,D200)</f>
        <v>0.3</v>
      </c>
      <c r="F200" s="1" t="s">
        <v>214</v>
      </c>
      <c r="G200" s="1" t="s">
        <v>248</v>
      </c>
    </row>
    <row r="201" customFormat="false" ht="14.25" hidden="false" customHeight="false" outlineLevel="0" collapsed="false">
      <c r="B201" s="1" t="s">
        <v>522</v>
      </c>
      <c r="C201" s="29" t="n">
        <v>0.08</v>
      </c>
      <c r="D201" s="29" t="n">
        <v>0.12</v>
      </c>
      <c r="E201" s="1" t="n">
        <f aca="false">IF(case_sel=1,C201,D201)</f>
        <v>0.08</v>
      </c>
      <c r="F201" s="1" t="s">
        <v>214</v>
      </c>
      <c r="G201" s="1" t="s">
        <v>201</v>
      </c>
    </row>
    <row r="202" customFormat="false" ht="14.25" hidden="false" customHeight="false" outlineLevel="0" collapsed="false">
      <c r="B202" s="1" t="s">
        <v>523</v>
      </c>
      <c r="C202" s="29" t="n">
        <v>2</v>
      </c>
      <c r="D202" s="29" t="n">
        <v>2</v>
      </c>
      <c r="E202" s="1" t="n">
        <f aca="false">IF(case_sel=1,C202,D202)</f>
        <v>2</v>
      </c>
      <c r="F202" s="1" t="s">
        <v>524</v>
      </c>
      <c r="G202" s="1" t="s">
        <v>201</v>
      </c>
    </row>
    <row r="203" customFormat="false" ht="14.25" hidden="false" customHeight="false" outlineLevel="0" collapsed="false">
      <c r="B203" s="1" t="s">
        <v>525</v>
      </c>
      <c r="C203" s="29" t="n">
        <v>1</v>
      </c>
      <c r="D203" s="29" t="n">
        <v>0.6</v>
      </c>
      <c r="E203" s="1" t="n">
        <f aca="false">IF(case_sel=1,C203,D203)</f>
        <v>1</v>
      </c>
      <c r="F203" s="1" t="s">
        <v>214</v>
      </c>
      <c r="G203" s="1" t="s">
        <v>201</v>
      </c>
    </row>
    <row r="204" customFormat="false" ht="14.25" hidden="false" customHeight="false" outlineLevel="0" collapsed="false">
      <c r="B204" s="1" t="s">
        <v>526</v>
      </c>
      <c r="C204" s="29" t="n">
        <v>1</v>
      </c>
      <c r="D204" s="29" t="n">
        <v>1.3</v>
      </c>
      <c r="E204" s="1" t="n">
        <f aca="false">IF(case_sel=1,C204,D204)</f>
        <v>1</v>
      </c>
      <c r="F204" s="1" t="s">
        <v>207</v>
      </c>
      <c r="G204" s="1" t="s">
        <v>201</v>
      </c>
    </row>
    <row r="205" customFormat="false" ht="14.25" hidden="false" customHeight="false" outlineLevel="0" collapsed="false">
      <c r="B205" s="1" t="s">
        <v>527</v>
      </c>
      <c r="C205" s="29" t="n">
        <v>1</v>
      </c>
      <c r="D205" s="29" t="n">
        <v>1.25</v>
      </c>
      <c r="E205" s="1" t="n">
        <f aca="false">IF(case_sel=1,C205,D205)</f>
        <v>1</v>
      </c>
      <c r="F205" s="1" t="s">
        <v>207</v>
      </c>
      <c r="G205" s="1" t="s">
        <v>201</v>
      </c>
    </row>
    <row r="206" customFormat="false" ht="14.25" hidden="false" customHeight="false" outlineLevel="0" collapsed="false">
      <c r="B206" s="1" t="s">
        <v>528</v>
      </c>
      <c r="C206" s="29" t="n">
        <v>1</v>
      </c>
      <c r="D206" s="29" t="n">
        <v>0.8</v>
      </c>
      <c r="E206" s="1" t="n">
        <f aca="false">IF(case_sel=1,C206,D206)</f>
        <v>1</v>
      </c>
      <c r="F206" s="1" t="s">
        <v>207</v>
      </c>
      <c r="G206" s="1" t="s">
        <v>201</v>
      </c>
    </row>
    <row r="207" customFormat="false" ht="14.25" hidden="false" customHeight="false" outlineLevel="0" collapsed="false">
      <c r="B207" s="1" t="s">
        <v>529</v>
      </c>
      <c r="C207" s="29" t="n">
        <v>1</v>
      </c>
      <c r="D207" s="29" t="n">
        <v>1.2</v>
      </c>
      <c r="E207" s="1" t="n">
        <f aca="false">IF(case_sel=1,C207,D207)</f>
        <v>1</v>
      </c>
      <c r="F207" s="1" t="s">
        <v>207</v>
      </c>
      <c r="G207" s="1" t="s">
        <v>201</v>
      </c>
    </row>
    <row r="208" customFormat="false" ht="14.25" hidden="false" customHeight="false" outlineLevel="0" collapsed="false">
      <c r="B208" s="1" t="s">
        <v>530</v>
      </c>
      <c r="C208" s="29" t="n">
        <v>1</v>
      </c>
      <c r="D208" s="29" t="n">
        <v>1.25</v>
      </c>
      <c r="E208" s="1" t="n">
        <f aca="false">IF(case_sel=1,C208,D208)</f>
        <v>1</v>
      </c>
      <c r="F208" s="1" t="s">
        <v>207</v>
      </c>
      <c r="G208" s="1" t="s">
        <v>201</v>
      </c>
    </row>
    <row r="209" customFormat="false" ht="14.25" hidden="false" customHeight="false" outlineLevel="0" collapsed="false">
      <c r="B209" s="1" t="s">
        <v>531</v>
      </c>
      <c r="C209" s="29" t="n">
        <v>160</v>
      </c>
      <c r="D209" s="29" t="n">
        <v>130</v>
      </c>
      <c r="E209" s="1" t="n">
        <f aca="false">IF(case_sel=1,C209,D209)</f>
        <v>160</v>
      </c>
      <c r="F209" s="1" t="s">
        <v>532</v>
      </c>
      <c r="G209" s="1" t="s">
        <v>201</v>
      </c>
    </row>
    <row r="210" customFormat="false" ht="14.25" hidden="false" customHeight="false" outlineLevel="0" collapsed="false">
      <c r="B210" s="1" t="s">
        <v>533</v>
      </c>
      <c r="C210" s="29" t="n">
        <v>150</v>
      </c>
      <c r="D210" s="29" t="n">
        <v>120</v>
      </c>
      <c r="E210" s="1" t="n">
        <f aca="false">IF(case_sel=1,C210,D210)</f>
        <v>150</v>
      </c>
      <c r="F210" s="1" t="s">
        <v>532</v>
      </c>
      <c r="G210" s="1" t="s">
        <v>201</v>
      </c>
    </row>
    <row r="211" customFormat="false" ht="14.25" hidden="false" customHeight="false" outlineLevel="0" collapsed="false">
      <c r="B211" s="1" t="s">
        <v>534</v>
      </c>
      <c r="C211" s="29" t="n">
        <v>6.5</v>
      </c>
      <c r="D211" s="29" t="n">
        <v>5.5</v>
      </c>
      <c r="E211" s="1" t="n">
        <f aca="false">IF(case_sel=1,C211,D211)</f>
        <v>6.5</v>
      </c>
      <c r="F211" s="1" t="s">
        <v>535</v>
      </c>
      <c r="G211" s="1" t="s">
        <v>201</v>
      </c>
    </row>
    <row r="212" customFormat="false" ht="14.25" hidden="false" customHeight="false" outlineLevel="0" collapsed="false">
      <c r="B212" s="1" t="s">
        <v>536</v>
      </c>
      <c r="C212" s="29" t="n">
        <v>40</v>
      </c>
      <c r="D212" s="29" t="n">
        <v>40</v>
      </c>
      <c r="E212" s="1" t="n">
        <f aca="false">IF(case_sel=1,C212,D212)</f>
        <v>40</v>
      </c>
      <c r="F212" s="1" t="s">
        <v>537</v>
      </c>
      <c r="G212" s="1" t="s">
        <v>248</v>
      </c>
    </row>
    <row r="213" customFormat="false" ht="14.25" hidden="false" customHeight="false" outlineLevel="0" collapsed="false">
      <c r="B213" s="1" t="s">
        <v>538</v>
      </c>
      <c r="C213" s="29" t="n">
        <v>1</v>
      </c>
      <c r="D213" s="29" t="n">
        <v>0.5</v>
      </c>
      <c r="E213" s="1" t="n">
        <f aca="false">IF(case_sel=1,C213,D213)</f>
        <v>1</v>
      </c>
      <c r="F213" s="1" t="s">
        <v>207</v>
      </c>
      <c r="G213" s="1" t="s">
        <v>248</v>
      </c>
    </row>
    <row r="214" customFormat="false" ht="14.25" hidden="false" customHeight="false" outlineLevel="0" collapsed="false">
      <c r="B214" s="1" t="s">
        <v>539</v>
      </c>
      <c r="C214" s="29" t="n">
        <v>0</v>
      </c>
      <c r="D214" s="29" t="n">
        <v>0.13</v>
      </c>
      <c r="E214" s="1" t="n">
        <f aca="false">IF(case_sel=1,C214,D214)</f>
        <v>0</v>
      </c>
      <c r="F214" s="1" t="s">
        <v>214</v>
      </c>
      <c r="G214" s="1" t="s">
        <v>201</v>
      </c>
    </row>
    <row r="216" customFormat="false" ht="14.25" hidden="false" customHeight="false" outlineLevel="0" collapsed="false">
      <c r="B216" s="28" t="s">
        <v>540</v>
      </c>
    </row>
    <row r="217" customFormat="false" ht="14.25" hidden="false" customHeight="false" outlineLevel="0" collapsed="false">
      <c r="B217" s="1" t="s">
        <v>541</v>
      </c>
      <c r="C217" s="29" t="n">
        <v>780</v>
      </c>
      <c r="D217" s="29" t="n">
        <v>780</v>
      </c>
      <c r="E217" s="1" t="n">
        <f aca="false">IF(case_sel=1,C217,D217)</f>
        <v>780</v>
      </c>
      <c r="F217" s="1" t="s">
        <v>532</v>
      </c>
      <c r="G217" s="1" t="s">
        <v>201</v>
      </c>
    </row>
    <row r="218" customFormat="false" ht="14.25" hidden="false" customHeight="false" outlineLevel="0" collapsed="false">
      <c r="B218" s="1" t="s">
        <v>542</v>
      </c>
      <c r="C218" s="29" t="n">
        <v>935</v>
      </c>
      <c r="D218" s="29" t="n">
        <v>935</v>
      </c>
      <c r="E218" s="1" t="n">
        <f aca="false">IF(case_sel=1,C218,D218)</f>
        <v>935</v>
      </c>
      <c r="F218" s="1" t="s">
        <v>532</v>
      </c>
      <c r="G218" s="1" t="s">
        <v>201</v>
      </c>
    </row>
    <row r="219" customFormat="false" ht="14.25" hidden="false" customHeight="false" outlineLevel="0" collapsed="false">
      <c r="B219" s="1" t="s">
        <v>543</v>
      </c>
      <c r="C219" s="29" t="n">
        <v>346</v>
      </c>
      <c r="D219" s="29" t="n">
        <v>346</v>
      </c>
      <c r="E219" s="1" t="n">
        <f aca="false">IF(case_sel=1,C219,D219)</f>
        <v>346</v>
      </c>
      <c r="F219" s="1" t="s">
        <v>532</v>
      </c>
      <c r="G219" s="1" t="s">
        <v>201</v>
      </c>
    </row>
    <row r="220" customFormat="false" ht="14.25" hidden="false" customHeight="false" outlineLevel="0" collapsed="false">
      <c r="B220" s="1" t="s">
        <v>544</v>
      </c>
      <c r="C220" s="29" t="n">
        <v>964</v>
      </c>
      <c r="D220" s="29" t="n">
        <v>964</v>
      </c>
      <c r="E220" s="1" t="n">
        <f aca="false">IF(case_sel=1,C220,D220)</f>
        <v>964</v>
      </c>
      <c r="F220" s="1" t="s">
        <v>532</v>
      </c>
      <c r="G220" s="1" t="s">
        <v>201</v>
      </c>
    </row>
    <row r="221" customFormat="false" ht="14.25" hidden="false" customHeight="false" outlineLevel="0" collapsed="false">
      <c r="B221" s="1" t="s">
        <v>545</v>
      </c>
      <c r="C221" s="29" t="n">
        <v>1830</v>
      </c>
      <c r="D221" s="29" t="n">
        <v>1830</v>
      </c>
      <c r="E221" s="1" t="n">
        <f aca="false">IF(case_sel=1,C221,D221)</f>
        <v>1830</v>
      </c>
      <c r="F221" s="1" t="s">
        <v>532</v>
      </c>
      <c r="G221" s="1" t="s">
        <v>201</v>
      </c>
    </row>
    <row r="222" customFormat="false" ht="14.25" hidden="false" customHeight="false" outlineLevel="0" collapsed="false">
      <c r="B222" s="1" t="s">
        <v>546</v>
      </c>
      <c r="C222" s="29" t="n">
        <v>520</v>
      </c>
      <c r="D222" s="29" t="n">
        <v>520</v>
      </c>
      <c r="E222" s="1" t="n">
        <f aca="false">IF(case_sel=1,C222,D222)</f>
        <v>520</v>
      </c>
      <c r="F222" s="1" t="s">
        <v>547</v>
      </c>
      <c r="G222" s="1" t="s">
        <v>201</v>
      </c>
    </row>
    <row r="223" customFormat="false" ht="14.25" hidden="false" customHeight="false" outlineLevel="0" collapsed="false">
      <c r="B223" s="1" t="s">
        <v>548</v>
      </c>
      <c r="C223" s="29" t="n">
        <v>420</v>
      </c>
      <c r="D223" s="29" t="n">
        <v>420</v>
      </c>
      <c r="E223" s="1" t="n">
        <f aca="false">IF(case_sel=1,C223,D223)</f>
        <v>420</v>
      </c>
      <c r="F223" s="1" t="s">
        <v>547</v>
      </c>
      <c r="G223" s="1" t="s">
        <v>201</v>
      </c>
    </row>
    <row r="224" customFormat="false" ht="14.25" hidden="false" customHeight="false" outlineLevel="0" collapsed="false">
      <c r="B224" s="1" t="s">
        <v>549</v>
      </c>
      <c r="C224" s="29" t="n">
        <v>450</v>
      </c>
      <c r="D224" s="29" t="n">
        <v>450</v>
      </c>
      <c r="E224" s="1" t="n">
        <f aca="false">IF(case_sel=1,C224,D224)</f>
        <v>450</v>
      </c>
      <c r="F224" s="1" t="s">
        <v>547</v>
      </c>
      <c r="G224" s="1" t="s">
        <v>201</v>
      </c>
    </row>
    <row r="225" customFormat="false" ht="14.25" hidden="false" customHeight="false" outlineLevel="0" collapsed="false">
      <c r="B225" s="1" t="s">
        <v>550</v>
      </c>
      <c r="C225" s="29" t="n">
        <v>380</v>
      </c>
      <c r="D225" s="29" t="n">
        <v>380</v>
      </c>
      <c r="E225" s="1" t="n">
        <f aca="false">IF(case_sel=1,C225,D225)</f>
        <v>380</v>
      </c>
      <c r="F225" s="1" t="s">
        <v>547</v>
      </c>
      <c r="G225" s="1" t="s">
        <v>201</v>
      </c>
    </row>
    <row r="226" customFormat="false" ht="14.25" hidden="false" customHeight="false" outlineLevel="0" collapsed="false">
      <c r="B226" s="1" t="s">
        <v>551</v>
      </c>
      <c r="C226" s="29" t="n">
        <v>480</v>
      </c>
      <c r="D226" s="29" t="n">
        <v>480</v>
      </c>
      <c r="E226" s="1" t="n">
        <f aca="false">IF(case_sel=1,C226,D226)</f>
        <v>480</v>
      </c>
      <c r="F226" s="1" t="s">
        <v>547</v>
      </c>
      <c r="G226" s="1" t="s">
        <v>201</v>
      </c>
    </row>
    <row r="227" customFormat="false" ht="14.25" hidden="false" customHeight="false" outlineLevel="0" collapsed="false">
      <c r="B227" s="1" t="s">
        <v>552</v>
      </c>
      <c r="C227" s="29" t="n">
        <v>1.5</v>
      </c>
      <c r="D227" s="29" t="n">
        <v>1.5</v>
      </c>
      <c r="E227" s="1" t="n">
        <f aca="false">IF(case_sel=1,C227,D227)</f>
        <v>1.5</v>
      </c>
      <c r="F227" s="1" t="s">
        <v>553</v>
      </c>
      <c r="G227" s="1" t="s">
        <v>201</v>
      </c>
    </row>
    <row r="228" customFormat="false" ht="14.25" hidden="false" customHeight="false" outlineLevel="0" collapsed="false">
      <c r="B228" s="1" t="s">
        <v>554</v>
      </c>
      <c r="C228" s="29" t="n">
        <v>0.9</v>
      </c>
      <c r="D228" s="29" t="n">
        <v>0.9</v>
      </c>
      <c r="E228" s="1" t="n">
        <f aca="false">IF(case_sel=1,C228,D228)</f>
        <v>0.9</v>
      </c>
      <c r="F228" s="1" t="s">
        <v>553</v>
      </c>
      <c r="G228" s="1" t="s">
        <v>201</v>
      </c>
    </row>
    <row r="229" customFormat="false" ht="14.25" hidden="false" customHeight="false" outlineLevel="0" collapsed="false">
      <c r="B229" s="1" t="s">
        <v>555</v>
      </c>
      <c r="C229" s="29" t="n">
        <v>0.8</v>
      </c>
      <c r="D229" s="29" t="n">
        <v>0.8</v>
      </c>
      <c r="E229" s="1" t="n">
        <f aca="false">IF(case_sel=1,C229,D229)</f>
        <v>0.8</v>
      </c>
      <c r="F229" s="1" t="s">
        <v>553</v>
      </c>
      <c r="G229" s="1" t="s">
        <v>201</v>
      </c>
    </row>
    <row r="230" customFormat="false" ht="14.25" hidden="false" customHeight="false" outlineLevel="0" collapsed="false">
      <c r="B230" s="1" t="s">
        <v>556</v>
      </c>
      <c r="C230" s="29" t="n">
        <v>0.9</v>
      </c>
      <c r="D230" s="29" t="n">
        <v>0.9</v>
      </c>
      <c r="E230" s="1" t="n">
        <f aca="false">IF(case_sel=1,C230,D230)</f>
        <v>0.9</v>
      </c>
      <c r="F230" s="1" t="s">
        <v>553</v>
      </c>
      <c r="G230" s="1" t="s">
        <v>201</v>
      </c>
    </row>
    <row r="231" customFormat="false" ht="14.25" hidden="false" customHeight="false" outlineLevel="0" collapsed="false">
      <c r="B231" s="1" t="s">
        <v>557</v>
      </c>
      <c r="C231" s="29" t="n">
        <v>0.25</v>
      </c>
      <c r="D231" s="29" t="n">
        <v>0.25</v>
      </c>
      <c r="E231" s="1" t="n">
        <f aca="false">IF(case_sel=1,C231,D231)</f>
        <v>0.25</v>
      </c>
      <c r="F231" s="1" t="s">
        <v>558</v>
      </c>
      <c r="G231" s="1" t="s">
        <v>201</v>
      </c>
    </row>
    <row r="232" customFormat="false" ht="14.25" hidden="false" customHeight="false" outlineLevel="0" collapsed="false">
      <c r="B232" s="1" t="s">
        <v>559</v>
      </c>
      <c r="C232" s="29" t="n">
        <v>4.5</v>
      </c>
      <c r="D232" s="29" t="n">
        <v>4.5</v>
      </c>
      <c r="E232" s="1" t="n">
        <f aca="false">IF(case_sel=1,C232,D232)</f>
        <v>4.5</v>
      </c>
      <c r="F232" s="1" t="s">
        <v>553</v>
      </c>
      <c r="G232" s="1" t="s">
        <v>201</v>
      </c>
    </row>
    <row r="233" customFormat="false" ht="14.25" hidden="false" customHeight="false" outlineLevel="0" collapsed="false">
      <c r="B233" s="1" t="s">
        <v>560</v>
      </c>
      <c r="C233" s="29" t="n">
        <v>0.4</v>
      </c>
      <c r="D233" s="29" t="n">
        <v>0.4</v>
      </c>
      <c r="E233" s="1" t="n">
        <f aca="false">IF(case_sel=1,C233,D233)</f>
        <v>0.4</v>
      </c>
      <c r="F233" s="1" t="s">
        <v>561</v>
      </c>
      <c r="G233" s="1" t="s">
        <v>201</v>
      </c>
    </row>
    <row r="234" customFormat="false" ht="14.25" hidden="false" customHeight="false" outlineLevel="0" collapsed="false">
      <c r="B234" s="1" t="s">
        <v>562</v>
      </c>
      <c r="C234" s="29" t="n">
        <v>0.75</v>
      </c>
      <c r="D234" s="29" t="n">
        <v>0.75</v>
      </c>
      <c r="E234" s="1" t="n">
        <f aca="false">IF(case_sel=1,C234,D234)</f>
        <v>0.75</v>
      </c>
      <c r="F234" s="1" t="s">
        <v>214</v>
      </c>
      <c r="G234" s="1" t="s">
        <v>201</v>
      </c>
    </row>
    <row r="235" customFormat="false" ht="14.25" hidden="false" customHeight="false" outlineLevel="0" collapsed="false">
      <c r="B235" s="1" t="s">
        <v>563</v>
      </c>
      <c r="C235" s="29" t="n">
        <v>0.5</v>
      </c>
      <c r="D235" s="29" t="n">
        <v>0.5</v>
      </c>
      <c r="E235" s="1" t="n">
        <f aca="false">IF(case_sel=1,C235,D235)</f>
        <v>0.5</v>
      </c>
      <c r="F235" s="1" t="s">
        <v>553</v>
      </c>
      <c r="G235" s="1" t="s">
        <v>201</v>
      </c>
    </row>
    <row r="236" customFormat="false" ht="14.25" hidden="false" customHeight="false" outlineLevel="0" collapsed="false">
      <c r="B236" s="1" t="s">
        <v>564</v>
      </c>
      <c r="C236" s="29" t="n">
        <v>0.95</v>
      </c>
      <c r="D236" s="29" t="n">
        <v>0.95</v>
      </c>
      <c r="E236" s="1" t="n">
        <f aca="false">IF(case_sel=1,C236,D236)</f>
        <v>0.95</v>
      </c>
      <c r="F236" s="1" t="s">
        <v>214</v>
      </c>
      <c r="G236" s="1" t="s">
        <v>201</v>
      </c>
    </row>
    <row r="237" customFormat="false" ht="14.25" hidden="false" customHeight="false" outlineLevel="0" collapsed="false">
      <c r="B237" s="1" t="s">
        <v>565</v>
      </c>
      <c r="C237" s="29" t="n">
        <v>0.85</v>
      </c>
      <c r="D237" s="29" t="n">
        <v>0.85</v>
      </c>
      <c r="E237" s="1" t="n">
        <f aca="false">IF(case_sel=1,C237,D237)</f>
        <v>0.85</v>
      </c>
      <c r="F237" s="1" t="s">
        <v>214</v>
      </c>
      <c r="G237" s="1" t="s">
        <v>201</v>
      </c>
    </row>
    <row r="238" customFormat="false" ht="14.25" hidden="false" customHeight="false" outlineLevel="0" collapsed="false">
      <c r="B238" s="1" t="s">
        <v>566</v>
      </c>
      <c r="C238" s="29" t="n">
        <v>0.6</v>
      </c>
      <c r="D238" s="29" t="n">
        <v>0.6</v>
      </c>
      <c r="E238" s="1" t="n">
        <f aca="false">IF(case_sel=1,C238,D238)</f>
        <v>0.6</v>
      </c>
      <c r="F238" s="1" t="s">
        <v>214</v>
      </c>
      <c r="G238" s="1" t="s">
        <v>201</v>
      </c>
    </row>
    <row r="239" customFormat="false" ht="14.25" hidden="false" customHeight="false" outlineLevel="0" collapsed="false">
      <c r="B239" s="1" t="s">
        <v>567</v>
      </c>
      <c r="C239" s="29" t="n">
        <v>0.3</v>
      </c>
      <c r="D239" s="29" t="n">
        <v>0.3</v>
      </c>
      <c r="E239" s="1" t="n">
        <f aca="false">IF(case_sel=1,C239,D239)</f>
        <v>0.3</v>
      </c>
      <c r="F239" s="1" t="s">
        <v>214</v>
      </c>
      <c r="G239" s="1" t="s">
        <v>201</v>
      </c>
    </row>
    <row r="240" customFormat="false" ht="14.25" hidden="false" customHeight="false" outlineLevel="0" collapsed="false">
      <c r="B240" s="1" t="s">
        <v>568</v>
      </c>
      <c r="C240" s="29" t="n">
        <v>0.15</v>
      </c>
      <c r="D240" s="29" t="n">
        <v>0.15</v>
      </c>
      <c r="E240" s="1" t="n">
        <f aca="false">IF(case_sel=1,C240,D240)</f>
        <v>0.15</v>
      </c>
      <c r="F240" s="1" t="s">
        <v>214</v>
      </c>
      <c r="G240" s="1" t="s">
        <v>201</v>
      </c>
    </row>
    <row r="241" customFormat="false" ht="14.25" hidden="false" customHeight="false" outlineLevel="0" collapsed="false">
      <c r="B241" s="1" t="s">
        <v>569</v>
      </c>
      <c r="C241" s="29" t="n">
        <v>900</v>
      </c>
      <c r="D241" s="29" t="n">
        <v>900</v>
      </c>
      <c r="E241" s="1" t="n">
        <f aca="false">IF(case_sel=1,C241,D241)</f>
        <v>900</v>
      </c>
      <c r="F241" s="1" t="s">
        <v>570</v>
      </c>
      <c r="G241" s="1" t="s">
        <v>201</v>
      </c>
    </row>
    <row r="242" customFormat="false" ht="14.25" hidden="false" customHeight="false" outlineLevel="0" collapsed="false">
      <c r="B242" s="1" t="s">
        <v>571</v>
      </c>
      <c r="C242" s="29" t="n">
        <v>15</v>
      </c>
      <c r="D242" s="29" t="n">
        <v>15</v>
      </c>
      <c r="E242" s="1" t="n">
        <f aca="false">IF(case_sel=1,C242,D242)</f>
        <v>15</v>
      </c>
      <c r="F242" s="1" t="s">
        <v>547</v>
      </c>
      <c r="G242" s="1" t="s">
        <v>201</v>
      </c>
    </row>
    <row r="243" customFormat="false" ht="14.25" hidden="false" customHeight="false" outlineLevel="0" collapsed="false">
      <c r="B243" s="1" t="s">
        <v>572</v>
      </c>
      <c r="C243" s="29" t="n">
        <v>8</v>
      </c>
      <c r="D243" s="29" t="n">
        <v>8</v>
      </c>
      <c r="E243" s="1" t="n">
        <f aca="false">IF(case_sel=1,C243,D243)</f>
        <v>8</v>
      </c>
      <c r="F243" s="1" t="s">
        <v>573</v>
      </c>
      <c r="G243" s="1" t="s">
        <v>201</v>
      </c>
    </row>
    <row r="244" customFormat="false" ht="14.25" hidden="false" customHeight="false" outlineLevel="0" collapsed="false">
      <c r="B244" s="1" t="s">
        <v>574</v>
      </c>
      <c r="C244" s="29" t="n">
        <v>25</v>
      </c>
      <c r="D244" s="29" t="n">
        <v>25</v>
      </c>
      <c r="E244" s="1" t="n">
        <f aca="false">IF(case_sel=1,C244,D244)</f>
        <v>25</v>
      </c>
      <c r="F244" s="1" t="s">
        <v>570</v>
      </c>
      <c r="G244" s="1" t="s">
        <v>201</v>
      </c>
    </row>
    <row r="245" customFormat="false" ht="14.25" hidden="false" customHeight="false" outlineLevel="0" collapsed="false">
      <c r="B245" s="1" t="s">
        <v>575</v>
      </c>
      <c r="C245" s="29" t="n">
        <v>1300</v>
      </c>
      <c r="D245" s="29" t="n">
        <v>1300</v>
      </c>
      <c r="E245" s="1" t="n">
        <f aca="false">IF(case_sel=1,C245,D245)</f>
        <v>1300</v>
      </c>
      <c r="F245" s="1" t="s">
        <v>576</v>
      </c>
      <c r="G245" s="1" t="s">
        <v>201</v>
      </c>
    </row>
    <row r="246" customFormat="false" ht="14.25" hidden="false" customHeight="false" outlineLevel="0" collapsed="false">
      <c r="B246" s="1" t="s">
        <v>577</v>
      </c>
      <c r="C246" s="29" t="n">
        <v>32000</v>
      </c>
      <c r="D246" s="29" t="n">
        <v>32000</v>
      </c>
      <c r="E246" s="1" t="n">
        <f aca="false">IF(case_sel=1,C246,D246)</f>
        <v>32000</v>
      </c>
      <c r="F246" s="1" t="s">
        <v>578</v>
      </c>
      <c r="G246" s="1" t="s">
        <v>201</v>
      </c>
    </row>
    <row r="247" customFormat="false" ht="14.25" hidden="false" customHeight="false" outlineLevel="0" collapsed="false">
      <c r="B247" s="1" t="s">
        <v>579</v>
      </c>
      <c r="C247" s="29" t="n">
        <v>0.85</v>
      </c>
      <c r="D247" s="29" t="n">
        <v>0.85</v>
      </c>
      <c r="E247" s="1" t="n">
        <f aca="false">IF(case_sel=1,C247,D247)</f>
        <v>0.85</v>
      </c>
      <c r="F247" s="1" t="s">
        <v>214</v>
      </c>
      <c r="G247" s="1" t="s">
        <v>201</v>
      </c>
    </row>
    <row r="248" customFormat="false" ht="14.25" hidden="false" customHeight="false" outlineLevel="0" collapsed="false">
      <c r="B248" s="1" t="s">
        <v>580</v>
      </c>
      <c r="C248" s="29" t="n">
        <v>1.25</v>
      </c>
      <c r="D248" s="29" t="n">
        <v>1.25</v>
      </c>
      <c r="E248" s="1" t="n">
        <f aca="false">IF(case_sel=1,C248,D248)</f>
        <v>1.25</v>
      </c>
      <c r="F248" s="1" t="s">
        <v>207</v>
      </c>
      <c r="G248" s="1" t="s">
        <v>201</v>
      </c>
    </row>
    <row r="249" customFormat="false" ht="14.25" hidden="false" customHeight="false" outlineLevel="0" collapsed="false">
      <c r="B249" s="1" t="s">
        <v>581</v>
      </c>
      <c r="C249" s="29" t="n">
        <v>0.7</v>
      </c>
      <c r="D249" s="29" t="n">
        <v>0.7</v>
      </c>
      <c r="E249" s="1" t="n">
        <f aca="false">IF(case_sel=1,C249,D249)</f>
        <v>0.7</v>
      </c>
      <c r="F249" s="1" t="s">
        <v>214</v>
      </c>
      <c r="G249" s="1" t="s">
        <v>201</v>
      </c>
    </row>
    <row r="250" customFormat="false" ht="14.25" hidden="false" customHeight="false" outlineLevel="0" collapsed="false">
      <c r="B250" s="1" t="s">
        <v>582</v>
      </c>
      <c r="C250" s="29" t="n">
        <v>0.85</v>
      </c>
      <c r="D250" s="29" t="n">
        <v>0.85</v>
      </c>
      <c r="E250" s="1" t="n">
        <f aca="false">IF(case_sel=1,C250,D250)</f>
        <v>0.85</v>
      </c>
      <c r="F250" s="1" t="s">
        <v>207</v>
      </c>
      <c r="G250" s="1" t="s">
        <v>201</v>
      </c>
    </row>
    <row r="251" customFormat="false" ht="14.25" hidden="false" customHeight="false" outlineLevel="0" collapsed="false">
      <c r="B251" s="1" t="s">
        <v>583</v>
      </c>
      <c r="C251" s="29" t="n">
        <v>0.8</v>
      </c>
      <c r="D251" s="29" t="n">
        <v>0.8</v>
      </c>
      <c r="E251" s="1" t="n">
        <f aca="false">IF(case_sel=1,C251,D251)</f>
        <v>0.8</v>
      </c>
      <c r="F251" s="1" t="s">
        <v>561</v>
      </c>
      <c r="G251" s="1" t="s">
        <v>201</v>
      </c>
    </row>
    <row r="252" customFormat="false" ht="14.25" hidden="false" customHeight="false" outlineLevel="0" collapsed="false">
      <c r="B252" s="1" t="s">
        <v>584</v>
      </c>
      <c r="C252" s="29" t="n">
        <v>0.55</v>
      </c>
      <c r="D252" s="29" t="n">
        <v>0.55</v>
      </c>
      <c r="E252" s="1" t="n">
        <f aca="false">IF(case_sel=1,C252,D252)</f>
        <v>0.55</v>
      </c>
      <c r="F252" s="1" t="s">
        <v>214</v>
      </c>
      <c r="G252" s="1" t="s">
        <v>201</v>
      </c>
    </row>
    <row r="253" customFormat="false" ht="14.25" hidden="false" customHeight="false" outlineLevel="0" collapsed="false">
      <c r="B253" s="1" t="s">
        <v>585</v>
      </c>
      <c r="C253" s="29" t="n">
        <v>7500</v>
      </c>
      <c r="D253" s="29" t="n">
        <v>7500</v>
      </c>
      <c r="E253" s="1" t="n">
        <f aca="false">IF(case_sel=1,C253,D253)</f>
        <v>7500</v>
      </c>
      <c r="F253" s="1" t="s">
        <v>547</v>
      </c>
      <c r="G253" s="1" t="s">
        <v>201</v>
      </c>
    </row>
    <row r="254" customFormat="false" ht="14.25" hidden="false" customHeight="false" outlineLevel="0" collapsed="false">
      <c r="B254" s="1" t="s">
        <v>586</v>
      </c>
      <c r="C254" s="29" t="n">
        <v>1300</v>
      </c>
      <c r="D254" s="29" t="n">
        <v>1300</v>
      </c>
      <c r="E254" s="1" t="n">
        <f aca="false">IF(case_sel=1,C254,D254)</f>
        <v>1300</v>
      </c>
      <c r="F254" s="1" t="s">
        <v>587</v>
      </c>
      <c r="G254" s="1" t="s">
        <v>201</v>
      </c>
    </row>
    <row r="255" customFormat="false" ht="14.25" hidden="false" customHeight="false" outlineLevel="0" collapsed="false">
      <c r="B255" s="1" t="s">
        <v>588</v>
      </c>
      <c r="C255" s="29" t="n">
        <v>600</v>
      </c>
      <c r="D255" s="29" t="n">
        <v>600</v>
      </c>
      <c r="E255" s="1" t="n">
        <f aca="false">IF(case_sel=1,C255,D255)</f>
        <v>600</v>
      </c>
      <c r="F255" s="1" t="s">
        <v>587</v>
      </c>
      <c r="G255" s="1" t="s">
        <v>201</v>
      </c>
    </row>
    <row r="256" customFormat="false" ht="14.25" hidden="false" customHeight="false" outlineLevel="0" collapsed="false">
      <c r="B256" s="1" t="s">
        <v>589</v>
      </c>
      <c r="C256" s="29" t="n">
        <v>100</v>
      </c>
      <c r="D256" s="29" t="n">
        <v>100</v>
      </c>
      <c r="E256" s="1" t="n">
        <f aca="false">IF(case_sel=1,C256,D256)</f>
        <v>100</v>
      </c>
      <c r="F256" s="1" t="s">
        <v>587</v>
      </c>
      <c r="G256" s="1" t="s">
        <v>201</v>
      </c>
    </row>
    <row r="257" customFormat="false" ht="14.25" hidden="false" customHeight="false" outlineLevel="0" collapsed="false">
      <c r="B257" s="1" t="s">
        <v>590</v>
      </c>
      <c r="C257" s="29" t="n">
        <v>350</v>
      </c>
      <c r="D257" s="29" t="n">
        <v>350</v>
      </c>
      <c r="E257" s="1" t="n">
        <f aca="false">IF(case_sel=1,C257,D257)</f>
        <v>350</v>
      </c>
      <c r="F257" s="1" t="s">
        <v>591</v>
      </c>
      <c r="G257" s="1" t="s">
        <v>201</v>
      </c>
    </row>
    <row r="258" customFormat="false" ht="14.25" hidden="false" customHeight="false" outlineLevel="0" collapsed="false">
      <c r="B258" s="1" t="s">
        <v>592</v>
      </c>
      <c r="C258" s="29" t="n">
        <v>0.6</v>
      </c>
      <c r="D258" s="29" t="n">
        <v>0.6</v>
      </c>
      <c r="E258" s="1" t="n">
        <f aca="false">IF(case_sel=1,C258,D258)</f>
        <v>0.6</v>
      </c>
      <c r="F258" s="1" t="s">
        <v>214</v>
      </c>
      <c r="G258" s="1" t="s">
        <v>201</v>
      </c>
    </row>
    <row r="259" customFormat="false" ht="14.25" hidden="false" customHeight="false" outlineLevel="0" collapsed="false">
      <c r="B259" s="1" t="s">
        <v>593</v>
      </c>
      <c r="C259" s="29" t="n">
        <v>0.1</v>
      </c>
      <c r="D259" s="29" t="n">
        <v>0.1</v>
      </c>
      <c r="E259" s="1" t="n">
        <f aca="false">IF(case_sel=1,C259,D259)</f>
        <v>0.1</v>
      </c>
      <c r="F259" s="1" t="s">
        <v>214</v>
      </c>
      <c r="G259" s="1" t="s">
        <v>201</v>
      </c>
    </row>
    <row r="260" customFormat="false" ht="14.25" hidden="false" customHeight="false" outlineLevel="0" collapsed="false">
      <c r="B260" s="1" t="s">
        <v>594</v>
      </c>
      <c r="C260" s="29" t="n">
        <v>1.6</v>
      </c>
      <c r="D260" s="29" t="n">
        <v>1.6</v>
      </c>
      <c r="E260" s="1" t="n">
        <f aca="false">IF(case_sel=1,C260,D260)</f>
        <v>1.6</v>
      </c>
      <c r="F260" s="53" t="s">
        <v>595</v>
      </c>
      <c r="G260" s="1" t="s">
        <v>201</v>
      </c>
    </row>
    <row r="261" customFormat="false" ht="14.25" hidden="false" customHeight="false" outlineLevel="0" collapsed="false">
      <c r="B261" s="1" t="s">
        <v>596</v>
      </c>
      <c r="C261" s="29" t="n">
        <v>0.65</v>
      </c>
      <c r="D261" s="29" t="n">
        <v>0.65</v>
      </c>
      <c r="E261" s="1" t="n">
        <f aca="false">IF(case_sel=1,C261,D261)</f>
        <v>0.65</v>
      </c>
      <c r="F261" s="1" t="s">
        <v>214</v>
      </c>
      <c r="G261" s="1" t="s">
        <v>201</v>
      </c>
    </row>
    <row r="262" customFormat="false" ht="14.25" hidden="false" customHeight="false" outlineLevel="0" collapsed="false">
      <c r="B262" s="1" t="s">
        <v>597</v>
      </c>
      <c r="C262" s="29" t="n">
        <v>38000</v>
      </c>
      <c r="D262" s="29" t="n">
        <v>38000</v>
      </c>
      <c r="E262" s="1" t="n">
        <f aca="false">IF(case_sel=1,C262,D262)</f>
        <v>38000</v>
      </c>
      <c r="F262" s="53" t="s">
        <v>595</v>
      </c>
      <c r="G262" s="1" t="s">
        <v>201</v>
      </c>
    </row>
    <row r="263" customFormat="false" ht="14.25" hidden="false" customHeight="false" outlineLevel="0" collapsed="false">
      <c r="B263" s="1" t="s">
        <v>598</v>
      </c>
      <c r="C263" s="29" t="n">
        <v>1000</v>
      </c>
      <c r="D263" s="29" t="n">
        <v>1000</v>
      </c>
      <c r="E263" s="1" t="n">
        <f aca="false">IF(case_sel=1,C263,D263)</f>
        <v>1000</v>
      </c>
      <c r="F263" s="53" t="s">
        <v>595</v>
      </c>
      <c r="G263" s="1" t="s">
        <v>201</v>
      </c>
    </row>
    <row r="264" customFormat="false" ht="14.25" hidden="false" customHeight="false" outlineLevel="0" collapsed="false">
      <c r="B264" s="1" t="s">
        <v>599</v>
      </c>
      <c r="C264" s="29" t="n">
        <v>6000</v>
      </c>
      <c r="D264" s="29" t="n">
        <v>6000</v>
      </c>
      <c r="E264" s="1" t="n">
        <f aca="false">IF(case_sel=1,C264,D264)</f>
        <v>6000</v>
      </c>
      <c r="F264" s="53" t="s">
        <v>595</v>
      </c>
      <c r="G264" s="1" t="s">
        <v>201</v>
      </c>
    </row>
    <row r="265" customFormat="false" ht="14.25" hidden="false" customHeight="false" outlineLevel="0" collapsed="false">
      <c r="B265" s="1" t="s">
        <v>600</v>
      </c>
      <c r="C265" s="29" t="n">
        <v>300000</v>
      </c>
      <c r="D265" s="29" t="n">
        <v>300000</v>
      </c>
      <c r="E265" s="1" t="n">
        <f aca="false">IF(case_sel=1,C265,D265)</f>
        <v>300000</v>
      </c>
      <c r="F265" s="53" t="s">
        <v>595</v>
      </c>
      <c r="G265" s="1" t="s">
        <v>201</v>
      </c>
    </row>
    <row r="266" customFormat="false" ht="14.25" hidden="false" customHeight="false" outlineLevel="0" collapsed="false">
      <c r="B266" s="1" t="s">
        <v>601</v>
      </c>
      <c r="C266" s="29" t="n">
        <v>0.45</v>
      </c>
      <c r="D266" s="29" t="n">
        <v>0.45</v>
      </c>
      <c r="E266" s="1" t="n">
        <f aca="false">IF(case_sel=1,C266,D266)</f>
        <v>0.45</v>
      </c>
      <c r="F266" s="1" t="s">
        <v>602</v>
      </c>
      <c r="G266" s="1" t="s">
        <v>201</v>
      </c>
    </row>
    <row r="267" customFormat="false" ht="14.25" hidden="false" customHeight="false" outlineLevel="0" collapsed="false">
      <c r="B267" s="1" t="s">
        <v>603</v>
      </c>
      <c r="C267" s="29" t="n">
        <v>20</v>
      </c>
      <c r="D267" s="29" t="n">
        <v>20</v>
      </c>
      <c r="E267" s="1" t="n">
        <f aca="false">IF(case_sel=1,C267,D267)</f>
        <v>20</v>
      </c>
      <c r="F267" s="1" t="s">
        <v>587</v>
      </c>
      <c r="G267" s="1" t="s">
        <v>201</v>
      </c>
    </row>
    <row r="268" customFormat="false" ht="14.25" hidden="false" customHeight="false" outlineLevel="0" collapsed="false">
      <c r="B268" s="1" t="s">
        <v>604</v>
      </c>
      <c r="C268" s="29" t="n">
        <v>15</v>
      </c>
      <c r="D268" s="29" t="n">
        <v>15</v>
      </c>
      <c r="E268" s="1" t="n">
        <f aca="false">IF(case_sel=1,C268,D268)</f>
        <v>15</v>
      </c>
      <c r="F268" s="1" t="s">
        <v>591</v>
      </c>
      <c r="G268" s="1" t="s">
        <v>201</v>
      </c>
    </row>
    <row r="269" customFormat="false" ht="14.25" hidden="false" customHeight="false" outlineLevel="0" collapsed="false">
      <c r="B269" s="1" t="s">
        <v>605</v>
      </c>
      <c r="C269" s="29" t="n">
        <v>50000</v>
      </c>
      <c r="D269" s="29" t="n">
        <v>50000</v>
      </c>
      <c r="E269" s="1" t="n">
        <f aca="false">IF(case_sel=1,C269,D269)</f>
        <v>50000</v>
      </c>
      <c r="F269" s="1" t="s">
        <v>570</v>
      </c>
      <c r="G269" s="1" t="s">
        <v>201</v>
      </c>
    </row>
    <row r="270" customFormat="false" ht="14.25" hidden="false" customHeight="false" outlineLevel="0" collapsed="false">
      <c r="B270" s="1" t="s">
        <v>606</v>
      </c>
      <c r="C270" s="29" t="n">
        <v>30</v>
      </c>
      <c r="D270" s="29" t="n">
        <v>30</v>
      </c>
      <c r="E270" s="1" t="n">
        <f aca="false">IF(case_sel=1,C270,D270)</f>
        <v>30</v>
      </c>
      <c r="F270" s="1" t="s">
        <v>573</v>
      </c>
      <c r="G270" s="1" t="s">
        <v>201</v>
      </c>
    </row>
    <row r="271" customFormat="false" ht="14.25" hidden="false" customHeight="false" outlineLevel="0" collapsed="false">
      <c r="B271" s="1" t="s">
        <v>607</v>
      </c>
      <c r="C271" s="29" t="n">
        <v>6</v>
      </c>
      <c r="D271" s="29" t="n">
        <v>6</v>
      </c>
      <c r="E271" s="1" t="n">
        <f aca="false">IF(case_sel=1,C271,D271)</f>
        <v>6</v>
      </c>
      <c r="F271" s="1" t="s">
        <v>591</v>
      </c>
      <c r="G271" s="1" t="s">
        <v>201</v>
      </c>
    </row>
    <row r="272" customFormat="false" ht="14.25" hidden="false" customHeight="false" outlineLevel="0" collapsed="false">
      <c r="B272" s="1" t="s">
        <v>608</v>
      </c>
      <c r="C272" s="29" t="n">
        <v>0.35</v>
      </c>
      <c r="D272" s="29" t="n">
        <v>0.35</v>
      </c>
      <c r="E272" s="1" t="n">
        <f aca="false">IF(case_sel=1,C272,D272)</f>
        <v>0.35</v>
      </c>
      <c r="F272" s="1" t="s">
        <v>214</v>
      </c>
      <c r="G272" s="1" t="s">
        <v>201</v>
      </c>
    </row>
    <row r="273" customFormat="false" ht="14.25" hidden="false" customHeight="false" outlineLevel="0" collapsed="false">
      <c r="B273" s="1" t="s">
        <v>609</v>
      </c>
      <c r="C273" s="29" t="n">
        <v>12</v>
      </c>
      <c r="D273" s="29" t="n">
        <v>12</v>
      </c>
      <c r="E273" s="1" t="n">
        <f aca="false">IF(case_sel=1,C273,D273)</f>
        <v>12</v>
      </c>
      <c r="F273" s="1" t="s">
        <v>591</v>
      </c>
      <c r="G273" s="1" t="s">
        <v>201</v>
      </c>
    </row>
    <row r="274" customFormat="false" ht="14.25" hidden="false" customHeight="false" outlineLevel="0" collapsed="false">
      <c r="B274" s="1" t="s">
        <v>610</v>
      </c>
      <c r="C274" s="29" t="n">
        <v>75000</v>
      </c>
      <c r="D274" s="29" t="n">
        <v>75000</v>
      </c>
      <c r="E274" s="1" t="n">
        <f aca="false">IF(case_sel=1,C274,D274)</f>
        <v>75000</v>
      </c>
      <c r="F274" s="1" t="s">
        <v>611</v>
      </c>
      <c r="G274" s="1" t="s">
        <v>201</v>
      </c>
    </row>
    <row r="275" customFormat="false" ht="14.25" hidden="false" customHeight="false" outlineLevel="0" collapsed="false">
      <c r="B275" s="1" t="s">
        <v>612</v>
      </c>
      <c r="C275" s="29" t="n">
        <v>20</v>
      </c>
      <c r="D275" s="29" t="n">
        <v>20</v>
      </c>
      <c r="E275" s="1" t="n">
        <f aca="false">IF(case_sel=1,C275,D275)</f>
        <v>20</v>
      </c>
      <c r="F275" s="1" t="s">
        <v>587</v>
      </c>
      <c r="G275" s="1" t="s">
        <v>201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1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55" hidden="false" customHeight="false" outlineLevel="0" collapsed="false">
      <c r="A1" s="19" t="s">
        <v>613</v>
      </c>
    </row>
    <row r="2" customFormat="false" ht="14.25" hidden="false" customHeight="false" outlineLevel="0" collapsed="false">
      <c r="A2" s="3" t="s">
        <v>614</v>
      </c>
    </row>
    <row r="3" customFormat="false" ht="14.25" hidden="false" customHeight="false" outlineLevel="0" collapsed="false">
      <c r="A3" s="20" t="s">
        <v>615</v>
      </c>
    </row>
    <row r="5" customFormat="false" ht="22.35" hidden="false" customHeight="false" outlineLevel="0" collapsed="false">
      <c r="A5" s="31" t="s">
        <v>616</v>
      </c>
      <c r="B5" s="31" t="s">
        <v>617</v>
      </c>
      <c r="C5" s="31" t="s">
        <v>618</v>
      </c>
      <c r="D5" s="31" t="s">
        <v>619</v>
      </c>
      <c r="E5" s="31" t="s">
        <v>620</v>
      </c>
      <c r="F5" s="31" t="s">
        <v>621</v>
      </c>
      <c r="G5" s="31" t="s">
        <v>622</v>
      </c>
      <c r="H5" s="31" t="s">
        <v>623</v>
      </c>
      <c r="I5" s="31" t="s">
        <v>624</v>
      </c>
      <c r="J5" s="31" t="s">
        <v>625</v>
      </c>
      <c r="K5" s="31" t="s">
        <v>509</v>
      </c>
      <c r="L5" s="31" t="s">
        <v>626</v>
      </c>
      <c r="M5" s="31" t="s">
        <v>627</v>
      </c>
    </row>
    <row r="6" customFormat="false" ht="14.25" hidden="false" customHeight="false" outlineLevel="0" collapsed="false">
      <c r="A6" s="10" t="s">
        <v>628</v>
      </c>
      <c r="B6" s="54" t="n">
        <v>1848</v>
      </c>
      <c r="C6" s="54" t="n">
        <v>1848</v>
      </c>
      <c r="D6" s="10" t="s">
        <v>629</v>
      </c>
      <c r="E6" s="10" t="s">
        <v>630</v>
      </c>
      <c r="F6" s="10"/>
      <c r="G6" s="10" t="s">
        <v>54</v>
      </c>
      <c r="H6" s="55" t="n">
        <v>14.6</v>
      </c>
      <c r="I6" s="56" t="n">
        <f aca="false">IF(H6="","",H6*(C6-B6+1))</f>
        <v>14.6</v>
      </c>
      <c r="J6" s="10" t="s">
        <v>631</v>
      </c>
      <c r="K6" s="10" t="s">
        <v>224</v>
      </c>
      <c r="L6" s="10" t="s">
        <v>632</v>
      </c>
      <c r="M6" s="57" t="s">
        <v>633</v>
      </c>
    </row>
    <row r="7" customFormat="false" ht="14.25" hidden="false" customHeight="false" outlineLevel="0" collapsed="false">
      <c r="A7" s="10" t="s">
        <v>634</v>
      </c>
      <c r="B7" s="54" t="n">
        <v>1850</v>
      </c>
      <c r="C7" s="54" t="n">
        <v>1851</v>
      </c>
      <c r="D7" s="10" t="s">
        <v>635</v>
      </c>
      <c r="E7" s="10" t="s">
        <v>636</v>
      </c>
      <c r="F7" s="10"/>
      <c r="G7" s="10"/>
      <c r="H7" s="55" t="n">
        <v>0.5</v>
      </c>
      <c r="I7" s="56" t="n">
        <f aca="false">IF(H7="","",H7*(C7-B7+1))</f>
        <v>1</v>
      </c>
      <c r="J7" s="10" t="s">
        <v>631</v>
      </c>
      <c r="K7" s="10" t="s">
        <v>224</v>
      </c>
      <c r="L7" s="10" t="s">
        <v>637</v>
      </c>
      <c r="M7" s="57" t="s">
        <v>201</v>
      </c>
    </row>
    <row r="8" customFormat="false" ht="14.25" hidden="false" customHeight="false" outlineLevel="0" collapsed="false">
      <c r="A8" s="10" t="s">
        <v>638</v>
      </c>
      <c r="B8" s="54" t="n">
        <v>1853</v>
      </c>
      <c r="C8" s="54" t="n">
        <v>1854</v>
      </c>
      <c r="D8" s="10" t="s">
        <v>639</v>
      </c>
      <c r="E8" s="10" t="s">
        <v>640</v>
      </c>
      <c r="F8" s="10"/>
      <c r="G8" s="10"/>
      <c r="H8" s="55" t="n">
        <v>0.3</v>
      </c>
      <c r="I8" s="56" t="n">
        <f aca="false">IF(H8="","",H8*(C8-B8+1))</f>
        <v>0.6</v>
      </c>
      <c r="J8" s="10" t="s">
        <v>631</v>
      </c>
      <c r="K8" s="10" t="s">
        <v>224</v>
      </c>
      <c r="L8" s="10" t="s">
        <v>641</v>
      </c>
      <c r="M8" s="57" t="s">
        <v>201</v>
      </c>
    </row>
    <row r="9" customFormat="false" ht="14.25" hidden="false" customHeight="false" outlineLevel="0" collapsed="false">
      <c r="A9" s="10" t="s">
        <v>642</v>
      </c>
      <c r="B9" s="54" t="n">
        <v>1855</v>
      </c>
      <c r="C9" s="54" t="n">
        <v>1861</v>
      </c>
      <c r="D9" s="10" t="s">
        <v>643</v>
      </c>
      <c r="E9" s="10" t="s">
        <v>636</v>
      </c>
      <c r="F9" s="10"/>
      <c r="G9" s="10"/>
      <c r="H9" s="55" t="n">
        <v>0.4</v>
      </c>
      <c r="I9" s="56" t="n">
        <f aca="false">IF(H9="","",H9*(C9-B9+1))</f>
        <v>2.8</v>
      </c>
      <c r="J9" s="10" t="s">
        <v>631</v>
      </c>
      <c r="K9" s="10" t="s">
        <v>224</v>
      </c>
      <c r="L9" s="10" t="s">
        <v>644</v>
      </c>
      <c r="M9" s="57" t="s">
        <v>645</v>
      </c>
    </row>
    <row r="10" customFormat="false" ht="14.25" hidden="false" customHeight="false" outlineLevel="0" collapsed="false">
      <c r="A10" s="10" t="s">
        <v>646</v>
      </c>
      <c r="B10" s="54" t="n">
        <v>1857</v>
      </c>
      <c r="C10" s="54" t="n">
        <v>1858</v>
      </c>
      <c r="D10" s="10" t="s">
        <v>647</v>
      </c>
      <c r="E10" s="10" t="s">
        <v>640</v>
      </c>
      <c r="F10" s="10"/>
      <c r="G10" s="10"/>
      <c r="H10" s="55" t="n">
        <v>0.3</v>
      </c>
      <c r="I10" s="56" t="n">
        <f aca="false">IF(H10="","",H10*(C10-B10+1))</f>
        <v>0.6</v>
      </c>
      <c r="J10" s="10" t="s">
        <v>631</v>
      </c>
      <c r="K10" s="10" t="s">
        <v>224</v>
      </c>
      <c r="L10" s="10" t="s">
        <v>644</v>
      </c>
      <c r="M10" s="57" t="s">
        <v>201</v>
      </c>
    </row>
    <row r="11" customFormat="false" ht="14.25" hidden="false" customHeight="false" outlineLevel="0" collapsed="false">
      <c r="A11" s="10" t="s">
        <v>648</v>
      </c>
      <c r="B11" s="54" t="n">
        <v>1860</v>
      </c>
      <c r="C11" s="54" t="n">
        <v>1860</v>
      </c>
      <c r="D11" s="10" t="s">
        <v>649</v>
      </c>
      <c r="E11" s="10" t="s">
        <v>640</v>
      </c>
      <c r="F11" s="10"/>
      <c r="G11" s="10"/>
      <c r="H11" s="55" t="n">
        <v>1</v>
      </c>
      <c r="I11" s="56" t="n">
        <f aca="false">IF(H11="","",H11*(C11-B11+1))</f>
        <v>1</v>
      </c>
      <c r="J11" s="10" t="s">
        <v>631</v>
      </c>
      <c r="K11" s="10" t="s">
        <v>224</v>
      </c>
      <c r="L11" s="10" t="s">
        <v>644</v>
      </c>
      <c r="M11" s="57" t="s">
        <v>201</v>
      </c>
    </row>
    <row r="12" customFormat="false" ht="14.25" hidden="false" customHeight="false" outlineLevel="0" collapsed="false">
      <c r="A12" s="10" t="s">
        <v>650</v>
      </c>
      <c r="B12" s="54" t="n">
        <v>1861</v>
      </c>
      <c r="C12" s="54" t="n">
        <v>1861</v>
      </c>
      <c r="D12" s="10" t="s">
        <v>651</v>
      </c>
      <c r="E12" s="10" t="s">
        <v>640</v>
      </c>
      <c r="F12" s="10"/>
      <c r="G12" s="10"/>
      <c r="H12" s="55" t="n">
        <v>6</v>
      </c>
      <c r="I12" s="56" t="n">
        <f aca="false">IF(H12="","",H12*(C12-B12+1))</f>
        <v>6</v>
      </c>
      <c r="J12" s="10" t="s">
        <v>631</v>
      </c>
      <c r="K12" s="10" t="s">
        <v>224</v>
      </c>
      <c r="L12" s="10" t="s">
        <v>652</v>
      </c>
      <c r="M12" s="57" t="s">
        <v>653</v>
      </c>
    </row>
    <row r="13" customFormat="false" ht="14.25" hidden="false" customHeight="false" outlineLevel="0" collapsed="false">
      <c r="A13" s="10" t="s">
        <v>654</v>
      </c>
      <c r="B13" s="54" t="n">
        <v>1862</v>
      </c>
      <c r="C13" s="54" t="n">
        <v>1864</v>
      </c>
      <c r="D13" s="10" t="s">
        <v>655</v>
      </c>
      <c r="E13" s="10" t="s">
        <v>640</v>
      </c>
      <c r="F13" s="10"/>
      <c r="G13" s="10"/>
      <c r="H13" s="55" t="n">
        <v>5</v>
      </c>
      <c r="I13" s="56" t="n">
        <f aca="false">IF(H13="","",H13*(C13-B13+1))</f>
        <v>15</v>
      </c>
      <c r="J13" s="10" t="s">
        <v>631</v>
      </c>
      <c r="K13" s="10" t="s">
        <v>224</v>
      </c>
      <c r="L13" s="10" t="s">
        <v>656</v>
      </c>
      <c r="M13" s="57" t="s">
        <v>201</v>
      </c>
    </row>
    <row r="14" customFormat="false" ht="14.25" hidden="false" customHeight="false" outlineLevel="0" collapsed="false">
      <c r="A14" s="10" t="s">
        <v>657</v>
      </c>
      <c r="B14" s="54" t="n">
        <v>1862</v>
      </c>
      <c r="C14" s="54" t="n">
        <v>1864</v>
      </c>
      <c r="D14" s="10" t="s">
        <v>658</v>
      </c>
      <c r="E14" s="10" t="s">
        <v>659</v>
      </c>
      <c r="F14" s="10"/>
      <c r="G14" s="10" t="s">
        <v>660</v>
      </c>
      <c r="H14" s="55" t="n">
        <v>0.8</v>
      </c>
      <c r="I14" s="56" t="n">
        <f aca="false">IF(H14="","",H14*(C14-B14+1))</f>
        <v>2.4</v>
      </c>
      <c r="J14" s="10" t="s">
        <v>631</v>
      </c>
      <c r="K14" s="10" t="s">
        <v>224</v>
      </c>
      <c r="L14" s="10" t="s">
        <v>661</v>
      </c>
      <c r="M14" s="57" t="s">
        <v>662</v>
      </c>
    </row>
    <row r="15" customFormat="false" ht="14.25" hidden="false" customHeight="false" outlineLevel="0" collapsed="false">
      <c r="A15" s="10" t="s">
        <v>663</v>
      </c>
      <c r="B15" s="54" t="n">
        <v>1865</v>
      </c>
      <c r="C15" s="54" t="n">
        <v>1865</v>
      </c>
      <c r="D15" s="10" t="s">
        <v>664</v>
      </c>
      <c r="E15" s="10" t="s">
        <v>659</v>
      </c>
      <c r="F15" s="10"/>
      <c r="G15" s="10"/>
      <c r="H15" s="55" t="n">
        <v>2</v>
      </c>
      <c r="I15" s="56" t="n">
        <f aca="false">IF(H15="","",H15*(C15-B15+1))</f>
        <v>2</v>
      </c>
      <c r="J15" s="10" t="s">
        <v>631</v>
      </c>
      <c r="K15" s="10" t="s">
        <v>248</v>
      </c>
      <c r="L15" s="10" t="s">
        <v>652</v>
      </c>
      <c r="M15" s="57" t="s">
        <v>201</v>
      </c>
    </row>
    <row r="16" customFormat="false" ht="14.25" hidden="false" customHeight="false" outlineLevel="0" collapsed="false">
      <c r="A16" s="10" t="s">
        <v>665</v>
      </c>
      <c r="B16" s="54" t="n">
        <v>1866</v>
      </c>
      <c r="C16" s="54" t="n">
        <v>1872</v>
      </c>
      <c r="D16" s="10" t="s">
        <v>666</v>
      </c>
      <c r="E16" s="10" t="s">
        <v>667</v>
      </c>
      <c r="F16" s="10"/>
      <c r="G16" s="10" t="s">
        <v>668</v>
      </c>
      <c r="H16" s="55" t="n">
        <f aca="false">union_vendor/7</f>
        <v>5.71428571428571</v>
      </c>
      <c r="I16" s="56" t="n">
        <f aca="false">IF(H16="","",H16*(C16-B16+1))</f>
        <v>40</v>
      </c>
      <c r="J16" s="10" t="s">
        <v>669</v>
      </c>
      <c r="K16" s="10" t="s">
        <v>248</v>
      </c>
      <c r="L16" s="10" t="s">
        <v>670</v>
      </c>
      <c r="M16" s="57" t="s">
        <v>671</v>
      </c>
    </row>
    <row r="17" customFormat="false" ht="14.25" hidden="false" customHeight="false" outlineLevel="0" collapsed="false">
      <c r="A17" s="10" t="s">
        <v>672</v>
      </c>
      <c r="B17" s="54" t="n">
        <v>1867</v>
      </c>
      <c r="C17" s="54" t="n">
        <v>1867</v>
      </c>
      <c r="D17" s="10" t="s">
        <v>673</v>
      </c>
      <c r="E17" s="10" t="s">
        <v>667</v>
      </c>
      <c r="F17" s="10"/>
      <c r="G17" s="10" t="s">
        <v>674</v>
      </c>
      <c r="H17" s="55" t="n">
        <v>7.2</v>
      </c>
      <c r="I17" s="56" t="n">
        <f aca="false">IF(H17="","",H17*(C17-B17+1))</f>
        <v>7.2</v>
      </c>
      <c r="J17" s="10" t="s">
        <v>669</v>
      </c>
      <c r="K17" s="10" t="s">
        <v>224</v>
      </c>
      <c r="L17" s="10" t="s">
        <v>675</v>
      </c>
      <c r="M17" s="57" t="s">
        <v>676</v>
      </c>
    </row>
    <row r="18" customFormat="false" ht="14.25" hidden="false" customHeight="false" outlineLevel="0" collapsed="false">
      <c r="A18" s="10" t="s">
        <v>677</v>
      </c>
      <c r="B18" s="54" t="n">
        <v>1867</v>
      </c>
      <c r="C18" s="54" t="n">
        <v>1871</v>
      </c>
      <c r="D18" s="10" t="s">
        <v>678</v>
      </c>
      <c r="E18" s="10" t="s">
        <v>667</v>
      </c>
      <c r="F18" s="10"/>
      <c r="G18" s="10" t="s">
        <v>679</v>
      </c>
      <c r="H18" s="55" t="n">
        <v>1</v>
      </c>
      <c r="I18" s="56" t="n">
        <f aca="false">IF(H18="","",H18*(C18-B18+1))</f>
        <v>5</v>
      </c>
      <c r="J18" s="10" t="s">
        <v>669</v>
      </c>
      <c r="K18" s="10" t="s">
        <v>248</v>
      </c>
      <c r="L18" s="10" t="s">
        <v>680</v>
      </c>
      <c r="M18" s="57" t="s">
        <v>681</v>
      </c>
    </row>
    <row r="19" customFormat="false" ht="14.25" hidden="false" customHeight="false" outlineLevel="0" collapsed="false">
      <c r="A19" s="10" t="s">
        <v>682</v>
      </c>
      <c r="B19" s="54" t="n">
        <v>1867</v>
      </c>
      <c r="C19" s="54" t="n">
        <v>1867</v>
      </c>
      <c r="D19" s="10" t="s">
        <v>683</v>
      </c>
      <c r="E19" s="10" t="s">
        <v>684</v>
      </c>
      <c r="F19" s="10" t="s">
        <v>685</v>
      </c>
      <c r="G19" s="10" t="s">
        <v>668</v>
      </c>
      <c r="H19" s="55" t="n">
        <v>10</v>
      </c>
      <c r="I19" s="56" t="n">
        <f aca="false">IF(H19="","",H19*(C19-B19+1))</f>
        <v>10</v>
      </c>
      <c r="J19" s="10" t="s">
        <v>669</v>
      </c>
      <c r="K19" s="10" t="s">
        <v>248</v>
      </c>
      <c r="L19" s="10" t="s">
        <v>670</v>
      </c>
      <c r="M19" s="57" t="s">
        <v>686</v>
      </c>
    </row>
    <row r="20" customFormat="false" ht="14.25" hidden="false" customHeight="false" outlineLevel="0" collapsed="false">
      <c r="A20" s="10" t="s">
        <v>687</v>
      </c>
      <c r="B20" s="54" t="n">
        <v>1867</v>
      </c>
      <c r="C20" s="54" t="n">
        <v>1900</v>
      </c>
      <c r="D20" s="10" t="s">
        <v>688</v>
      </c>
      <c r="E20" s="10" t="s">
        <v>659</v>
      </c>
      <c r="F20" s="10"/>
      <c r="G20" s="10"/>
      <c r="H20" s="55" t="n">
        <v>1</v>
      </c>
      <c r="I20" s="56" t="n">
        <f aca="false">IF(H20="","",H20*(C20-B20+1))</f>
        <v>34</v>
      </c>
      <c r="J20" s="10" t="s">
        <v>631</v>
      </c>
      <c r="K20" s="10" t="s">
        <v>248</v>
      </c>
      <c r="L20" s="10" t="s">
        <v>675</v>
      </c>
      <c r="M20" s="57" t="s">
        <v>201</v>
      </c>
    </row>
    <row r="21" customFormat="false" ht="14.25" hidden="false" customHeight="false" outlineLevel="0" collapsed="false">
      <c r="A21" s="10" t="s">
        <v>689</v>
      </c>
      <c r="B21" s="54" t="n">
        <v>1868</v>
      </c>
      <c r="C21" s="54" t="n">
        <v>1869</v>
      </c>
      <c r="D21" s="10" t="s">
        <v>690</v>
      </c>
      <c r="E21" s="10" t="s">
        <v>640</v>
      </c>
      <c r="F21" s="10"/>
      <c r="G21" s="10" t="s">
        <v>41</v>
      </c>
      <c r="H21" s="55" t="n">
        <v>0.5</v>
      </c>
      <c r="I21" s="56" t="n">
        <f aca="false">IF(H21="","",H21*(C21-B21+1))</f>
        <v>1</v>
      </c>
      <c r="J21" s="10" t="s">
        <v>631</v>
      </c>
      <c r="K21" s="10" t="s">
        <v>248</v>
      </c>
      <c r="L21" s="10" t="s">
        <v>675</v>
      </c>
      <c r="M21" s="57" t="s">
        <v>201</v>
      </c>
    </row>
    <row r="22" customFormat="false" ht="14.25" hidden="false" customHeight="false" outlineLevel="0" collapsed="false">
      <c r="A22" s="10" t="s">
        <v>691</v>
      </c>
      <c r="B22" s="54" t="n">
        <v>1870</v>
      </c>
      <c r="C22" s="54" t="n">
        <v>1871</v>
      </c>
      <c r="D22" s="10" t="s">
        <v>692</v>
      </c>
      <c r="E22" s="10" t="s">
        <v>640</v>
      </c>
      <c r="F22" s="10"/>
      <c r="G22" s="10" t="s">
        <v>660</v>
      </c>
      <c r="H22" s="55" t="n">
        <v>6</v>
      </c>
      <c r="I22" s="56" t="n">
        <f aca="false">IF(H22="","",H22*(C22-B22+1))</f>
        <v>12</v>
      </c>
      <c r="J22" s="10" t="s">
        <v>631</v>
      </c>
      <c r="K22" s="10" t="s">
        <v>224</v>
      </c>
      <c r="L22" s="10" t="s">
        <v>680</v>
      </c>
      <c r="M22" s="57" t="s">
        <v>693</v>
      </c>
    </row>
    <row r="23" customFormat="false" ht="14.25" hidden="false" customHeight="false" outlineLevel="0" collapsed="false">
      <c r="A23" s="10" t="s">
        <v>694</v>
      </c>
      <c r="B23" s="54" t="n">
        <v>1870</v>
      </c>
      <c r="C23" s="54" t="n">
        <v>1870</v>
      </c>
      <c r="D23" s="10" t="s">
        <v>695</v>
      </c>
      <c r="E23" s="10" t="s">
        <v>684</v>
      </c>
      <c r="F23" s="10" t="s">
        <v>696</v>
      </c>
      <c r="G23" s="10" t="s">
        <v>41</v>
      </c>
      <c r="H23" s="55" t="n">
        <v>5</v>
      </c>
      <c r="I23" s="56" t="n">
        <f aca="false">IF(H23="","",H23*(C23-B23+1))</f>
        <v>5</v>
      </c>
      <c r="J23" s="10" t="s">
        <v>631</v>
      </c>
      <c r="K23" s="10" t="s">
        <v>224</v>
      </c>
      <c r="L23" s="10" t="s">
        <v>675</v>
      </c>
      <c r="M23" s="57" t="s">
        <v>697</v>
      </c>
    </row>
    <row r="24" customFormat="false" ht="14.25" hidden="false" customHeight="false" outlineLevel="0" collapsed="false">
      <c r="A24" s="10" t="s">
        <v>698</v>
      </c>
      <c r="B24" s="54" t="n">
        <v>1871</v>
      </c>
      <c r="C24" s="54" t="n">
        <v>1872</v>
      </c>
      <c r="D24" s="10" t="s">
        <v>699</v>
      </c>
      <c r="E24" s="10" t="s">
        <v>684</v>
      </c>
      <c r="F24" s="10" t="s">
        <v>685</v>
      </c>
      <c r="G24" s="10" t="s">
        <v>660</v>
      </c>
      <c r="H24" s="55" t="n">
        <v>12.5</v>
      </c>
      <c r="I24" s="56" t="n">
        <f aca="false">IF(H24="","",H24*(C24-B24+1))</f>
        <v>25</v>
      </c>
      <c r="J24" s="10" t="s">
        <v>631</v>
      </c>
      <c r="K24" s="10" t="s">
        <v>224</v>
      </c>
      <c r="L24" s="10" t="s">
        <v>680</v>
      </c>
      <c r="M24" s="57" t="s">
        <v>700</v>
      </c>
    </row>
    <row r="25" customFormat="false" ht="14.25" hidden="false" customHeight="false" outlineLevel="0" collapsed="false">
      <c r="A25" s="10" t="s">
        <v>701</v>
      </c>
      <c r="B25" s="54" t="n">
        <v>1871</v>
      </c>
      <c r="C25" s="54" t="n">
        <v>1888</v>
      </c>
      <c r="D25" s="10" t="s">
        <v>702</v>
      </c>
      <c r="E25" s="10" t="s">
        <v>659</v>
      </c>
      <c r="F25" s="10"/>
      <c r="G25" s="10" t="s">
        <v>660</v>
      </c>
      <c r="H25" s="55" t="n">
        <v>1</v>
      </c>
      <c r="I25" s="56" t="n">
        <f aca="false">IF(H25="","",H25*(C25-B25+1))</f>
        <v>18</v>
      </c>
      <c r="J25" s="10" t="s">
        <v>631</v>
      </c>
      <c r="K25" s="10" t="s">
        <v>224</v>
      </c>
      <c r="L25" s="10" t="s">
        <v>680</v>
      </c>
      <c r="M25" s="57" t="s">
        <v>201</v>
      </c>
    </row>
    <row r="26" customFormat="false" ht="14.25" hidden="false" customHeight="false" outlineLevel="0" collapsed="false">
      <c r="A26" s="10" t="s">
        <v>703</v>
      </c>
      <c r="B26" s="54" t="n">
        <v>1872</v>
      </c>
      <c r="C26" s="54" t="n">
        <v>1872</v>
      </c>
      <c r="D26" s="10" t="s">
        <v>704</v>
      </c>
      <c r="E26" s="10" t="s">
        <v>684</v>
      </c>
      <c r="F26" s="10" t="s">
        <v>696</v>
      </c>
      <c r="G26" s="10" t="s">
        <v>705</v>
      </c>
      <c r="H26" s="55" t="n">
        <v>4</v>
      </c>
      <c r="I26" s="56" t="n">
        <f aca="false">IF(H26="","",H26*(C26-B26+1))</f>
        <v>4</v>
      </c>
      <c r="J26" s="10" t="s">
        <v>631</v>
      </c>
      <c r="K26" s="10" t="s">
        <v>248</v>
      </c>
      <c r="L26" s="10" t="s">
        <v>675</v>
      </c>
      <c r="M26" s="57" t="s">
        <v>706</v>
      </c>
    </row>
    <row r="27" customFormat="false" ht="14.25" hidden="false" customHeight="false" outlineLevel="0" collapsed="false">
      <c r="A27" s="10" t="s">
        <v>707</v>
      </c>
      <c r="B27" s="54" t="n">
        <v>1873</v>
      </c>
      <c r="C27" s="54" t="n">
        <v>1873</v>
      </c>
      <c r="D27" s="10" t="s">
        <v>708</v>
      </c>
      <c r="E27" s="10" t="s">
        <v>640</v>
      </c>
      <c r="F27" s="10"/>
      <c r="G27" s="10" t="s">
        <v>709</v>
      </c>
      <c r="H27" s="55" t="n">
        <v>1.5</v>
      </c>
      <c r="I27" s="56" t="n">
        <f aca="false">IF(H27="","",H27*(C27-B27+1))</f>
        <v>1.5</v>
      </c>
      <c r="J27" s="10" t="s">
        <v>631</v>
      </c>
      <c r="K27" s="10" t="s">
        <v>224</v>
      </c>
      <c r="L27" s="10" t="s">
        <v>710</v>
      </c>
      <c r="M27" s="57" t="s">
        <v>201</v>
      </c>
    </row>
    <row r="28" customFormat="false" ht="14.25" hidden="false" customHeight="false" outlineLevel="0" collapsed="false">
      <c r="A28" s="10" t="s">
        <v>711</v>
      </c>
      <c r="B28" s="54" t="n">
        <v>1874</v>
      </c>
      <c r="C28" s="54" t="n">
        <v>1874</v>
      </c>
      <c r="D28" s="10" t="s">
        <v>712</v>
      </c>
      <c r="E28" s="10" t="s">
        <v>640</v>
      </c>
      <c r="F28" s="10"/>
      <c r="G28" s="10" t="s">
        <v>713</v>
      </c>
      <c r="H28" s="55" t="n">
        <v>1</v>
      </c>
      <c r="I28" s="56" t="n">
        <f aca="false">IF(H28="","",H28*(C28-B28+1))</f>
        <v>1</v>
      </c>
      <c r="J28" s="10" t="s">
        <v>631</v>
      </c>
      <c r="K28" s="10" t="s">
        <v>224</v>
      </c>
      <c r="L28" s="10" t="s">
        <v>714</v>
      </c>
      <c r="M28" s="57" t="s">
        <v>201</v>
      </c>
    </row>
    <row r="29" customFormat="false" ht="14.25" hidden="false" customHeight="false" outlineLevel="0" collapsed="false">
      <c r="A29" s="10" t="s">
        <v>715</v>
      </c>
      <c r="B29" s="54" t="n">
        <v>1874</v>
      </c>
      <c r="C29" s="54" t="n">
        <v>1874</v>
      </c>
      <c r="D29" s="10" t="s">
        <v>716</v>
      </c>
      <c r="E29" s="10" t="s">
        <v>640</v>
      </c>
      <c r="F29" s="10"/>
      <c r="G29" s="10" t="s">
        <v>41</v>
      </c>
      <c r="H29" s="55" t="n">
        <v>0.5</v>
      </c>
      <c r="I29" s="56" t="n">
        <f aca="false">IF(H29="","",H29*(C29-B29+1))</f>
        <v>0.5</v>
      </c>
      <c r="J29" s="10" t="s">
        <v>631</v>
      </c>
      <c r="K29" s="10" t="s">
        <v>248</v>
      </c>
      <c r="L29" s="10" t="s">
        <v>710</v>
      </c>
      <c r="M29" s="57" t="s">
        <v>201</v>
      </c>
    </row>
    <row r="30" customFormat="false" ht="14.25" hidden="false" customHeight="false" outlineLevel="0" collapsed="false">
      <c r="A30" s="10" t="s">
        <v>717</v>
      </c>
      <c r="B30" s="54" t="n">
        <v>1874</v>
      </c>
      <c r="C30" s="54" t="n">
        <v>1875</v>
      </c>
      <c r="D30" s="10" t="s">
        <v>718</v>
      </c>
      <c r="E30" s="10" t="s">
        <v>684</v>
      </c>
      <c r="F30" s="10" t="s">
        <v>719</v>
      </c>
      <c r="G30" s="10" t="s">
        <v>709</v>
      </c>
      <c r="H30" s="55" t="n">
        <v>3</v>
      </c>
      <c r="I30" s="56" t="n">
        <f aca="false">IF(H30="","",H30*(C30-B30+1))</f>
        <v>6</v>
      </c>
      <c r="J30" s="10" t="s">
        <v>631</v>
      </c>
      <c r="K30" s="10" t="s">
        <v>303</v>
      </c>
      <c r="L30" s="10" t="s">
        <v>720</v>
      </c>
      <c r="M30" s="57" t="s">
        <v>721</v>
      </c>
    </row>
    <row r="31" customFormat="false" ht="14.25" hidden="false" customHeight="false" outlineLevel="0" collapsed="false">
      <c r="A31" s="10" t="s">
        <v>722</v>
      </c>
      <c r="B31" s="54" t="n">
        <v>1876</v>
      </c>
      <c r="C31" s="54" t="n">
        <v>1876</v>
      </c>
      <c r="D31" s="10" t="s">
        <v>723</v>
      </c>
      <c r="E31" s="10" t="s">
        <v>667</v>
      </c>
      <c r="F31" s="10"/>
      <c r="G31" s="10" t="s">
        <v>709</v>
      </c>
      <c r="H31" s="55" t="n">
        <v>0</v>
      </c>
      <c r="I31" s="56" t="n">
        <f aca="false">IF(H31="","",H31*(C31-B31+1))</f>
        <v>0</v>
      </c>
      <c r="J31" s="10" t="s">
        <v>669</v>
      </c>
      <c r="K31" s="10" t="s">
        <v>224</v>
      </c>
      <c r="L31" s="10" t="s">
        <v>724</v>
      </c>
      <c r="M31" s="57" t="s">
        <v>725</v>
      </c>
    </row>
    <row r="32" customFormat="false" ht="14.25" hidden="false" customHeight="false" outlineLevel="0" collapsed="false">
      <c r="A32" s="10" t="s">
        <v>726</v>
      </c>
      <c r="B32" s="54" t="n">
        <v>1876</v>
      </c>
      <c r="C32" s="54" t="n">
        <v>1890</v>
      </c>
      <c r="D32" s="10" t="s">
        <v>727</v>
      </c>
      <c r="E32" s="10" t="s">
        <v>636</v>
      </c>
      <c r="F32" s="10"/>
      <c r="G32" s="10"/>
      <c r="H32" s="55" t="n">
        <v>0.3</v>
      </c>
      <c r="I32" s="56" t="n">
        <f aca="false">IF(H32="","",H32*(C32-B32+1))</f>
        <v>4.5</v>
      </c>
      <c r="J32" s="10" t="s">
        <v>631</v>
      </c>
      <c r="K32" s="10" t="s">
        <v>303</v>
      </c>
      <c r="L32" s="10" t="s">
        <v>728</v>
      </c>
      <c r="M32" s="57" t="s">
        <v>729</v>
      </c>
    </row>
    <row r="33" customFormat="false" ht="14.25" hidden="false" customHeight="false" outlineLevel="0" collapsed="false">
      <c r="A33" s="10" t="s">
        <v>730</v>
      </c>
      <c r="B33" s="54" t="n">
        <v>1876</v>
      </c>
      <c r="C33" s="54" t="n">
        <v>1879</v>
      </c>
      <c r="D33" s="10" t="s">
        <v>731</v>
      </c>
      <c r="E33" s="10" t="s">
        <v>732</v>
      </c>
      <c r="F33" s="10"/>
      <c r="G33" s="10" t="s">
        <v>705</v>
      </c>
      <c r="H33" s="55" t="n">
        <v>0.5</v>
      </c>
      <c r="I33" s="56" t="n">
        <f aca="false">IF(H33="","",H33*(C33-B33+1))</f>
        <v>2</v>
      </c>
      <c r="J33" s="10" t="s">
        <v>631</v>
      </c>
      <c r="K33" s="10" t="s">
        <v>248</v>
      </c>
      <c r="L33" s="10" t="s">
        <v>675</v>
      </c>
      <c r="M33" s="57" t="s">
        <v>201</v>
      </c>
    </row>
    <row r="34" customFormat="false" ht="14.25" hidden="false" customHeight="false" outlineLevel="0" collapsed="false">
      <c r="A34" s="10" t="s">
        <v>733</v>
      </c>
      <c r="B34" s="54" t="n">
        <v>1877</v>
      </c>
      <c r="C34" s="54" t="n">
        <v>1914</v>
      </c>
      <c r="D34" s="10" t="s">
        <v>734</v>
      </c>
      <c r="E34" s="10" t="s">
        <v>659</v>
      </c>
      <c r="F34" s="10"/>
      <c r="G34" s="10" t="s">
        <v>174</v>
      </c>
      <c r="H34" s="55" t="n">
        <v>0.5</v>
      </c>
      <c r="I34" s="56" t="n">
        <f aca="false">IF(H34="","",H34*(C34-B34+1))</f>
        <v>19</v>
      </c>
      <c r="J34" s="10" t="s">
        <v>631</v>
      </c>
      <c r="K34" s="10" t="s">
        <v>248</v>
      </c>
      <c r="L34" s="10" t="s">
        <v>735</v>
      </c>
      <c r="M34" s="57" t="s">
        <v>736</v>
      </c>
    </row>
    <row r="35" customFormat="false" ht="14.25" hidden="false" customHeight="false" outlineLevel="0" collapsed="false">
      <c r="A35" s="10" t="s">
        <v>737</v>
      </c>
      <c r="B35" s="54" t="n">
        <v>1877</v>
      </c>
      <c r="C35" s="54" t="n">
        <v>1877</v>
      </c>
      <c r="D35" s="10" t="s">
        <v>738</v>
      </c>
      <c r="E35" s="10" t="s">
        <v>640</v>
      </c>
      <c r="F35" s="10"/>
      <c r="G35" s="10" t="s">
        <v>41</v>
      </c>
      <c r="H35" s="55" t="n">
        <v>0.5</v>
      </c>
      <c r="I35" s="56" t="n">
        <f aca="false">IF(H35="","",H35*(C35-B35+1))</f>
        <v>0.5</v>
      </c>
      <c r="J35" s="10" t="s">
        <v>631</v>
      </c>
      <c r="K35" s="10" t="s">
        <v>248</v>
      </c>
      <c r="L35" s="10" t="s">
        <v>710</v>
      </c>
      <c r="M35" s="57" t="s">
        <v>201</v>
      </c>
    </row>
    <row r="36" customFormat="false" ht="14.25" hidden="false" customHeight="false" outlineLevel="0" collapsed="false">
      <c r="A36" s="10" t="s">
        <v>739</v>
      </c>
      <c r="B36" s="54" t="n">
        <v>1878</v>
      </c>
      <c r="C36" s="54" t="n">
        <v>1878</v>
      </c>
      <c r="D36" s="10" t="s">
        <v>740</v>
      </c>
      <c r="E36" s="10" t="s">
        <v>640</v>
      </c>
      <c r="F36" s="10"/>
      <c r="G36" s="10" t="s">
        <v>674</v>
      </c>
      <c r="H36" s="55" t="n">
        <v>6</v>
      </c>
      <c r="I36" s="56" t="n">
        <f aca="false">IF(H36="","",H36*(C36-B36+1))</f>
        <v>6</v>
      </c>
      <c r="J36" s="10" t="s">
        <v>631</v>
      </c>
      <c r="K36" s="10" t="s">
        <v>224</v>
      </c>
      <c r="L36" s="10" t="s">
        <v>741</v>
      </c>
      <c r="M36" s="57" t="s">
        <v>201</v>
      </c>
    </row>
    <row r="37" customFormat="false" ht="14.25" hidden="false" customHeight="false" outlineLevel="0" collapsed="false">
      <c r="A37" s="10" t="s">
        <v>742</v>
      </c>
      <c r="B37" s="54" t="n">
        <v>1880</v>
      </c>
      <c r="C37" s="54" t="n">
        <v>1880</v>
      </c>
      <c r="D37" s="10" t="s">
        <v>743</v>
      </c>
      <c r="E37" s="10" t="s">
        <v>667</v>
      </c>
      <c r="F37" s="10"/>
      <c r="G37" s="10" t="s">
        <v>744</v>
      </c>
      <c r="H37" s="55" t="n">
        <v>10</v>
      </c>
      <c r="I37" s="56" t="n">
        <f aca="false">IF(H37="","",H37*(C37-B37+1))</f>
        <v>10</v>
      </c>
      <c r="J37" s="10" t="s">
        <v>669</v>
      </c>
      <c r="K37" s="10" t="s">
        <v>224</v>
      </c>
      <c r="L37" s="10" t="s">
        <v>745</v>
      </c>
      <c r="M37" s="57" t="s">
        <v>746</v>
      </c>
    </row>
    <row r="38" customFormat="false" ht="14.25" hidden="false" customHeight="false" outlineLevel="0" collapsed="false">
      <c r="A38" s="10" t="s">
        <v>747</v>
      </c>
      <c r="B38" s="54" t="n">
        <v>1880</v>
      </c>
      <c r="C38" s="54" t="n">
        <v>1887</v>
      </c>
      <c r="D38" s="10" t="s">
        <v>748</v>
      </c>
      <c r="E38" s="10" t="s">
        <v>636</v>
      </c>
      <c r="F38" s="10"/>
      <c r="G38" s="10" t="s">
        <v>749</v>
      </c>
      <c r="H38" s="55" t="n">
        <v>0.2</v>
      </c>
      <c r="I38" s="56" t="n">
        <f aca="false">IF(H38="","",H38*(C38-B38+1))</f>
        <v>1.6</v>
      </c>
      <c r="J38" s="10" t="s">
        <v>631</v>
      </c>
      <c r="K38" s="10" t="s">
        <v>248</v>
      </c>
      <c r="L38" s="10" t="s">
        <v>675</v>
      </c>
      <c r="M38" s="57" t="s">
        <v>201</v>
      </c>
    </row>
    <row r="39" customFormat="false" ht="14.25" hidden="false" customHeight="false" outlineLevel="0" collapsed="false">
      <c r="A39" s="10" t="s">
        <v>750</v>
      </c>
      <c r="B39" s="54" t="n">
        <v>1884</v>
      </c>
      <c r="C39" s="54" t="n">
        <v>1885</v>
      </c>
      <c r="D39" s="10" t="s">
        <v>751</v>
      </c>
      <c r="E39" s="10" t="s">
        <v>640</v>
      </c>
      <c r="F39" s="10"/>
      <c r="G39" s="10" t="s">
        <v>705</v>
      </c>
      <c r="H39" s="55" t="n">
        <v>1</v>
      </c>
      <c r="I39" s="56" t="n">
        <f aca="false">IF(H39="","",H39*(C39-B39+1))</f>
        <v>2</v>
      </c>
      <c r="J39" s="10" t="s">
        <v>631</v>
      </c>
      <c r="K39" s="10" t="s">
        <v>248</v>
      </c>
      <c r="L39" s="10" t="s">
        <v>741</v>
      </c>
      <c r="M39" s="57" t="s">
        <v>201</v>
      </c>
    </row>
    <row r="40" customFormat="false" ht="14.25" hidden="false" customHeight="false" outlineLevel="0" collapsed="false">
      <c r="A40" s="10" t="s">
        <v>752</v>
      </c>
      <c r="B40" s="54" t="n">
        <v>1885</v>
      </c>
      <c r="C40" s="54" t="n">
        <v>1885</v>
      </c>
      <c r="D40" s="10" t="s">
        <v>753</v>
      </c>
      <c r="E40" s="10" t="s">
        <v>684</v>
      </c>
      <c r="F40" s="10" t="s">
        <v>696</v>
      </c>
      <c r="G40" s="10" t="s">
        <v>705</v>
      </c>
      <c r="H40" s="55" t="n">
        <v>0.6</v>
      </c>
      <c r="I40" s="56" t="n">
        <f aca="false">IF(H40="","",H40*(C40-B40+1))</f>
        <v>0.6</v>
      </c>
      <c r="J40" s="10" t="s">
        <v>631</v>
      </c>
      <c r="K40" s="10" t="s">
        <v>248</v>
      </c>
      <c r="L40" s="10" t="s">
        <v>741</v>
      </c>
      <c r="M40" s="57" t="s">
        <v>754</v>
      </c>
    </row>
    <row r="41" customFormat="false" ht="14.25" hidden="false" customHeight="false" outlineLevel="0" collapsed="false">
      <c r="A41" s="10" t="s">
        <v>755</v>
      </c>
      <c r="B41" s="54" t="n">
        <v>1885</v>
      </c>
      <c r="C41" s="54" t="n">
        <v>1900</v>
      </c>
      <c r="D41" s="10" t="s">
        <v>756</v>
      </c>
      <c r="E41" s="10" t="s">
        <v>636</v>
      </c>
      <c r="F41" s="10"/>
      <c r="G41" s="10"/>
      <c r="H41" s="55" t="n">
        <v>0.6</v>
      </c>
      <c r="I41" s="56" t="n">
        <f aca="false">IF(H41="","",H41*(C41-B41+1))</f>
        <v>9.6</v>
      </c>
      <c r="J41" s="10" t="s">
        <v>631</v>
      </c>
      <c r="K41" s="10" t="s">
        <v>303</v>
      </c>
      <c r="L41" s="10" t="s">
        <v>728</v>
      </c>
      <c r="M41" s="57" t="s">
        <v>757</v>
      </c>
    </row>
    <row r="42" customFormat="false" ht="14.25" hidden="false" customHeight="false" outlineLevel="0" collapsed="false">
      <c r="A42" s="10" t="s">
        <v>758</v>
      </c>
      <c r="B42" s="54" t="n">
        <v>1886</v>
      </c>
      <c r="C42" s="54" t="n">
        <v>1900</v>
      </c>
      <c r="D42" s="10" t="s">
        <v>759</v>
      </c>
      <c r="E42" s="10" t="s">
        <v>636</v>
      </c>
      <c r="F42" s="10"/>
      <c r="G42" s="10"/>
      <c r="H42" s="55" t="n">
        <v>0.5</v>
      </c>
      <c r="I42" s="56" t="n">
        <f aca="false">IF(H42="","",H42*(C42-B42+1))</f>
        <v>7.5</v>
      </c>
      <c r="J42" s="10" t="s">
        <v>631</v>
      </c>
      <c r="K42" s="10" t="s">
        <v>248</v>
      </c>
      <c r="L42" s="10" t="s">
        <v>728</v>
      </c>
      <c r="M42" s="57" t="s">
        <v>201</v>
      </c>
    </row>
    <row r="43" customFormat="false" ht="14.25" hidden="false" customHeight="false" outlineLevel="0" collapsed="false">
      <c r="A43" s="10" t="s">
        <v>760</v>
      </c>
      <c r="B43" s="54" t="n">
        <v>1885</v>
      </c>
      <c r="C43" s="54" t="n">
        <v>1887</v>
      </c>
      <c r="D43" s="10" t="s">
        <v>761</v>
      </c>
      <c r="E43" s="10" t="s">
        <v>640</v>
      </c>
      <c r="F43" s="10"/>
      <c r="G43" s="10" t="s">
        <v>54</v>
      </c>
      <c r="H43" s="55" t="n">
        <v>1</v>
      </c>
      <c r="I43" s="56" t="n">
        <f aca="false">IF(H43="","",H43*(C43-B43+1))</f>
        <v>3</v>
      </c>
      <c r="J43" s="10" t="s">
        <v>631</v>
      </c>
      <c r="K43" s="10" t="s">
        <v>248</v>
      </c>
      <c r="L43" s="10" t="s">
        <v>741</v>
      </c>
      <c r="M43" s="57" t="s">
        <v>201</v>
      </c>
    </row>
    <row r="44" customFormat="false" ht="14.25" hidden="false" customHeight="false" outlineLevel="0" collapsed="false">
      <c r="A44" s="10" t="s">
        <v>762</v>
      </c>
      <c r="B44" s="54" t="n">
        <v>1887</v>
      </c>
      <c r="C44" s="54" t="n">
        <v>1889</v>
      </c>
      <c r="D44" s="10" t="s">
        <v>763</v>
      </c>
      <c r="E44" s="10" t="s">
        <v>640</v>
      </c>
      <c r="F44" s="10"/>
      <c r="G44" s="10"/>
      <c r="H44" s="55" t="n">
        <v>0.5</v>
      </c>
      <c r="I44" s="56" t="n">
        <f aca="false">IF(H44="","",H44*(C44-B44+1))</f>
        <v>1.5</v>
      </c>
      <c r="J44" s="10" t="s">
        <v>631</v>
      </c>
      <c r="K44" s="10" t="s">
        <v>224</v>
      </c>
      <c r="L44" s="10" t="s">
        <v>764</v>
      </c>
      <c r="M44" s="57" t="s">
        <v>765</v>
      </c>
    </row>
    <row r="45" customFormat="false" ht="14.25" hidden="false" customHeight="false" outlineLevel="0" collapsed="false">
      <c r="A45" s="10" t="s">
        <v>766</v>
      </c>
      <c r="B45" s="54" t="n">
        <v>1888</v>
      </c>
      <c r="C45" s="54" t="n">
        <v>1932</v>
      </c>
      <c r="D45" s="10" t="s">
        <v>767</v>
      </c>
      <c r="E45" s="10" t="s">
        <v>636</v>
      </c>
      <c r="F45" s="10"/>
      <c r="G45" s="10"/>
      <c r="H45" s="55" t="n">
        <v>0.4</v>
      </c>
      <c r="I45" s="56" t="n">
        <f aca="false">IF(H45="","",H45*(C45-B45+1))</f>
        <v>18</v>
      </c>
      <c r="J45" s="10" t="s">
        <v>631</v>
      </c>
      <c r="K45" s="10" t="s">
        <v>224</v>
      </c>
      <c r="L45" s="10" t="s">
        <v>768</v>
      </c>
      <c r="M45" s="57" t="s">
        <v>769</v>
      </c>
    </row>
    <row r="46" customFormat="false" ht="14.25" hidden="false" customHeight="false" outlineLevel="0" collapsed="false">
      <c r="A46" s="10" t="s">
        <v>770</v>
      </c>
      <c r="B46" s="54" t="n">
        <v>1888</v>
      </c>
      <c r="C46" s="54" t="n">
        <v>1889</v>
      </c>
      <c r="D46" s="10" t="s">
        <v>771</v>
      </c>
      <c r="E46" s="10" t="s">
        <v>684</v>
      </c>
      <c r="F46" s="10" t="s">
        <v>685</v>
      </c>
      <c r="G46" s="10" t="s">
        <v>660</v>
      </c>
      <c r="H46" s="55" t="n">
        <v>3</v>
      </c>
      <c r="I46" s="56" t="n">
        <f aca="false">IF(H46="","",H46*(C46-B46+1))</f>
        <v>6</v>
      </c>
      <c r="J46" s="10" t="s">
        <v>631</v>
      </c>
      <c r="K46" s="10" t="s">
        <v>224</v>
      </c>
      <c r="L46" s="10" t="s">
        <v>768</v>
      </c>
      <c r="M46" s="57" t="s">
        <v>772</v>
      </c>
    </row>
    <row r="47" customFormat="false" ht="14.25" hidden="false" customHeight="false" outlineLevel="0" collapsed="false">
      <c r="A47" s="10" t="s">
        <v>773</v>
      </c>
      <c r="B47" s="54" t="n">
        <v>1889</v>
      </c>
      <c r="C47" s="54" t="n">
        <v>1889</v>
      </c>
      <c r="D47" s="10" t="s">
        <v>774</v>
      </c>
      <c r="E47" s="10" t="s">
        <v>667</v>
      </c>
      <c r="F47" s="10"/>
      <c r="G47" s="10" t="s">
        <v>775</v>
      </c>
      <c r="H47" s="55" t="n">
        <f aca="false">30*canal_share</f>
        <v>30</v>
      </c>
      <c r="I47" s="56" t="n">
        <f aca="false">IF(H47="","",H47*(C47-B47+1))</f>
        <v>30</v>
      </c>
      <c r="J47" s="10" t="s">
        <v>669</v>
      </c>
      <c r="K47" s="10" t="s">
        <v>224</v>
      </c>
      <c r="L47" s="10" t="s">
        <v>776</v>
      </c>
      <c r="M47" s="57" t="s">
        <v>777</v>
      </c>
    </row>
    <row r="48" customFormat="false" ht="14.25" hidden="false" customHeight="false" outlineLevel="0" collapsed="false">
      <c r="A48" s="10" t="s">
        <v>778</v>
      </c>
      <c r="B48" s="54" t="n">
        <v>1890</v>
      </c>
      <c r="C48" s="54" t="n">
        <v>1901</v>
      </c>
      <c r="D48" s="10" t="s">
        <v>779</v>
      </c>
      <c r="E48" s="10" t="s">
        <v>667</v>
      </c>
      <c r="F48" s="10"/>
      <c r="G48" s="10"/>
      <c r="H48" s="55" t="n">
        <f aca="false">225/12*canal_share</f>
        <v>18.75</v>
      </c>
      <c r="I48" s="56" t="n">
        <f aca="false">IF(H48="","",H48*(C48-B48+1))</f>
        <v>225</v>
      </c>
      <c r="J48" s="10" t="s">
        <v>631</v>
      </c>
      <c r="K48" s="10" t="s">
        <v>224</v>
      </c>
      <c r="L48" s="10" t="s">
        <v>768</v>
      </c>
      <c r="M48" s="57" t="s">
        <v>780</v>
      </c>
    </row>
    <row r="49" customFormat="false" ht="14.25" hidden="false" customHeight="false" outlineLevel="0" collapsed="false">
      <c r="A49" s="10" t="s">
        <v>781</v>
      </c>
      <c r="B49" s="54" t="n">
        <v>1890</v>
      </c>
      <c r="C49" s="54" t="n">
        <v>1891</v>
      </c>
      <c r="D49" s="10" t="s">
        <v>782</v>
      </c>
      <c r="E49" s="10" t="s">
        <v>684</v>
      </c>
      <c r="F49" s="10" t="s">
        <v>719</v>
      </c>
      <c r="G49" s="10" t="s">
        <v>54</v>
      </c>
      <c r="H49" s="55" t="n">
        <v>1.5</v>
      </c>
      <c r="I49" s="56" t="n">
        <f aca="false">IF(H49="","",H49*(C49-B49+1))</f>
        <v>3</v>
      </c>
      <c r="J49" s="10" t="s">
        <v>669</v>
      </c>
      <c r="K49" s="10" t="s">
        <v>248</v>
      </c>
      <c r="L49" s="10" t="s">
        <v>768</v>
      </c>
      <c r="M49" s="57" t="s">
        <v>783</v>
      </c>
    </row>
    <row r="50" customFormat="false" ht="14.25" hidden="false" customHeight="false" outlineLevel="0" collapsed="false">
      <c r="A50" s="10" t="s">
        <v>784</v>
      </c>
      <c r="B50" s="54" t="n">
        <v>1890</v>
      </c>
      <c r="C50" s="54" t="n">
        <v>1902</v>
      </c>
      <c r="D50" s="10" t="s">
        <v>785</v>
      </c>
      <c r="E50" s="10" t="s">
        <v>659</v>
      </c>
      <c r="F50" s="10"/>
      <c r="G50" s="10" t="s">
        <v>786</v>
      </c>
      <c r="H50" s="55" t="n">
        <v>0.2</v>
      </c>
      <c r="I50" s="56" t="n">
        <f aca="false">IF(H50="","",H50*(C50-B50+1))</f>
        <v>2.6</v>
      </c>
      <c r="J50" s="10" t="s">
        <v>631</v>
      </c>
      <c r="K50" s="10" t="s">
        <v>248</v>
      </c>
      <c r="L50" s="10" t="s">
        <v>768</v>
      </c>
      <c r="M50" s="57" t="s">
        <v>201</v>
      </c>
    </row>
    <row r="51" customFormat="false" ht="14.25" hidden="false" customHeight="false" outlineLevel="0" collapsed="false">
      <c r="A51" s="10" t="s">
        <v>787</v>
      </c>
      <c r="B51" s="54" t="n">
        <v>1893</v>
      </c>
      <c r="C51" s="54" t="n">
        <v>1895</v>
      </c>
      <c r="D51" s="10" t="s">
        <v>788</v>
      </c>
      <c r="E51" s="10" t="s">
        <v>659</v>
      </c>
      <c r="F51" s="10"/>
      <c r="G51" s="10" t="s">
        <v>660</v>
      </c>
      <c r="H51" s="55" t="n">
        <v>2</v>
      </c>
      <c r="I51" s="56" t="n">
        <f aca="false">IF(H51="","",H51*(C51-B51+1))</f>
        <v>6</v>
      </c>
      <c r="J51" s="10" t="s">
        <v>631</v>
      </c>
      <c r="K51" s="10" t="s">
        <v>224</v>
      </c>
      <c r="L51" s="10" t="s">
        <v>768</v>
      </c>
      <c r="M51" s="57" t="s">
        <v>201</v>
      </c>
    </row>
    <row r="52" customFormat="false" ht="14.25" hidden="false" customHeight="false" outlineLevel="0" collapsed="false">
      <c r="A52" s="10" t="s">
        <v>789</v>
      </c>
      <c r="B52" s="54" t="n">
        <v>1894</v>
      </c>
      <c r="C52" s="54" t="n">
        <v>1894</v>
      </c>
      <c r="D52" s="10" t="s">
        <v>790</v>
      </c>
      <c r="E52" s="10" t="s">
        <v>684</v>
      </c>
      <c r="F52" s="10" t="s">
        <v>696</v>
      </c>
      <c r="G52" s="10" t="s">
        <v>41</v>
      </c>
      <c r="H52" s="55" t="n">
        <v>10</v>
      </c>
      <c r="I52" s="56" t="n">
        <f aca="false">IF(H52="","",H52*(C52-B52+1))</f>
        <v>10</v>
      </c>
      <c r="J52" s="10" t="s">
        <v>631</v>
      </c>
      <c r="K52" s="10" t="s">
        <v>224</v>
      </c>
      <c r="L52" s="10" t="s">
        <v>768</v>
      </c>
      <c r="M52" s="57" t="s">
        <v>201</v>
      </c>
    </row>
    <row r="53" customFormat="false" ht="14.25" hidden="false" customHeight="false" outlineLevel="0" collapsed="false">
      <c r="A53" s="10" t="s">
        <v>791</v>
      </c>
      <c r="B53" s="54" t="n">
        <v>1894</v>
      </c>
      <c r="C53" s="54" t="n">
        <v>1895</v>
      </c>
      <c r="D53" s="10" t="s">
        <v>792</v>
      </c>
      <c r="E53" s="10" t="s">
        <v>640</v>
      </c>
      <c r="F53" s="10"/>
      <c r="G53" s="10"/>
      <c r="H53" s="55" t="n">
        <v>0.4</v>
      </c>
      <c r="I53" s="56" t="n">
        <f aca="false">IF(H53="","",H53*(C53-B53+1))</f>
        <v>0.8</v>
      </c>
      <c r="J53" s="10" t="s">
        <v>631</v>
      </c>
      <c r="K53" s="10" t="s">
        <v>224</v>
      </c>
      <c r="L53" s="10" t="s">
        <v>768</v>
      </c>
      <c r="M53" s="57" t="s">
        <v>201</v>
      </c>
    </row>
    <row r="54" customFormat="false" ht="14.25" hidden="false" customHeight="false" outlineLevel="0" collapsed="false">
      <c r="A54" s="10" t="s">
        <v>793</v>
      </c>
      <c r="B54" s="54" t="n">
        <v>1894</v>
      </c>
      <c r="C54" s="54" t="n">
        <v>1900</v>
      </c>
      <c r="D54" s="10" t="s">
        <v>794</v>
      </c>
      <c r="E54" s="10" t="s">
        <v>795</v>
      </c>
      <c r="F54" s="10"/>
      <c r="G54" s="10"/>
      <c r="H54" s="55" t="n">
        <v>3</v>
      </c>
      <c r="I54" s="56" t="n">
        <f aca="false">IF(H54="","",H54*(C54-B54+1))</f>
        <v>21</v>
      </c>
      <c r="J54" s="10" t="s">
        <v>631</v>
      </c>
      <c r="K54" s="10" t="s">
        <v>248</v>
      </c>
      <c r="L54" s="10" t="s">
        <v>768</v>
      </c>
      <c r="M54" s="57" t="s">
        <v>796</v>
      </c>
    </row>
    <row r="55" customFormat="false" ht="14.25" hidden="false" customHeight="false" outlineLevel="0" collapsed="false">
      <c r="A55" s="10" t="s">
        <v>797</v>
      </c>
      <c r="B55" s="54" t="n">
        <v>1895</v>
      </c>
      <c r="C55" s="54" t="n">
        <v>1895</v>
      </c>
      <c r="D55" s="10" t="s">
        <v>798</v>
      </c>
      <c r="E55" s="10" t="s">
        <v>684</v>
      </c>
      <c r="F55" s="10" t="s">
        <v>685</v>
      </c>
      <c r="G55" s="10" t="s">
        <v>668</v>
      </c>
      <c r="H55" s="55" t="n">
        <v>65</v>
      </c>
      <c r="I55" s="56" t="n">
        <f aca="false">IF(H55="","",H55*(C55-B55+1))</f>
        <v>65</v>
      </c>
      <c r="J55" s="10" t="s">
        <v>669</v>
      </c>
      <c r="K55" s="10" t="s">
        <v>224</v>
      </c>
      <c r="L55" s="10" t="s">
        <v>768</v>
      </c>
      <c r="M55" s="57" t="s">
        <v>799</v>
      </c>
    </row>
    <row r="56" customFormat="false" ht="14.25" hidden="false" customHeight="false" outlineLevel="0" collapsed="false">
      <c r="A56" s="10" t="s">
        <v>800</v>
      </c>
      <c r="B56" s="54" t="n">
        <v>1895</v>
      </c>
      <c r="C56" s="54" t="n">
        <v>1895</v>
      </c>
      <c r="D56" s="10" t="s">
        <v>801</v>
      </c>
      <c r="E56" s="10" t="s">
        <v>684</v>
      </c>
      <c r="F56" s="10" t="s">
        <v>696</v>
      </c>
      <c r="G56" s="10" t="s">
        <v>705</v>
      </c>
      <c r="H56" s="55" t="n">
        <v>15</v>
      </c>
      <c r="I56" s="56" t="n">
        <f aca="false">IF(H56="","",H56*(C56-B56+1))</f>
        <v>15</v>
      </c>
      <c r="J56" s="10" t="s">
        <v>631</v>
      </c>
      <c r="K56" s="10" t="s">
        <v>248</v>
      </c>
      <c r="L56" s="10" t="s">
        <v>768</v>
      </c>
      <c r="M56" s="57" t="s">
        <v>802</v>
      </c>
    </row>
    <row r="57" customFormat="false" ht="14.25" hidden="false" customHeight="false" outlineLevel="0" collapsed="false">
      <c r="A57" s="10" t="s">
        <v>803</v>
      </c>
      <c r="B57" s="54" t="n">
        <v>1895</v>
      </c>
      <c r="C57" s="54" t="n">
        <v>1895</v>
      </c>
      <c r="D57" s="10" t="s">
        <v>804</v>
      </c>
      <c r="E57" s="10" t="s">
        <v>636</v>
      </c>
      <c r="F57" s="10"/>
      <c r="G57" s="10" t="s">
        <v>705</v>
      </c>
      <c r="H57" s="55" t="n">
        <v>0.5</v>
      </c>
      <c r="I57" s="56" t="n">
        <f aca="false">IF(H57="","",H57*(C57-B57+1))</f>
        <v>0.5</v>
      </c>
      <c r="J57" s="10" t="s">
        <v>631</v>
      </c>
      <c r="K57" s="10" t="s">
        <v>224</v>
      </c>
      <c r="L57" s="10" t="s">
        <v>768</v>
      </c>
      <c r="M57" s="57" t="s">
        <v>805</v>
      </c>
    </row>
    <row r="58" customFormat="false" ht="14.25" hidden="false" customHeight="false" outlineLevel="0" collapsed="false">
      <c r="A58" s="10" t="s">
        <v>806</v>
      </c>
      <c r="B58" s="54" t="n">
        <v>1896</v>
      </c>
      <c r="C58" s="54" t="n">
        <v>1897</v>
      </c>
      <c r="D58" s="10" t="s">
        <v>807</v>
      </c>
      <c r="E58" s="10" t="s">
        <v>684</v>
      </c>
      <c r="F58" s="10" t="s">
        <v>696</v>
      </c>
      <c r="G58" s="10" t="s">
        <v>705</v>
      </c>
      <c r="H58" s="55" t="n">
        <v>3</v>
      </c>
      <c r="I58" s="56" t="n">
        <f aca="false">IF(H58="","",H58*(C58-B58+1))</f>
        <v>6</v>
      </c>
      <c r="J58" s="10" t="s">
        <v>631</v>
      </c>
      <c r="K58" s="10" t="s">
        <v>248</v>
      </c>
      <c r="L58" s="10" t="s">
        <v>768</v>
      </c>
      <c r="M58" s="57" t="s">
        <v>808</v>
      </c>
    </row>
    <row r="59" customFormat="false" ht="14.25" hidden="false" customHeight="false" outlineLevel="0" collapsed="false">
      <c r="A59" s="10" t="s">
        <v>809</v>
      </c>
      <c r="B59" s="54" t="n">
        <v>1897</v>
      </c>
      <c r="C59" s="54" t="n">
        <v>1897</v>
      </c>
      <c r="D59" s="10" t="s">
        <v>810</v>
      </c>
      <c r="E59" s="10" t="s">
        <v>684</v>
      </c>
      <c r="F59" s="10" t="s">
        <v>696</v>
      </c>
      <c r="G59" s="10" t="s">
        <v>41</v>
      </c>
      <c r="H59" s="55" t="n">
        <v>20</v>
      </c>
      <c r="I59" s="56" t="n">
        <f aca="false">IF(H59="","",H59*(C59-B59+1))</f>
        <v>20</v>
      </c>
      <c r="J59" s="10" t="s">
        <v>669</v>
      </c>
      <c r="K59" s="10" t="s">
        <v>248</v>
      </c>
      <c r="L59" s="10" t="s">
        <v>768</v>
      </c>
      <c r="M59" s="57" t="s">
        <v>811</v>
      </c>
    </row>
    <row r="60" customFormat="false" ht="14.25" hidden="false" customHeight="false" outlineLevel="0" collapsed="false">
      <c r="A60" s="10" t="s">
        <v>812</v>
      </c>
      <c r="B60" s="54" t="n">
        <v>1898</v>
      </c>
      <c r="C60" s="54" t="n">
        <v>1899</v>
      </c>
      <c r="D60" s="10" t="s">
        <v>813</v>
      </c>
      <c r="E60" s="10" t="s">
        <v>640</v>
      </c>
      <c r="F60" s="10"/>
      <c r="G60" s="10" t="s">
        <v>674</v>
      </c>
      <c r="H60" s="55" t="n">
        <v>6</v>
      </c>
      <c r="I60" s="56" t="n">
        <f aca="false">IF(H60="","",H60*(C60-B60+1))</f>
        <v>12</v>
      </c>
      <c r="J60" s="10" t="s">
        <v>631</v>
      </c>
      <c r="K60" s="10" t="s">
        <v>224</v>
      </c>
      <c r="L60" s="10" t="s">
        <v>768</v>
      </c>
      <c r="M60" s="57" t="s">
        <v>814</v>
      </c>
    </row>
    <row r="61" customFormat="false" ht="14.25" hidden="false" customHeight="false" outlineLevel="0" collapsed="false">
      <c r="A61" s="10" t="s">
        <v>815</v>
      </c>
      <c r="B61" s="54" t="n">
        <v>1898</v>
      </c>
      <c r="C61" s="54" t="n">
        <v>1899</v>
      </c>
      <c r="D61" s="10" t="s">
        <v>816</v>
      </c>
      <c r="E61" s="10" t="s">
        <v>684</v>
      </c>
      <c r="F61" s="10" t="s">
        <v>696</v>
      </c>
      <c r="G61" s="10" t="s">
        <v>41</v>
      </c>
      <c r="H61" s="55" t="n">
        <v>15</v>
      </c>
      <c r="I61" s="56" t="n">
        <f aca="false">IF(H61="","",H61*(C61-B61+1))</f>
        <v>30</v>
      </c>
      <c r="J61" s="10" t="s">
        <v>631</v>
      </c>
      <c r="K61" s="10" t="s">
        <v>224</v>
      </c>
      <c r="L61" s="10" t="s">
        <v>768</v>
      </c>
      <c r="M61" s="57" t="s">
        <v>817</v>
      </c>
    </row>
    <row r="62" customFormat="false" ht="14.25" hidden="false" customHeight="false" outlineLevel="0" collapsed="false">
      <c r="A62" s="10" t="s">
        <v>818</v>
      </c>
      <c r="B62" s="54" t="n">
        <v>1898</v>
      </c>
      <c r="C62" s="54" t="n">
        <v>1899</v>
      </c>
      <c r="D62" s="10" t="s">
        <v>819</v>
      </c>
      <c r="E62" s="10" t="s">
        <v>684</v>
      </c>
      <c r="F62" s="10" t="s">
        <v>685</v>
      </c>
      <c r="G62" s="10" t="s">
        <v>820</v>
      </c>
      <c r="H62" s="55" t="n">
        <v>9</v>
      </c>
      <c r="I62" s="56" t="n">
        <f aca="false">IF(H62="","",H62*(C62-B62+1))</f>
        <v>18</v>
      </c>
      <c r="J62" s="10" t="s">
        <v>631</v>
      </c>
      <c r="K62" s="10" t="s">
        <v>248</v>
      </c>
      <c r="L62" s="10" t="s">
        <v>768</v>
      </c>
      <c r="M62" s="57" t="s">
        <v>821</v>
      </c>
    </row>
    <row r="63" customFormat="false" ht="14.25" hidden="false" customHeight="false" outlineLevel="0" collapsed="false">
      <c r="A63" s="10" t="s">
        <v>822</v>
      </c>
      <c r="B63" s="54" t="n">
        <v>1899</v>
      </c>
      <c r="C63" s="54" t="n">
        <v>1899</v>
      </c>
      <c r="D63" s="10" t="s">
        <v>823</v>
      </c>
      <c r="E63" s="10" t="s">
        <v>667</v>
      </c>
      <c r="F63" s="10"/>
      <c r="G63" s="10" t="s">
        <v>824</v>
      </c>
      <c r="H63" s="55" t="n">
        <v>3</v>
      </c>
      <c r="I63" s="56" t="n">
        <f aca="false">IF(H63="","",H63*(C63-B63+1))</f>
        <v>3</v>
      </c>
      <c r="J63" s="10" t="s">
        <v>631</v>
      </c>
      <c r="K63" s="10" t="s">
        <v>248</v>
      </c>
      <c r="L63" s="10" t="s">
        <v>768</v>
      </c>
      <c r="M63" s="57" t="s">
        <v>805</v>
      </c>
    </row>
    <row r="64" customFormat="false" ht="14.25" hidden="false" customHeight="false" outlineLevel="0" collapsed="false">
      <c r="A64" s="10" t="s">
        <v>825</v>
      </c>
      <c r="B64" s="54" t="n">
        <v>1899</v>
      </c>
      <c r="C64" s="54" t="n">
        <v>1900</v>
      </c>
      <c r="D64" s="10" t="s">
        <v>826</v>
      </c>
      <c r="E64" s="10" t="s">
        <v>732</v>
      </c>
      <c r="F64" s="10"/>
      <c r="G64" s="10" t="s">
        <v>820</v>
      </c>
      <c r="H64" s="55" t="n">
        <v>0.1</v>
      </c>
      <c r="I64" s="56" t="n">
        <f aca="false">IF(H64="","",H64*(C64-B64+1))</f>
        <v>0.2</v>
      </c>
      <c r="J64" s="10" t="s">
        <v>631</v>
      </c>
      <c r="K64" s="10" t="s">
        <v>248</v>
      </c>
      <c r="L64" s="10" t="s">
        <v>768</v>
      </c>
      <c r="M64" s="57" t="s">
        <v>201</v>
      </c>
    </row>
    <row r="65" customFormat="false" ht="14.25" hidden="false" customHeight="false" outlineLevel="0" collapsed="false">
      <c r="A65" s="10" t="s">
        <v>827</v>
      </c>
      <c r="B65" s="54" t="n">
        <v>1898</v>
      </c>
      <c r="C65" s="54" t="n">
        <v>1902</v>
      </c>
      <c r="D65" s="10" t="s">
        <v>828</v>
      </c>
      <c r="E65" s="10" t="s">
        <v>636</v>
      </c>
      <c r="F65" s="10"/>
      <c r="G65" s="10"/>
      <c r="H65" s="55" t="n">
        <v>3</v>
      </c>
      <c r="I65" s="56" t="n">
        <f aca="false">IF(H65="","",H65*(C65-B65+1))</f>
        <v>15</v>
      </c>
      <c r="J65" s="10" t="s">
        <v>631</v>
      </c>
      <c r="K65" s="10" t="s">
        <v>248</v>
      </c>
      <c r="L65" s="10" t="s">
        <v>768</v>
      </c>
      <c r="M65" s="57" t="s">
        <v>829</v>
      </c>
    </row>
    <row r="66" customFormat="false" ht="14.25" hidden="false" customHeight="false" outlineLevel="0" collapsed="false">
      <c r="A66" s="10" t="s">
        <v>830</v>
      </c>
      <c r="B66" s="54" t="n">
        <v>1899</v>
      </c>
      <c r="C66" s="54" t="n">
        <v>1901</v>
      </c>
      <c r="D66" s="10" t="s">
        <v>831</v>
      </c>
      <c r="E66" s="10" t="s">
        <v>636</v>
      </c>
      <c r="F66" s="10"/>
      <c r="G66" s="10" t="s">
        <v>832</v>
      </c>
      <c r="H66" s="55" t="n">
        <v>1</v>
      </c>
      <c r="I66" s="56" t="n">
        <f aca="false">IF(H66="","",H66*(C66-B66+1))</f>
        <v>3</v>
      </c>
      <c r="J66" s="10" t="s">
        <v>631</v>
      </c>
      <c r="K66" s="10" t="s">
        <v>303</v>
      </c>
      <c r="L66" s="10" t="s">
        <v>768</v>
      </c>
      <c r="M66" s="57" t="s">
        <v>833</v>
      </c>
    </row>
    <row r="67" customFormat="false" ht="14.25" hidden="false" customHeight="false" outlineLevel="0" collapsed="false">
      <c r="A67" s="10" t="s">
        <v>834</v>
      </c>
      <c r="B67" s="54" t="n">
        <v>1900</v>
      </c>
      <c r="C67" s="54" t="n">
        <v>1900</v>
      </c>
      <c r="D67" s="10" t="s">
        <v>835</v>
      </c>
      <c r="E67" s="10" t="s">
        <v>640</v>
      </c>
      <c r="F67" s="10"/>
      <c r="G67" s="10" t="s">
        <v>705</v>
      </c>
      <c r="H67" s="55" t="n">
        <v>1</v>
      </c>
      <c r="I67" s="56" t="n">
        <f aca="false">IF(H67="","",H67*(C67-B67+1))</f>
        <v>1</v>
      </c>
      <c r="J67" s="10" t="s">
        <v>631</v>
      </c>
      <c r="K67" s="10" t="s">
        <v>248</v>
      </c>
      <c r="L67" s="10" t="s">
        <v>768</v>
      </c>
      <c r="M67" s="57" t="s">
        <v>836</v>
      </c>
    </row>
    <row r="68" customFormat="false" ht="14.25" hidden="false" customHeight="false" outlineLevel="0" collapsed="false">
      <c r="A68" s="10" t="s">
        <v>837</v>
      </c>
      <c r="B68" s="54" t="n">
        <v>1900</v>
      </c>
      <c r="C68" s="54" t="n">
        <v>1900</v>
      </c>
      <c r="D68" s="10" t="s">
        <v>838</v>
      </c>
      <c r="E68" s="10" t="s">
        <v>839</v>
      </c>
      <c r="F68" s="10"/>
      <c r="G68" s="10"/>
      <c r="H68" s="55" t="n">
        <v>10</v>
      </c>
      <c r="I68" s="56" t="n">
        <f aca="false">IF(H68="","",H68*(C68-B68+1))</f>
        <v>10</v>
      </c>
      <c r="J68" s="10" t="s">
        <v>631</v>
      </c>
      <c r="K68" s="10" t="s">
        <v>201</v>
      </c>
      <c r="L68" s="10" t="s">
        <v>840</v>
      </c>
      <c r="M68" s="57" t="s">
        <v>841</v>
      </c>
    </row>
    <row r="69" customFormat="false" ht="14.25" hidden="false" customHeight="false" outlineLevel="0" collapsed="false">
      <c r="A69" s="10" t="s">
        <v>842</v>
      </c>
      <c r="B69" s="54" t="n">
        <v>1904</v>
      </c>
      <c r="C69" s="54" t="n">
        <v>1905</v>
      </c>
      <c r="D69" s="10" t="s">
        <v>843</v>
      </c>
      <c r="E69" s="10" t="s">
        <v>684</v>
      </c>
      <c r="F69" s="10" t="s">
        <v>696</v>
      </c>
      <c r="G69" s="10" t="s">
        <v>41</v>
      </c>
      <c r="H69" s="55" t="n">
        <v>30</v>
      </c>
      <c r="I69" s="56" t="n">
        <f aca="false">IF(H69="","",H69*(C69-B69+1))</f>
        <v>60</v>
      </c>
      <c r="J69" s="10" t="s">
        <v>631</v>
      </c>
      <c r="K69" s="10" t="s">
        <v>224</v>
      </c>
      <c r="L69" s="10" t="s">
        <v>844</v>
      </c>
      <c r="M69" s="57" t="s">
        <v>845</v>
      </c>
    </row>
    <row r="70" customFormat="false" ht="14.25" hidden="false" customHeight="false" outlineLevel="0" collapsed="false">
      <c r="A70" s="10" t="s">
        <v>846</v>
      </c>
      <c r="B70" s="54" t="n">
        <v>1904</v>
      </c>
      <c r="C70" s="54" t="n">
        <v>1905</v>
      </c>
      <c r="D70" s="10" t="s">
        <v>847</v>
      </c>
      <c r="E70" s="10" t="s">
        <v>640</v>
      </c>
      <c r="F70" s="10"/>
      <c r="G70" s="10"/>
      <c r="H70" s="55" t="n">
        <v>3</v>
      </c>
      <c r="I70" s="56" t="n">
        <f aca="false">IF(H70="","",H70*(C70-B70+1))</f>
        <v>6</v>
      </c>
      <c r="J70" s="10" t="s">
        <v>631</v>
      </c>
      <c r="K70" s="10" t="s">
        <v>201</v>
      </c>
      <c r="L70" s="10" t="s">
        <v>844</v>
      </c>
      <c r="M70" s="57"/>
    </row>
    <row r="71" customFormat="false" ht="14.25" hidden="false" customHeight="false" outlineLevel="0" collapsed="false">
      <c r="A71" s="10" t="s">
        <v>848</v>
      </c>
      <c r="B71" s="54" t="n">
        <v>1911</v>
      </c>
      <c r="C71" s="54" t="n">
        <v>1913</v>
      </c>
      <c r="D71" s="10" t="s">
        <v>849</v>
      </c>
      <c r="E71" s="10" t="s">
        <v>659</v>
      </c>
      <c r="F71" s="10"/>
      <c r="G71" s="10" t="s">
        <v>705</v>
      </c>
      <c r="H71" s="55" t="n">
        <v>2</v>
      </c>
      <c r="I71" s="56" t="n">
        <f aca="false">IF(H71="","",H71*(C71-B71+1))</f>
        <v>6</v>
      </c>
      <c r="J71" s="10" t="s">
        <v>631</v>
      </c>
      <c r="K71" s="10" t="s">
        <v>248</v>
      </c>
      <c r="L71" s="10" t="s">
        <v>850</v>
      </c>
      <c r="M71" s="57" t="s">
        <v>201</v>
      </c>
    </row>
    <row r="72" customFormat="false" ht="14.25" hidden="false" customHeight="false" outlineLevel="0" collapsed="false">
      <c r="A72" s="10" t="s">
        <v>851</v>
      </c>
      <c r="B72" s="54" t="n">
        <v>1914</v>
      </c>
      <c r="C72" s="54" t="n">
        <v>1914</v>
      </c>
      <c r="D72" s="10" t="s">
        <v>852</v>
      </c>
      <c r="E72" s="10" t="s">
        <v>640</v>
      </c>
      <c r="F72" s="10"/>
      <c r="G72" s="10" t="s">
        <v>55</v>
      </c>
      <c r="H72" s="55" t="n">
        <v>25</v>
      </c>
      <c r="I72" s="56" t="n">
        <f aca="false">IF(H72="","",H72*(C72-B72+1))</f>
        <v>25</v>
      </c>
      <c r="J72" s="10" t="s">
        <v>631</v>
      </c>
      <c r="K72" s="10" t="s">
        <v>248</v>
      </c>
      <c r="L72" s="10" t="s">
        <v>853</v>
      </c>
      <c r="M72" s="57" t="s">
        <v>201</v>
      </c>
    </row>
    <row r="73" customFormat="false" ht="14.25" hidden="false" customHeight="false" outlineLevel="0" collapsed="false">
      <c r="A73" s="10" t="s">
        <v>854</v>
      </c>
      <c r="B73" s="54" t="n">
        <v>1915</v>
      </c>
      <c r="C73" s="54" t="n">
        <v>1918</v>
      </c>
      <c r="D73" s="10" t="s">
        <v>855</v>
      </c>
      <c r="E73" s="10" t="s">
        <v>640</v>
      </c>
      <c r="F73" s="10"/>
      <c r="G73" s="10"/>
      <c r="H73" s="55" t="n">
        <v>40</v>
      </c>
      <c r="I73" s="56" t="n">
        <f aca="false">IF(H73="","",H73*(C73-B73+1))</f>
        <v>160</v>
      </c>
      <c r="J73" s="10" t="s">
        <v>631</v>
      </c>
      <c r="K73" s="10" t="s">
        <v>248</v>
      </c>
      <c r="L73" s="10" t="s">
        <v>856</v>
      </c>
      <c r="M73" s="57" t="s">
        <v>857</v>
      </c>
    </row>
    <row r="74" customFormat="false" ht="14.25" hidden="false" customHeight="false" outlineLevel="0" collapsed="false">
      <c r="A74" s="10" t="s">
        <v>858</v>
      </c>
      <c r="B74" s="54" t="n">
        <v>1915</v>
      </c>
      <c r="C74" s="54" t="n">
        <v>1918</v>
      </c>
      <c r="D74" s="10" t="s">
        <v>859</v>
      </c>
      <c r="E74" s="10" t="s">
        <v>732</v>
      </c>
      <c r="F74" s="10"/>
      <c r="G74" s="10" t="s">
        <v>860</v>
      </c>
      <c r="H74" s="55" t="n">
        <v>25</v>
      </c>
      <c r="I74" s="56" t="n">
        <f aca="false">IF(H74="","",H74*(C74-B74+1))</f>
        <v>100</v>
      </c>
      <c r="J74" s="10" t="s">
        <v>631</v>
      </c>
      <c r="K74" s="10" t="s">
        <v>248</v>
      </c>
      <c r="L74" s="10" t="s">
        <v>856</v>
      </c>
      <c r="M74" s="57" t="s">
        <v>861</v>
      </c>
    </row>
    <row r="75" customFormat="false" ht="14.25" hidden="false" customHeight="false" outlineLevel="0" collapsed="false">
      <c r="A75" s="10" t="s">
        <v>862</v>
      </c>
      <c r="B75" s="54" t="n">
        <v>1914</v>
      </c>
      <c r="C75" s="54" t="n">
        <v>1914</v>
      </c>
      <c r="D75" s="10" t="s">
        <v>863</v>
      </c>
      <c r="E75" s="10" t="s">
        <v>684</v>
      </c>
      <c r="F75" s="10" t="s">
        <v>719</v>
      </c>
      <c r="G75" s="10" t="s">
        <v>864</v>
      </c>
      <c r="H75" s="55" t="n">
        <f aca="false">entente_total*entente_public*0.05</f>
        <v>85</v>
      </c>
      <c r="I75" s="56" t="n">
        <f aca="false">IF(H75="","",H75*(C75-B75+1))</f>
        <v>85</v>
      </c>
      <c r="J75" s="10" t="s">
        <v>631</v>
      </c>
      <c r="K75" s="10" t="s">
        <v>248</v>
      </c>
      <c r="L75" s="10" t="s">
        <v>856</v>
      </c>
      <c r="M75" s="57" t="s">
        <v>865</v>
      </c>
    </row>
    <row r="76" customFormat="false" ht="14.25" hidden="false" customHeight="false" outlineLevel="0" collapsed="false">
      <c r="A76" s="10" t="s">
        <v>866</v>
      </c>
      <c r="B76" s="54" t="n">
        <v>1915</v>
      </c>
      <c r="C76" s="54" t="n">
        <v>1915</v>
      </c>
      <c r="D76" s="10" t="s">
        <v>867</v>
      </c>
      <c r="E76" s="10" t="s">
        <v>684</v>
      </c>
      <c r="F76" s="10" t="s">
        <v>719</v>
      </c>
      <c r="G76" s="10" t="s">
        <v>864</v>
      </c>
      <c r="H76" s="55" t="n">
        <f aca="false">entente_total*entente_public*0.1333</f>
        <v>226.61</v>
      </c>
      <c r="I76" s="56" t="n">
        <f aca="false">IF(H76="","",H76*(C76-B76+1))</f>
        <v>226.61</v>
      </c>
      <c r="J76" s="10" t="s">
        <v>631</v>
      </c>
      <c r="K76" s="10" t="s">
        <v>248</v>
      </c>
      <c r="L76" s="10" t="s">
        <v>856</v>
      </c>
      <c r="M76" s="57" t="s">
        <v>865</v>
      </c>
    </row>
    <row r="77" customFormat="false" ht="14.25" hidden="false" customHeight="false" outlineLevel="0" collapsed="false">
      <c r="A77" s="10" t="s">
        <v>868</v>
      </c>
      <c r="B77" s="54" t="n">
        <v>1916</v>
      </c>
      <c r="C77" s="54" t="n">
        <v>1916</v>
      </c>
      <c r="D77" s="10" t="s">
        <v>869</v>
      </c>
      <c r="E77" s="10" t="s">
        <v>684</v>
      </c>
      <c r="F77" s="10" t="s">
        <v>719</v>
      </c>
      <c r="G77" s="10" t="s">
        <v>864</v>
      </c>
      <c r="H77" s="55" t="n">
        <f aca="false">entente_total*entente_public*0.2333</f>
        <v>396.61</v>
      </c>
      <c r="I77" s="56" t="n">
        <f aca="false">IF(H77="","",H77*(C77-B77+1))</f>
        <v>396.61</v>
      </c>
      <c r="J77" s="10" t="s">
        <v>631</v>
      </c>
      <c r="K77" s="10" t="s">
        <v>248</v>
      </c>
      <c r="L77" s="10" t="s">
        <v>856</v>
      </c>
      <c r="M77" s="57" t="s">
        <v>865</v>
      </c>
    </row>
    <row r="78" customFormat="false" ht="14.25" hidden="false" customHeight="false" outlineLevel="0" collapsed="false">
      <c r="A78" s="10" t="s">
        <v>870</v>
      </c>
      <c r="B78" s="54" t="n">
        <v>1917</v>
      </c>
      <c r="C78" s="54" t="n">
        <v>1917</v>
      </c>
      <c r="D78" s="10" t="s">
        <v>871</v>
      </c>
      <c r="E78" s="10" t="s">
        <v>684</v>
      </c>
      <c r="F78" s="10" t="s">
        <v>719</v>
      </c>
      <c r="G78" s="10" t="s">
        <v>864</v>
      </c>
      <c r="H78" s="55" t="n">
        <f aca="false">entente_total*entente_public*0.3</f>
        <v>510</v>
      </c>
      <c r="I78" s="56" t="n">
        <f aca="false">IF(H78="","",H78*(C78-B78+1))</f>
        <v>510</v>
      </c>
      <c r="J78" s="10" t="s">
        <v>631</v>
      </c>
      <c r="K78" s="10" t="s">
        <v>248</v>
      </c>
      <c r="L78" s="10" t="s">
        <v>856</v>
      </c>
      <c r="M78" s="57" t="s">
        <v>865</v>
      </c>
    </row>
    <row r="79" customFormat="false" ht="14.25" hidden="false" customHeight="false" outlineLevel="0" collapsed="false">
      <c r="A79" s="10" t="s">
        <v>872</v>
      </c>
      <c r="B79" s="54" t="n">
        <v>1918</v>
      </c>
      <c r="C79" s="54" t="n">
        <v>1918</v>
      </c>
      <c r="D79" s="10" t="s">
        <v>873</v>
      </c>
      <c r="E79" s="10" t="s">
        <v>684</v>
      </c>
      <c r="F79" s="10" t="s">
        <v>719</v>
      </c>
      <c r="G79" s="10" t="s">
        <v>864</v>
      </c>
      <c r="H79" s="55" t="n">
        <f aca="false">entente_total*entente_public*0.2834</f>
        <v>481.78</v>
      </c>
      <c r="I79" s="56" t="n">
        <f aca="false">IF(H79="","",H79*(C79-B79+1))</f>
        <v>481.78</v>
      </c>
      <c r="J79" s="10" t="s">
        <v>631</v>
      </c>
      <c r="K79" s="10" t="s">
        <v>248</v>
      </c>
      <c r="L79" s="10" t="s">
        <v>856</v>
      </c>
      <c r="M79" s="57" t="s">
        <v>865</v>
      </c>
    </row>
    <row r="80" customFormat="false" ht="14.25" hidden="false" customHeight="false" outlineLevel="0" collapsed="false">
      <c r="A80" s="10" t="s">
        <v>874</v>
      </c>
      <c r="B80" s="54" t="n">
        <v>1918</v>
      </c>
      <c r="C80" s="54" t="n">
        <v>1919</v>
      </c>
      <c r="D80" s="10" t="s">
        <v>875</v>
      </c>
      <c r="E80" s="10" t="s">
        <v>732</v>
      </c>
      <c r="F80" s="10"/>
      <c r="G80" s="10" t="s">
        <v>55</v>
      </c>
      <c r="H80" s="55" t="n">
        <v>60</v>
      </c>
      <c r="I80" s="56" t="n">
        <f aca="false">IF(H80="","",H80*(C80-B80+1))</f>
        <v>120</v>
      </c>
      <c r="J80" s="10" t="s">
        <v>631</v>
      </c>
      <c r="K80" s="10" t="s">
        <v>248</v>
      </c>
      <c r="L80" s="10" t="s">
        <v>856</v>
      </c>
      <c r="M80" s="57" t="s">
        <v>201</v>
      </c>
    </row>
    <row r="81" customFormat="false" ht="14.25" hidden="false" customHeight="false" outlineLevel="0" collapsed="false">
      <c r="A81" s="10" t="s">
        <v>876</v>
      </c>
      <c r="B81" s="54" t="n">
        <v>1918</v>
      </c>
      <c r="C81" s="54" t="n">
        <v>1918</v>
      </c>
      <c r="D81" s="10" t="s">
        <v>877</v>
      </c>
      <c r="E81" s="10" t="s">
        <v>640</v>
      </c>
      <c r="F81" s="10"/>
      <c r="G81" s="10" t="s">
        <v>878</v>
      </c>
      <c r="H81" s="55" t="n">
        <f aca="false">Siberia!B38</f>
        <v>81.1657876216949</v>
      </c>
      <c r="I81" s="56" t="n">
        <f aca="false">IF(H81="","",H81*(C81-B81+1))</f>
        <v>81.1657876216949</v>
      </c>
      <c r="J81" s="10" t="s">
        <v>631</v>
      </c>
      <c r="K81" s="10" t="s">
        <v>224</v>
      </c>
      <c r="L81" s="10" t="s">
        <v>879</v>
      </c>
      <c r="M81" s="57" t="s">
        <v>880</v>
      </c>
    </row>
    <row r="82" customFormat="false" ht="14.25" hidden="false" customHeight="false" outlineLevel="0" collapsed="false">
      <c r="A82" s="10" t="s">
        <v>881</v>
      </c>
      <c r="B82" s="54" t="n">
        <v>1918</v>
      </c>
      <c r="C82" s="54" t="n">
        <v>1922</v>
      </c>
      <c r="D82" s="10" t="s">
        <v>882</v>
      </c>
      <c r="E82" s="10" t="s">
        <v>684</v>
      </c>
      <c r="F82" s="10" t="s">
        <v>696</v>
      </c>
      <c r="G82" s="10" t="s">
        <v>883</v>
      </c>
      <c r="H82" s="55" t="n">
        <v>17</v>
      </c>
      <c r="I82" s="56" t="n">
        <f aca="false">IF(H82="","",H82*(C82-B82+1))</f>
        <v>85</v>
      </c>
      <c r="J82" s="10" t="s">
        <v>631</v>
      </c>
      <c r="K82" s="10" t="s">
        <v>248</v>
      </c>
      <c r="L82" s="10" t="s">
        <v>879</v>
      </c>
      <c r="M82" s="57" t="s">
        <v>884</v>
      </c>
    </row>
    <row r="83" customFormat="false" ht="14.25" hidden="false" customHeight="false" outlineLevel="0" collapsed="false">
      <c r="A83" s="10" t="s">
        <v>885</v>
      </c>
      <c r="B83" s="54" t="n">
        <v>1919</v>
      </c>
      <c r="C83" s="54" t="n">
        <v>1919</v>
      </c>
      <c r="D83" s="10" t="s">
        <v>886</v>
      </c>
      <c r="E83" s="10" t="s">
        <v>636</v>
      </c>
      <c r="F83" s="10"/>
      <c r="G83" s="10"/>
      <c r="H83" s="55" t="n">
        <v>1</v>
      </c>
      <c r="I83" s="56" t="n">
        <f aca="false">IF(H83="","",H83*(C83-B83+1))</f>
        <v>1</v>
      </c>
      <c r="J83" s="10" t="s">
        <v>631</v>
      </c>
      <c r="K83" s="10" t="s">
        <v>248</v>
      </c>
      <c r="L83" s="10" t="s">
        <v>856</v>
      </c>
      <c r="M83" s="57" t="s">
        <v>201</v>
      </c>
    </row>
    <row r="84" customFormat="false" ht="14.25" hidden="false" customHeight="false" outlineLevel="0" collapsed="false">
      <c r="A84" s="10" t="s">
        <v>887</v>
      </c>
      <c r="B84" s="54" t="n">
        <v>1922</v>
      </c>
      <c r="C84" s="54" t="n">
        <v>1932</v>
      </c>
      <c r="D84" s="10" t="s">
        <v>888</v>
      </c>
      <c r="E84" s="10" t="s">
        <v>889</v>
      </c>
      <c r="F84" s="10"/>
      <c r="G84" s="10" t="s">
        <v>878</v>
      </c>
      <c r="H84" s="55" t="n">
        <v>3</v>
      </c>
      <c r="I84" s="56" t="n">
        <f aca="false">IF(H84="","",H84*(C84-B84+1))</f>
        <v>33</v>
      </c>
      <c r="J84" s="10" t="s">
        <v>631</v>
      </c>
      <c r="K84" s="10" t="s">
        <v>248</v>
      </c>
      <c r="L84" s="10" t="s">
        <v>890</v>
      </c>
      <c r="M84" s="57" t="s">
        <v>201</v>
      </c>
    </row>
    <row r="85" customFormat="false" ht="14.25" hidden="false" customHeight="false" outlineLevel="0" collapsed="false">
      <c r="A85" s="10" t="s">
        <v>891</v>
      </c>
      <c r="B85" s="54" t="n">
        <v>1849</v>
      </c>
      <c r="C85" s="54" t="n">
        <v>1932</v>
      </c>
      <c r="D85" s="10" t="s">
        <v>892</v>
      </c>
      <c r="E85" s="10" t="s">
        <v>889</v>
      </c>
      <c r="F85" s="10"/>
      <c r="G85" s="10"/>
      <c r="H85" s="55" t="n">
        <v>1</v>
      </c>
      <c r="I85" s="56" t="n">
        <f aca="false">IF(H85="","",H85*(C85-B85+1))</f>
        <v>84</v>
      </c>
      <c r="J85" s="10" t="s">
        <v>631</v>
      </c>
      <c r="K85" s="10" t="s">
        <v>224</v>
      </c>
      <c r="L85" s="10" t="s">
        <v>637</v>
      </c>
      <c r="M85" s="57" t="s">
        <v>893</v>
      </c>
    </row>
    <row r="86" customFormat="false" ht="14.25" hidden="false" customHeight="false" outlineLevel="0" collapsed="false">
      <c r="A86" s="10" t="s">
        <v>894</v>
      </c>
      <c r="B86" s="54" t="n">
        <v>1885</v>
      </c>
      <c r="C86" s="54" t="n">
        <v>1928</v>
      </c>
      <c r="D86" s="10" t="s">
        <v>895</v>
      </c>
      <c r="E86" s="10" t="s">
        <v>889</v>
      </c>
      <c r="F86" s="10"/>
      <c r="G86" s="10" t="s">
        <v>705</v>
      </c>
      <c r="H86" s="55" t="n">
        <v>0.05</v>
      </c>
      <c r="I86" s="56" t="n">
        <f aca="false">IF(H86="","",H86*(C86-B86+1))</f>
        <v>2.2</v>
      </c>
      <c r="J86" s="10" t="s">
        <v>631</v>
      </c>
      <c r="K86" s="10" t="s">
        <v>224</v>
      </c>
      <c r="L86" s="10" t="s">
        <v>741</v>
      </c>
      <c r="M86" s="57" t="s">
        <v>805</v>
      </c>
    </row>
    <row r="87" customFormat="false" ht="14.25" hidden="false" customHeight="false" outlineLevel="0" collapsed="false">
      <c r="A87" s="10" t="s">
        <v>896</v>
      </c>
      <c r="B87" s="54" t="n">
        <v>1923</v>
      </c>
      <c r="C87" s="54" t="n">
        <v>1923</v>
      </c>
      <c r="D87" s="10" t="s">
        <v>897</v>
      </c>
      <c r="E87" s="10" t="s">
        <v>640</v>
      </c>
      <c r="F87" s="10"/>
      <c r="G87" s="10" t="s">
        <v>878</v>
      </c>
      <c r="H87" s="55" t="n">
        <f aca="false">Siberia!B43</f>
        <v>43.0642683096106</v>
      </c>
      <c r="I87" s="56" t="n">
        <f aca="false">IF(H87="","",H87*(C87-B87+1))</f>
        <v>43.0642683096106</v>
      </c>
      <c r="J87" s="10" t="s">
        <v>631</v>
      </c>
      <c r="K87" s="10" t="s">
        <v>248</v>
      </c>
      <c r="L87" s="10" t="s">
        <v>890</v>
      </c>
      <c r="M87" s="57" t="s">
        <v>898</v>
      </c>
    </row>
    <row r="88" customFormat="false" ht="14.25" hidden="false" customHeight="false" outlineLevel="0" collapsed="false">
      <c r="A88" s="10" t="s">
        <v>899</v>
      </c>
      <c r="B88" s="54" t="n">
        <v>1923</v>
      </c>
      <c r="C88" s="54" t="n">
        <v>1923</v>
      </c>
      <c r="D88" s="10" t="s">
        <v>900</v>
      </c>
      <c r="E88" s="10" t="s">
        <v>684</v>
      </c>
      <c r="F88" s="10" t="s">
        <v>696</v>
      </c>
      <c r="G88" s="10" t="s">
        <v>41</v>
      </c>
      <c r="H88" s="55" t="n">
        <v>50</v>
      </c>
      <c r="I88" s="56" t="n">
        <f aca="false">IF(H88="","",H88*(C88-B88+1))</f>
        <v>50</v>
      </c>
      <c r="J88" s="10" t="s">
        <v>631</v>
      </c>
      <c r="K88" s="10" t="s">
        <v>224</v>
      </c>
      <c r="L88" s="10" t="s">
        <v>901</v>
      </c>
      <c r="M88" s="57" t="s">
        <v>902</v>
      </c>
    </row>
    <row r="89" customFormat="false" ht="14.25" hidden="false" customHeight="false" outlineLevel="0" collapsed="false">
      <c r="A89" s="10" t="s">
        <v>903</v>
      </c>
      <c r="B89" s="54" t="n">
        <v>1924</v>
      </c>
      <c r="C89" s="54" t="n">
        <v>1928</v>
      </c>
      <c r="D89" s="10" t="s">
        <v>904</v>
      </c>
      <c r="E89" s="10" t="s">
        <v>659</v>
      </c>
      <c r="F89" s="10"/>
      <c r="G89" s="10" t="s">
        <v>705</v>
      </c>
      <c r="H89" s="55" t="n">
        <v>2</v>
      </c>
      <c r="I89" s="56" t="n">
        <f aca="false">IF(H89="","",H89*(C89-B89+1))</f>
        <v>10</v>
      </c>
      <c r="J89" s="10" t="s">
        <v>631</v>
      </c>
      <c r="K89" s="10" t="s">
        <v>248</v>
      </c>
      <c r="L89" s="10" t="s">
        <v>901</v>
      </c>
      <c r="M89" s="57" t="s">
        <v>201</v>
      </c>
    </row>
    <row r="90" customFormat="false" ht="14.25" hidden="false" customHeight="false" outlineLevel="0" collapsed="false">
      <c r="A90" s="10" t="s">
        <v>905</v>
      </c>
      <c r="B90" s="54" t="n">
        <v>1927</v>
      </c>
      <c r="C90" s="54" t="n">
        <v>1927</v>
      </c>
      <c r="D90" s="10" t="s">
        <v>906</v>
      </c>
      <c r="E90" s="10" t="s">
        <v>907</v>
      </c>
      <c r="F90" s="10" t="s">
        <v>696</v>
      </c>
      <c r="G90" s="10" t="s">
        <v>41</v>
      </c>
      <c r="H90" s="55" t="n">
        <f aca="false">'Japan rescue'!E46*'Japan rescue'!E47</f>
        <v>200</v>
      </c>
      <c r="I90" s="56" t="n">
        <f aca="false">IF(H90="","",H90*(C90-B90+1))</f>
        <v>200</v>
      </c>
      <c r="J90" s="10" t="s">
        <v>631</v>
      </c>
      <c r="K90" s="10" t="s">
        <v>224</v>
      </c>
      <c r="L90" s="10" t="s">
        <v>901</v>
      </c>
      <c r="M90" s="57" t="s">
        <v>908</v>
      </c>
    </row>
    <row r="91" customFormat="false" ht="14.25" hidden="false" customHeight="false" outlineLevel="0" collapsed="false">
      <c r="A91" s="10" t="s">
        <v>909</v>
      </c>
      <c r="B91" s="54" t="n">
        <v>1927</v>
      </c>
      <c r="C91" s="54" t="n">
        <v>1932</v>
      </c>
      <c r="D91" s="10" t="s">
        <v>910</v>
      </c>
      <c r="E91" s="10" t="s">
        <v>636</v>
      </c>
      <c r="F91" s="10"/>
      <c r="G91" s="10" t="s">
        <v>41</v>
      </c>
      <c r="H91" s="55" t="n">
        <f aca="false">10*pac_quota</f>
        <v>6.5</v>
      </c>
      <c r="I91" s="56" t="n">
        <f aca="false">IF(H91="","",H91*(C91-B91+1))</f>
        <v>39</v>
      </c>
      <c r="J91" s="10" t="s">
        <v>631</v>
      </c>
      <c r="K91" s="10" t="s">
        <v>248</v>
      </c>
      <c r="L91" s="10" t="s">
        <v>901</v>
      </c>
      <c r="M91" s="57" t="s">
        <v>911</v>
      </c>
    </row>
    <row r="92" customFormat="false" ht="14.25" hidden="false" customHeight="false" outlineLevel="0" collapsed="false">
      <c r="A92" s="10" t="s">
        <v>912</v>
      </c>
      <c r="B92" s="54" t="n">
        <v>1929</v>
      </c>
      <c r="C92" s="54" t="n">
        <v>1929</v>
      </c>
      <c r="D92" s="10" t="s">
        <v>913</v>
      </c>
      <c r="E92" s="10" t="s">
        <v>640</v>
      </c>
      <c r="F92" s="10"/>
      <c r="G92" s="10" t="s">
        <v>914</v>
      </c>
      <c r="H92" s="55" t="n">
        <v>10</v>
      </c>
      <c r="I92" s="56" t="n">
        <f aca="false">IF(H92="","",H92*(C92-B92+1))</f>
        <v>10</v>
      </c>
      <c r="J92" s="10" t="s">
        <v>631</v>
      </c>
      <c r="K92" s="10" t="s">
        <v>248</v>
      </c>
      <c r="L92" s="10" t="s">
        <v>901</v>
      </c>
      <c r="M92" s="57" t="s">
        <v>201</v>
      </c>
    </row>
    <row r="93" customFormat="false" ht="14.25" hidden="false" customHeight="false" outlineLevel="0" collapsed="false">
      <c r="A93" s="10" t="s">
        <v>915</v>
      </c>
      <c r="B93" s="54" t="n">
        <v>1931</v>
      </c>
      <c r="C93" s="54" t="n">
        <v>1931</v>
      </c>
      <c r="D93" s="10" t="s">
        <v>916</v>
      </c>
      <c r="E93" s="10" t="s">
        <v>640</v>
      </c>
      <c r="F93" s="10"/>
      <c r="G93" s="10" t="s">
        <v>41</v>
      </c>
      <c r="H93" s="55" t="n">
        <v>5</v>
      </c>
      <c r="I93" s="56" t="n">
        <f aca="false">IF(H93="","",H93*(C93-B93+1))</f>
        <v>5</v>
      </c>
      <c r="J93" s="10" t="s">
        <v>631</v>
      </c>
      <c r="K93" s="10" t="s">
        <v>224</v>
      </c>
      <c r="L93" s="10" t="s">
        <v>917</v>
      </c>
      <c r="M93" s="57" t="s">
        <v>201</v>
      </c>
    </row>
    <row r="94" customFormat="false" ht="14.25" hidden="false" customHeight="false" outlineLevel="0" collapsed="false">
      <c r="A94" s="10" t="s">
        <v>918</v>
      </c>
      <c r="B94" s="54" t="n">
        <v>1931</v>
      </c>
      <c r="C94" s="54" t="n">
        <v>1931</v>
      </c>
      <c r="D94" s="10" t="s">
        <v>919</v>
      </c>
      <c r="E94" s="10" t="s">
        <v>684</v>
      </c>
      <c r="F94" s="10" t="s">
        <v>920</v>
      </c>
      <c r="G94" s="10" t="s">
        <v>668</v>
      </c>
      <c r="H94" s="55" t="n">
        <f aca="false">union_rescue*0.6</f>
        <v>240</v>
      </c>
      <c r="I94" s="56" t="n">
        <f aca="false">IF(H94="","",H94*(C94-B94+1))</f>
        <v>240</v>
      </c>
      <c r="J94" s="10" t="s">
        <v>669</v>
      </c>
      <c r="K94" s="10" t="s">
        <v>224</v>
      </c>
      <c r="L94" s="10" t="s">
        <v>840</v>
      </c>
      <c r="M94" s="57" t="s">
        <v>921</v>
      </c>
    </row>
    <row r="95" customFormat="false" ht="14.25" hidden="false" customHeight="false" outlineLevel="0" collapsed="false">
      <c r="A95" s="10" t="s">
        <v>922</v>
      </c>
      <c r="B95" s="54" t="n">
        <v>1932</v>
      </c>
      <c r="C95" s="54" t="n">
        <v>1932</v>
      </c>
      <c r="D95" s="10" t="s">
        <v>923</v>
      </c>
      <c r="E95" s="10" t="s">
        <v>684</v>
      </c>
      <c r="F95" s="10" t="s">
        <v>920</v>
      </c>
      <c r="G95" s="10" t="s">
        <v>668</v>
      </c>
      <c r="H95" s="55" t="n">
        <f aca="false">union_rescue*0.4</f>
        <v>160</v>
      </c>
      <c r="I95" s="56" t="n">
        <f aca="false">IF(H95="","",H95*(C95-B95+1))</f>
        <v>160</v>
      </c>
      <c r="J95" s="10" t="s">
        <v>669</v>
      </c>
      <c r="K95" s="10" t="s">
        <v>224</v>
      </c>
      <c r="L95" s="10" t="s">
        <v>840</v>
      </c>
      <c r="M95" s="57" t="s">
        <v>921</v>
      </c>
    </row>
    <row r="96" customFormat="false" ht="14.25" hidden="false" customHeight="false" outlineLevel="0" collapsed="false">
      <c r="A96" s="10" t="s">
        <v>924</v>
      </c>
      <c r="B96" s="54" t="n">
        <v>1931</v>
      </c>
      <c r="C96" s="54" t="n">
        <v>1932</v>
      </c>
      <c r="D96" s="10" t="s">
        <v>925</v>
      </c>
      <c r="E96" s="10" t="s">
        <v>839</v>
      </c>
      <c r="F96" s="10"/>
      <c r="G96" s="10"/>
      <c r="H96" s="55" t="n">
        <f aca="false">bank_recap/2</f>
        <v>75</v>
      </c>
      <c r="I96" s="56" t="n">
        <f aca="false">IF(H96="","",H96*(C96-B96+1))</f>
        <v>150</v>
      </c>
      <c r="J96" s="10" t="s">
        <v>631</v>
      </c>
      <c r="K96" s="10" t="s">
        <v>248</v>
      </c>
      <c r="L96" s="10" t="s">
        <v>840</v>
      </c>
      <c r="M96" s="57" t="s">
        <v>201</v>
      </c>
    </row>
    <row r="97" customFormat="false" ht="14.25" hidden="false" customHeight="false" outlineLevel="0" collapsed="false">
      <c r="A97" s="10" t="s">
        <v>926</v>
      </c>
      <c r="B97" s="54" t="n">
        <v>1932</v>
      </c>
      <c r="C97" s="54" t="n">
        <v>1932</v>
      </c>
      <c r="D97" s="10" t="s">
        <v>927</v>
      </c>
      <c r="E97" s="10" t="s">
        <v>636</v>
      </c>
      <c r="F97" s="10"/>
      <c r="G97" s="10"/>
      <c r="H97" s="55" t="n">
        <v>1</v>
      </c>
      <c r="I97" s="56" t="n">
        <f aca="false">IF(H97="","",H97*(C97-B97+1))</f>
        <v>1</v>
      </c>
      <c r="J97" s="10" t="s">
        <v>631</v>
      </c>
      <c r="K97" s="10" t="s">
        <v>248</v>
      </c>
      <c r="L97" s="10" t="s">
        <v>928</v>
      </c>
      <c r="M97" s="57" t="s">
        <v>201</v>
      </c>
    </row>
    <row r="98" customFormat="false" ht="14.25" hidden="false" customHeight="false" outlineLevel="0" collapsed="false">
      <c r="A98" s="10" t="s">
        <v>929</v>
      </c>
      <c r="B98" s="54" t="n">
        <v>1919</v>
      </c>
      <c r="C98" s="54" t="n">
        <v>1923</v>
      </c>
      <c r="D98" s="10" t="s">
        <v>930</v>
      </c>
      <c r="E98" s="10" t="s">
        <v>636</v>
      </c>
      <c r="F98" s="10"/>
      <c r="G98" s="10"/>
      <c r="H98" s="55" t="n">
        <v>1.8</v>
      </c>
      <c r="I98" s="56" t="n">
        <f aca="false">IF(H98="","",H98*(C98-B98+1))</f>
        <v>9</v>
      </c>
      <c r="J98" s="10" t="s">
        <v>631</v>
      </c>
      <c r="K98" s="10" t="s">
        <v>303</v>
      </c>
      <c r="L98" s="10" t="s">
        <v>931</v>
      </c>
      <c r="M98" s="57" t="s">
        <v>932</v>
      </c>
    </row>
    <row r="99" customFormat="false" ht="14.25" hidden="false" customHeight="false" outlineLevel="0" collapsed="false">
      <c r="A99" s="10" t="s">
        <v>933</v>
      </c>
      <c r="B99" s="54" t="n">
        <v>1876</v>
      </c>
      <c r="C99" s="54" t="n">
        <v>1882</v>
      </c>
      <c r="D99" s="10" t="s">
        <v>934</v>
      </c>
      <c r="E99" s="10" t="s">
        <v>795</v>
      </c>
      <c r="F99" s="10"/>
      <c r="G99" s="10"/>
      <c r="H99" s="55" t="n">
        <v>1</v>
      </c>
      <c r="I99" s="56" t="n">
        <f aca="false">IF(H99="","",H99*(C99-B99+1))</f>
        <v>7</v>
      </c>
      <c r="J99" s="10" t="s">
        <v>631</v>
      </c>
      <c r="K99" s="10" t="s">
        <v>248</v>
      </c>
      <c r="L99" s="10" t="s">
        <v>935</v>
      </c>
      <c r="M99" s="57" t="s">
        <v>936</v>
      </c>
    </row>
    <row r="100" customFormat="false" ht="14.25" hidden="false" customHeight="false" outlineLevel="0" collapsed="false">
      <c r="A100" s="10" t="s">
        <v>937</v>
      </c>
      <c r="B100" s="54" t="n">
        <v>1923</v>
      </c>
      <c r="C100" s="54" t="n">
        <v>1932</v>
      </c>
      <c r="D100" s="10" t="s">
        <v>938</v>
      </c>
      <c r="E100" s="10" t="s">
        <v>636</v>
      </c>
      <c r="F100" s="10"/>
      <c r="G100" s="10"/>
      <c r="H100" s="55" t="n">
        <v>1</v>
      </c>
      <c r="I100" s="56" t="n">
        <f aca="false">IF(H100="","",H100*(C100-B100+1))</f>
        <v>10</v>
      </c>
      <c r="J100" s="10" t="s">
        <v>631</v>
      </c>
      <c r="K100" s="10" t="s">
        <v>248</v>
      </c>
      <c r="L100" s="10" t="s">
        <v>931</v>
      </c>
      <c r="M100" s="57" t="s">
        <v>201</v>
      </c>
    </row>
    <row r="101" customFormat="false" ht="14.25" hidden="false" customHeight="false" outlineLevel="0" collapsed="false">
      <c r="A101" s="10" t="s">
        <v>939</v>
      </c>
      <c r="B101" s="54" t="n">
        <v>1928</v>
      </c>
      <c r="C101" s="54" t="n">
        <v>1932</v>
      </c>
      <c r="D101" s="10" t="s">
        <v>940</v>
      </c>
      <c r="E101" s="10" t="s">
        <v>636</v>
      </c>
      <c r="F101" s="10"/>
      <c r="G101" s="10"/>
      <c r="H101" s="55" t="n">
        <v>20</v>
      </c>
      <c r="I101" s="56" t="n">
        <f aca="false">IF(H101="","",H101*(C101-B101+1))</f>
        <v>100</v>
      </c>
      <c r="J101" s="10" t="s">
        <v>631</v>
      </c>
      <c r="K101" s="10" t="s">
        <v>248</v>
      </c>
      <c r="L101" s="10" t="s">
        <v>931</v>
      </c>
      <c r="M101" s="57" t="s">
        <v>941</v>
      </c>
    </row>
    <row r="102" customFormat="false" ht="14.25" hidden="false" customHeight="false" outlineLevel="0" collapsed="false">
      <c r="A102" s="10" t="s">
        <v>942</v>
      </c>
      <c r="B102" s="54" t="n">
        <v>1928</v>
      </c>
      <c r="C102" s="54" t="n">
        <v>1932</v>
      </c>
      <c r="D102" s="10" t="s">
        <v>943</v>
      </c>
      <c r="E102" s="10" t="s">
        <v>889</v>
      </c>
      <c r="F102" s="10"/>
      <c r="G102" s="10"/>
      <c r="H102" s="55" t="n">
        <v>7</v>
      </c>
      <c r="I102" s="56" t="n">
        <f aca="false">IF(H102="","",H102*(C102-B102+1))</f>
        <v>35</v>
      </c>
      <c r="J102" s="10" t="s">
        <v>631</v>
      </c>
      <c r="K102" s="10" t="s">
        <v>248</v>
      </c>
      <c r="L102" s="10" t="s">
        <v>944</v>
      </c>
      <c r="M102" s="57" t="s">
        <v>945</v>
      </c>
    </row>
    <row r="103" customFormat="false" ht="14.25" hidden="false" customHeight="false" outlineLevel="0" collapsed="false">
      <c r="A103" s="10" t="s">
        <v>946</v>
      </c>
      <c r="B103" s="54" t="n">
        <v>1932</v>
      </c>
      <c r="C103" s="54" t="n">
        <v>1932</v>
      </c>
      <c r="D103" s="10" t="s">
        <v>947</v>
      </c>
      <c r="E103" s="10" t="s">
        <v>636</v>
      </c>
      <c r="F103" s="10"/>
      <c r="G103" s="10"/>
      <c r="H103" s="55" t="n">
        <v>3</v>
      </c>
      <c r="I103" s="56" t="n">
        <f aca="false">IF(H103="","",H103*(C103-B103+1))</f>
        <v>3</v>
      </c>
      <c r="J103" s="10" t="s">
        <v>631</v>
      </c>
      <c r="K103" s="10" t="s">
        <v>248</v>
      </c>
      <c r="L103" s="10" t="s">
        <v>931</v>
      </c>
      <c r="M103" s="57" t="s">
        <v>201</v>
      </c>
    </row>
    <row r="104" customFormat="false" ht="14.25" hidden="false" customHeight="false" outlineLevel="0" collapsed="false">
      <c r="A104" s="10" t="s">
        <v>948</v>
      </c>
      <c r="B104" s="54" t="n">
        <v>1931</v>
      </c>
      <c r="C104" s="54" t="n">
        <v>1932</v>
      </c>
      <c r="D104" s="10" t="s">
        <v>949</v>
      </c>
      <c r="E104" s="10" t="s">
        <v>636</v>
      </c>
      <c r="F104" s="10"/>
      <c r="G104" s="10" t="s">
        <v>950</v>
      </c>
      <c r="H104" s="55" t="n">
        <f aca="false">0.5*oil_compact</f>
        <v>0.5</v>
      </c>
      <c r="I104" s="56" t="n">
        <f aca="false">IF(H104="","",H104*(C104-B104+1))</f>
        <v>1</v>
      </c>
      <c r="J104" s="10" t="s">
        <v>631</v>
      </c>
      <c r="K104" s="10" t="s">
        <v>248</v>
      </c>
      <c r="L104" s="10" t="s">
        <v>951</v>
      </c>
      <c r="M104" s="57" t="s">
        <v>952</v>
      </c>
    </row>
    <row r="105" customFormat="false" ht="14.25" hidden="false" customHeight="false" outlineLevel="0" collapsed="false">
      <c r="A105" s="10" t="s">
        <v>953</v>
      </c>
      <c r="B105" s="54" t="n">
        <v>1895</v>
      </c>
      <c r="C105" s="54" t="n">
        <v>1928</v>
      </c>
      <c r="D105" s="10" t="s">
        <v>954</v>
      </c>
      <c r="E105" s="10" t="s">
        <v>889</v>
      </c>
      <c r="F105" s="10"/>
      <c r="G105" s="10" t="s">
        <v>705</v>
      </c>
      <c r="H105" s="55" t="n">
        <v>0.5</v>
      </c>
      <c r="I105" s="56" t="n">
        <f aca="false">IF(H105="","",H105*(C105-B105+1))</f>
        <v>17</v>
      </c>
      <c r="J105" s="10" t="s">
        <v>631</v>
      </c>
      <c r="K105" s="10" t="s">
        <v>303</v>
      </c>
      <c r="L105" s="10" t="s">
        <v>955</v>
      </c>
      <c r="M105" s="57" t="s">
        <v>956</v>
      </c>
    </row>
    <row r="106" customFormat="false" ht="14.25" hidden="false" customHeight="false" outlineLevel="0" collapsed="false">
      <c r="A106" s="10" t="s">
        <v>957</v>
      </c>
      <c r="B106" s="54" t="n">
        <v>1875</v>
      </c>
      <c r="C106" s="54" t="n">
        <v>1885</v>
      </c>
      <c r="D106" s="10" t="s">
        <v>958</v>
      </c>
      <c r="E106" s="10" t="s">
        <v>795</v>
      </c>
      <c r="F106" s="10"/>
      <c r="G106" s="10"/>
      <c r="H106" s="55" t="n">
        <v>1.2</v>
      </c>
      <c r="I106" s="56" t="n">
        <f aca="false">IF(H106="","",H106*(C106-B106+1))</f>
        <v>13.2</v>
      </c>
      <c r="J106" s="10" t="s">
        <v>631</v>
      </c>
      <c r="K106" s="10" t="s">
        <v>248</v>
      </c>
      <c r="L106" s="10" t="s">
        <v>935</v>
      </c>
      <c r="M106" s="57" t="s">
        <v>959</v>
      </c>
    </row>
    <row r="107" customFormat="false" ht="14.25" hidden="false" customHeight="false" outlineLevel="0" collapsed="false">
      <c r="A107" s="10" t="s">
        <v>960</v>
      </c>
      <c r="B107" s="54" t="n">
        <v>1878</v>
      </c>
      <c r="C107" s="54" t="n">
        <v>1879</v>
      </c>
      <c r="D107" s="10" t="s">
        <v>961</v>
      </c>
      <c r="E107" s="10" t="s">
        <v>795</v>
      </c>
      <c r="F107" s="10"/>
      <c r="G107" s="10"/>
      <c r="H107" s="55" t="n">
        <v>2.5</v>
      </c>
      <c r="I107" s="56" t="n">
        <f aca="false">IF(H107="","",H107*(C107-B107+1))</f>
        <v>5</v>
      </c>
      <c r="J107" s="10" t="s">
        <v>631</v>
      </c>
      <c r="K107" s="10" t="s">
        <v>248</v>
      </c>
      <c r="L107" s="10" t="s">
        <v>935</v>
      </c>
      <c r="M107" s="57" t="s">
        <v>962</v>
      </c>
    </row>
    <row r="108" customFormat="false" ht="14.25" hidden="false" customHeight="false" outlineLevel="0" collapsed="false">
      <c r="A108" s="10" t="s">
        <v>963</v>
      </c>
      <c r="B108" s="54" t="n">
        <v>1880</v>
      </c>
      <c r="C108" s="54" t="n">
        <v>1881</v>
      </c>
      <c r="D108" s="10" t="s">
        <v>964</v>
      </c>
      <c r="E108" s="10" t="s">
        <v>795</v>
      </c>
      <c r="F108" s="10"/>
      <c r="G108" s="10"/>
      <c r="H108" s="55" t="n">
        <v>0.3</v>
      </c>
      <c r="I108" s="56" t="n">
        <f aca="false">IF(H108="","",H108*(C108-B108+1))</f>
        <v>0.6</v>
      </c>
      <c r="J108" s="10" t="s">
        <v>631</v>
      </c>
      <c r="K108" s="10" t="s">
        <v>248</v>
      </c>
      <c r="L108" s="10" t="s">
        <v>935</v>
      </c>
      <c r="M108" s="57" t="s">
        <v>201</v>
      </c>
    </row>
    <row r="109" customFormat="false" ht="14.25" hidden="false" customHeight="false" outlineLevel="0" collapsed="false">
      <c r="A109" s="10" t="s">
        <v>965</v>
      </c>
      <c r="B109" s="54" t="n">
        <v>1876</v>
      </c>
      <c r="C109" s="54" t="n">
        <v>1886</v>
      </c>
      <c r="D109" s="10" t="s">
        <v>966</v>
      </c>
      <c r="E109" s="10" t="s">
        <v>636</v>
      </c>
      <c r="F109" s="10"/>
      <c r="G109" s="10"/>
      <c r="H109" s="55" t="n">
        <v>2</v>
      </c>
      <c r="I109" s="56" t="n">
        <f aca="false">IF(H109="","",H109*(C109-B109+1))</f>
        <v>22</v>
      </c>
      <c r="J109" s="10" t="s">
        <v>631</v>
      </c>
      <c r="K109" s="10" t="s">
        <v>248</v>
      </c>
      <c r="L109" s="10" t="s">
        <v>935</v>
      </c>
      <c r="M109" s="57" t="s">
        <v>967</v>
      </c>
    </row>
    <row r="110" customFormat="false" ht="14.25" hidden="false" customHeight="false" outlineLevel="0" collapsed="false">
      <c r="A110" s="10" t="s">
        <v>968</v>
      </c>
      <c r="B110" s="54" t="n">
        <v>1887</v>
      </c>
      <c r="C110" s="54" t="n">
        <v>1905</v>
      </c>
      <c r="D110" s="10" t="s">
        <v>969</v>
      </c>
      <c r="E110" s="10" t="s">
        <v>636</v>
      </c>
      <c r="F110" s="10"/>
      <c r="G110" s="10"/>
      <c r="H110" s="55" t="n">
        <v>1.6</v>
      </c>
      <c r="I110" s="56" t="n">
        <f aca="false">IF(H110="","",H110*(C110-B110+1))</f>
        <v>30.4</v>
      </c>
      <c r="J110" s="10" t="s">
        <v>631</v>
      </c>
      <c r="K110" s="10" t="s">
        <v>248</v>
      </c>
      <c r="L110" s="10" t="s">
        <v>935</v>
      </c>
      <c r="M110" s="57" t="s">
        <v>970</v>
      </c>
    </row>
    <row r="111" customFormat="false" ht="14.25" hidden="false" customHeight="false" outlineLevel="0" collapsed="false">
      <c r="A111" s="10" t="s">
        <v>971</v>
      </c>
      <c r="B111" s="54" t="n">
        <v>1906</v>
      </c>
      <c r="C111" s="54" t="n">
        <v>1927</v>
      </c>
      <c r="D111" s="10" t="s">
        <v>972</v>
      </c>
      <c r="E111" s="10" t="s">
        <v>636</v>
      </c>
      <c r="F111" s="10"/>
      <c r="G111" s="10"/>
      <c r="H111" s="55" t="n">
        <v>3.2</v>
      </c>
      <c r="I111" s="56" t="n">
        <f aca="false">IF(H111="","",H111*(C111-B111+1))</f>
        <v>70.4</v>
      </c>
      <c r="J111" s="10" t="s">
        <v>631</v>
      </c>
      <c r="K111" s="10" t="s">
        <v>248</v>
      </c>
      <c r="L111" s="10" t="s">
        <v>935</v>
      </c>
      <c r="M111" s="57" t="s">
        <v>973</v>
      </c>
    </row>
    <row r="112" customFormat="false" ht="14.25" hidden="false" customHeight="false" outlineLevel="0" collapsed="false">
      <c r="A112" s="10" t="s">
        <v>974</v>
      </c>
      <c r="B112" s="54" t="n">
        <v>1885</v>
      </c>
      <c r="C112" s="54" t="n">
        <v>1910</v>
      </c>
      <c r="D112" s="10" t="s">
        <v>975</v>
      </c>
      <c r="E112" s="10" t="s">
        <v>636</v>
      </c>
      <c r="F112" s="10"/>
      <c r="G112" s="10"/>
      <c r="H112" s="55" t="n">
        <v>0.8</v>
      </c>
      <c r="I112" s="56" t="n">
        <f aca="false">IF(H112="","",H112*(C112-B112+1))</f>
        <v>20.8</v>
      </c>
      <c r="J112" s="10" t="s">
        <v>631</v>
      </c>
      <c r="K112" s="10" t="s">
        <v>248</v>
      </c>
      <c r="L112" s="10" t="s">
        <v>935</v>
      </c>
      <c r="M112" s="57" t="s">
        <v>976</v>
      </c>
    </row>
    <row r="113" customFormat="false" ht="14.25" hidden="false" customHeight="false" outlineLevel="0" collapsed="false">
      <c r="A113" s="10" t="s">
        <v>977</v>
      </c>
      <c r="B113" s="54" t="n">
        <v>1911</v>
      </c>
      <c r="C113" s="54" t="n">
        <v>1932</v>
      </c>
      <c r="D113" s="10" t="s">
        <v>975</v>
      </c>
      <c r="E113" s="10" t="s">
        <v>636</v>
      </c>
      <c r="F113" s="10"/>
      <c r="G113" s="10"/>
      <c r="H113" s="55" t="n">
        <v>2.5</v>
      </c>
      <c r="I113" s="56" t="n">
        <f aca="false">IF(H113="","",H113*(C113-B113+1))</f>
        <v>55</v>
      </c>
      <c r="J113" s="10" t="s">
        <v>631</v>
      </c>
      <c r="K113" s="10" t="s">
        <v>248</v>
      </c>
      <c r="L113" s="10" t="s">
        <v>935</v>
      </c>
      <c r="M113" s="57" t="s">
        <v>978</v>
      </c>
    </row>
    <row r="114" customFormat="false" ht="14.25" hidden="false" customHeight="false" outlineLevel="0" collapsed="false">
      <c r="A114" s="10" t="s">
        <v>979</v>
      </c>
      <c r="B114" s="54" t="n">
        <v>1914</v>
      </c>
      <c r="C114" s="54" t="n">
        <v>1932</v>
      </c>
      <c r="D114" s="10" t="s">
        <v>980</v>
      </c>
      <c r="E114" s="10" t="s">
        <v>636</v>
      </c>
      <c r="F114" s="10"/>
      <c r="G114" s="10"/>
      <c r="H114" s="55" t="n">
        <v>0.3</v>
      </c>
      <c r="I114" s="56" t="n">
        <f aca="false">IF(H114="","",H114*(C114-B114+1))</f>
        <v>5.7</v>
      </c>
      <c r="J114" s="10" t="s">
        <v>631</v>
      </c>
      <c r="K114" s="10" t="s">
        <v>248</v>
      </c>
      <c r="L114" s="10" t="s">
        <v>981</v>
      </c>
      <c r="M114" s="57" t="s">
        <v>201</v>
      </c>
    </row>
    <row r="115" customFormat="false" ht="14.25" hidden="false" customHeight="false" outlineLevel="0" collapsed="false">
      <c r="A115" s="10" t="s">
        <v>982</v>
      </c>
      <c r="B115" s="54" t="n">
        <v>1927</v>
      </c>
      <c r="C115" s="54" t="n">
        <v>1932</v>
      </c>
      <c r="D115" s="10" t="s">
        <v>983</v>
      </c>
      <c r="E115" s="10" t="s">
        <v>659</v>
      </c>
      <c r="F115" s="10"/>
      <c r="G115" s="10"/>
      <c r="H115" s="55" t="n">
        <v>0.5</v>
      </c>
      <c r="I115" s="56" t="n">
        <f aca="false">IF(H115="","",H115*(C115-B115+1))</f>
        <v>3</v>
      </c>
      <c r="J115" s="10" t="s">
        <v>631</v>
      </c>
      <c r="K115" s="10" t="s">
        <v>248</v>
      </c>
      <c r="L115" s="10" t="s">
        <v>984</v>
      </c>
      <c r="M115" s="57" t="s">
        <v>201</v>
      </c>
    </row>
    <row r="116" customFormat="false" ht="14.25" hidden="false" customHeight="false" outlineLevel="0" collapsed="false">
      <c r="A116" s="10" t="s">
        <v>985</v>
      </c>
      <c r="B116" s="54" t="n">
        <v>1906</v>
      </c>
      <c r="C116" s="54" t="n">
        <v>1932</v>
      </c>
      <c r="D116" s="10" t="s">
        <v>986</v>
      </c>
      <c r="E116" s="10" t="s">
        <v>795</v>
      </c>
      <c r="F116" s="10"/>
      <c r="G116" s="10" t="s">
        <v>705</v>
      </c>
      <c r="H116" s="55" t="n">
        <v>1.2</v>
      </c>
      <c r="I116" s="56" t="n">
        <f aca="false">IF(H116="","",H116*(C116-B116+1))</f>
        <v>32.4</v>
      </c>
      <c r="J116" s="10" t="s">
        <v>631</v>
      </c>
      <c r="K116" s="10" t="s">
        <v>248</v>
      </c>
      <c r="L116" s="10" t="s">
        <v>987</v>
      </c>
      <c r="M116" s="57" t="s">
        <v>988</v>
      </c>
    </row>
    <row r="117" customFormat="false" ht="14.25" hidden="false" customHeight="false" outlineLevel="0" collapsed="false">
      <c r="A117" s="10" t="s">
        <v>989</v>
      </c>
      <c r="B117" s="54" t="n">
        <v>1928</v>
      </c>
      <c r="C117" s="54" t="n">
        <v>1932</v>
      </c>
      <c r="D117" s="10" t="s">
        <v>990</v>
      </c>
      <c r="E117" s="10" t="s">
        <v>636</v>
      </c>
      <c r="F117" s="10"/>
      <c r="G117" s="10" t="s">
        <v>41</v>
      </c>
      <c r="H117" s="55" t="n">
        <v>0.2</v>
      </c>
      <c r="I117" s="56" t="n">
        <f aca="false">IF(H117="","",H117*(C117-B117+1))</f>
        <v>1</v>
      </c>
      <c r="J117" s="10" t="s">
        <v>631</v>
      </c>
      <c r="K117" s="10" t="s">
        <v>248</v>
      </c>
      <c r="L117" s="10" t="s">
        <v>987</v>
      </c>
      <c r="M117" s="57" t="s">
        <v>991</v>
      </c>
    </row>
    <row r="118" customFormat="false" ht="14.25" hidden="false" customHeight="false" outlineLevel="0" collapsed="false">
      <c r="A118" s="10" t="s">
        <v>992</v>
      </c>
      <c r="B118" s="54" t="n">
        <v>1929</v>
      </c>
      <c r="C118" s="54" t="n">
        <v>1932</v>
      </c>
      <c r="D118" s="10" t="s">
        <v>993</v>
      </c>
      <c r="E118" s="10" t="s">
        <v>889</v>
      </c>
      <c r="F118" s="10"/>
      <c r="G118" s="10" t="s">
        <v>705</v>
      </c>
      <c r="H118" s="55" t="n">
        <f aca="false">0.5*pac_quota</f>
        <v>0.325</v>
      </c>
      <c r="I118" s="56" t="n">
        <f aca="false">IF(H118="","",H118*(C118-B118+1))</f>
        <v>1.3</v>
      </c>
      <c r="J118" s="10" t="s">
        <v>631</v>
      </c>
      <c r="K118" s="10" t="s">
        <v>303</v>
      </c>
      <c r="L118" s="10" t="s">
        <v>994</v>
      </c>
      <c r="M118" s="57" t="s">
        <v>995</v>
      </c>
    </row>
    <row r="119" customFormat="false" ht="14.25" hidden="false" customHeight="false" outlineLevel="0" collapsed="false">
      <c r="A119" s="10" t="s">
        <v>996</v>
      </c>
      <c r="B119" s="54" t="n">
        <v>1873</v>
      </c>
      <c r="C119" s="54" t="n">
        <v>1876</v>
      </c>
      <c r="D119" s="10" t="s">
        <v>997</v>
      </c>
      <c r="E119" s="10" t="s">
        <v>640</v>
      </c>
      <c r="F119" s="10"/>
      <c r="G119" s="10" t="s">
        <v>709</v>
      </c>
      <c r="H119" s="55" t="n">
        <v>0.5</v>
      </c>
      <c r="I119" s="56" t="n">
        <f aca="false">IF(H119="","",H119*(C119-B119+1))</f>
        <v>2</v>
      </c>
      <c r="J119" s="10" t="s">
        <v>631</v>
      </c>
      <c r="K119" s="10" t="s">
        <v>303</v>
      </c>
      <c r="L119" s="10" t="s">
        <v>998</v>
      </c>
      <c r="M119" s="57" t="s">
        <v>999</v>
      </c>
    </row>
    <row r="120" customFormat="false" ht="14.25" hidden="false" customHeight="false" outlineLevel="0" collapsed="false">
      <c r="A120" s="10" t="s">
        <v>1000</v>
      </c>
      <c r="B120" s="54" t="n">
        <v>1876</v>
      </c>
      <c r="C120" s="54" t="n">
        <v>1876</v>
      </c>
      <c r="D120" s="10" t="s">
        <v>1001</v>
      </c>
      <c r="E120" s="10" t="s">
        <v>684</v>
      </c>
      <c r="F120" s="10" t="s">
        <v>719</v>
      </c>
      <c r="G120" s="10" t="s">
        <v>709</v>
      </c>
      <c r="H120" s="55" t="n">
        <v>-5.733</v>
      </c>
      <c r="I120" s="56" t="n">
        <f aca="false">IF(H120="","",H120*(C120-B120+1))</f>
        <v>-5.733</v>
      </c>
      <c r="J120" s="10" t="s">
        <v>631</v>
      </c>
      <c r="K120" s="10" t="s">
        <v>303</v>
      </c>
      <c r="L120" s="10" t="s">
        <v>1002</v>
      </c>
      <c r="M120" s="57" t="s">
        <v>1003</v>
      </c>
    </row>
    <row r="121" customFormat="false" ht="14.25" hidden="false" customHeight="false" outlineLevel="0" collapsed="false">
      <c r="A121" s="10" t="s">
        <v>1004</v>
      </c>
      <c r="B121" s="54" t="n">
        <v>1876</v>
      </c>
      <c r="C121" s="54" t="n">
        <v>1876</v>
      </c>
      <c r="D121" s="10" t="s">
        <v>1005</v>
      </c>
      <c r="E121" s="10" t="s">
        <v>667</v>
      </c>
      <c r="F121" s="10"/>
      <c r="G121" s="10" t="s">
        <v>709</v>
      </c>
      <c r="H121" s="55" t="n">
        <v>0</v>
      </c>
      <c r="I121" s="56" t="n">
        <f aca="false">IF(H121="","",H121*(C121-B121+1))</f>
        <v>0</v>
      </c>
      <c r="J121" s="10" t="s">
        <v>631</v>
      </c>
      <c r="K121" s="10" t="s">
        <v>303</v>
      </c>
      <c r="L121" s="10" t="s">
        <v>1002</v>
      </c>
      <c r="M121" s="57" t="s">
        <v>1006</v>
      </c>
    </row>
    <row r="122" customFormat="false" ht="14.25" hidden="false" customHeight="false" outlineLevel="0" collapsed="false">
      <c r="A122" s="10" t="s">
        <v>1007</v>
      </c>
      <c r="B122" s="54" t="n">
        <v>1876</v>
      </c>
      <c r="C122" s="54" t="n">
        <v>1878</v>
      </c>
      <c r="D122" s="10" t="s">
        <v>1008</v>
      </c>
      <c r="E122" s="10" t="s">
        <v>640</v>
      </c>
      <c r="F122" s="10"/>
      <c r="G122" s="10" t="s">
        <v>1009</v>
      </c>
      <c r="H122" s="55" t="n">
        <v>0.5</v>
      </c>
      <c r="I122" s="56" t="n">
        <f aca="false">IF(H122="","",H122*(C122-B122+1))</f>
        <v>1.5</v>
      </c>
      <c r="J122" s="10" t="s">
        <v>631</v>
      </c>
      <c r="K122" s="10" t="s">
        <v>303</v>
      </c>
      <c r="L122" s="10" t="s">
        <v>1010</v>
      </c>
      <c r="M122" s="57" t="s">
        <v>201</v>
      </c>
    </row>
    <row r="123" customFormat="false" ht="14.25" hidden="false" customHeight="false" outlineLevel="0" collapsed="false">
      <c r="A123" s="10" t="s">
        <v>1011</v>
      </c>
      <c r="B123" s="54" t="n">
        <v>1878</v>
      </c>
      <c r="C123" s="54" t="n">
        <v>1932</v>
      </c>
      <c r="D123" s="10" t="s">
        <v>1012</v>
      </c>
      <c r="E123" s="10" t="s">
        <v>659</v>
      </c>
      <c r="F123" s="10"/>
      <c r="G123" s="10" t="s">
        <v>1009</v>
      </c>
      <c r="H123" s="55" t="n">
        <v>0.05</v>
      </c>
      <c r="I123" s="56" t="n">
        <f aca="false">IF(H123="","",H123*(C123-B123+1))</f>
        <v>2.75</v>
      </c>
      <c r="J123" s="10" t="s">
        <v>631</v>
      </c>
      <c r="K123" s="10" t="s">
        <v>303</v>
      </c>
      <c r="L123" s="10" t="s">
        <v>1013</v>
      </c>
      <c r="M123" s="57" t="s">
        <v>1014</v>
      </c>
    </row>
    <row r="124" customFormat="false" ht="14.25" hidden="false" customHeight="false" outlineLevel="0" collapsed="false">
      <c r="A124" s="10" t="s">
        <v>1015</v>
      </c>
      <c r="B124" s="54" t="n">
        <v>1877</v>
      </c>
      <c r="C124" s="54" t="n">
        <v>1886</v>
      </c>
      <c r="D124" s="10" t="s">
        <v>1016</v>
      </c>
      <c r="E124" s="10" t="s">
        <v>636</v>
      </c>
      <c r="F124" s="10"/>
      <c r="G124" s="10" t="s">
        <v>174</v>
      </c>
      <c r="H124" s="55" t="n">
        <v>0.4</v>
      </c>
      <c r="I124" s="56" t="n">
        <f aca="false">IF(H124="","",H124*(C124-B124+1))</f>
        <v>4</v>
      </c>
      <c r="J124" s="10" t="s">
        <v>631</v>
      </c>
      <c r="K124" s="10" t="s">
        <v>303</v>
      </c>
      <c r="L124" s="10" t="s">
        <v>1017</v>
      </c>
      <c r="M124" s="57" t="s">
        <v>1018</v>
      </c>
    </row>
    <row r="125" customFormat="false" ht="14.25" hidden="false" customHeight="false" outlineLevel="0" collapsed="false">
      <c r="A125" s="10" t="s">
        <v>1019</v>
      </c>
      <c r="B125" s="54" t="n">
        <v>1906</v>
      </c>
      <c r="C125" s="54" t="n">
        <v>1913</v>
      </c>
      <c r="D125" s="10" t="s">
        <v>1020</v>
      </c>
      <c r="E125" s="10" t="s">
        <v>636</v>
      </c>
      <c r="F125" s="10"/>
      <c r="G125" s="10" t="s">
        <v>174</v>
      </c>
      <c r="H125" s="55" t="n">
        <v>1</v>
      </c>
      <c r="I125" s="56" t="n">
        <f aca="false">IF(H125="","",H125*(C125-B125+1))</f>
        <v>8</v>
      </c>
      <c r="J125" s="10" t="s">
        <v>631</v>
      </c>
      <c r="K125" s="10" t="s">
        <v>303</v>
      </c>
      <c r="L125" s="10" t="s">
        <v>1017</v>
      </c>
      <c r="M125" s="57" t="s">
        <v>201</v>
      </c>
    </row>
    <row r="126" customFormat="false" ht="14.25" hidden="false" customHeight="false" outlineLevel="0" collapsed="false">
      <c r="A126" s="10" t="s">
        <v>1021</v>
      </c>
      <c r="B126" s="54" t="n">
        <v>1876</v>
      </c>
      <c r="C126" s="54" t="n">
        <v>1926</v>
      </c>
      <c r="D126" s="10" t="s">
        <v>1022</v>
      </c>
      <c r="E126" s="10" t="s">
        <v>636</v>
      </c>
      <c r="F126" s="10"/>
      <c r="G126" s="10"/>
      <c r="H126" s="55" t="n">
        <v>0.15</v>
      </c>
      <c r="I126" s="56" t="n">
        <f aca="false">IF(H126="","",H126*(C126-B126+1))</f>
        <v>7.65</v>
      </c>
      <c r="J126" s="10" t="s">
        <v>631</v>
      </c>
      <c r="K126" s="10" t="s">
        <v>303</v>
      </c>
      <c r="L126" s="10" t="s">
        <v>1023</v>
      </c>
      <c r="M126" s="57" t="s">
        <v>1024</v>
      </c>
    </row>
    <row r="127" customFormat="false" ht="14.25" hidden="false" customHeight="false" outlineLevel="0" collapsed="false">
      <c r="A127" s="10" t="s">
        <v>1025</v>
      </c>
      <c r="B127" s="54" t="n">
        <v>1927</v>
      </c>
      <c r="C127" s="54" t="n">
        <v>1932</v>
      </c>
      <c r="D127" s="10" t="s">
        <v>1026</v>
      </c>
      <c r="E127" s="10" t="s">
        <v>636</v>
      </c>
      <c r="F127" s="10"/>
      <c r="G127" s="10"/>
      <c r="H127" s="55" t="n">
        <v>0.15</v>
      </c>
      <c r="I127" s="56" t="n">
        <f aca="false">IF(H127="","",H127*(C127-B127+1))</f>
        <v>0.9</v>
      </c>
      <c r="J127" s="10" t="s">
        <v>631</v>
      </c>
      <c r="K127" s="10" t="s">
        <v>303</v>
      </c>
      <c r="L127" s="10" t="s">
        <v>1027</v>
      </c>
      <c r="M127" s="57" t="s">
        <v>1028</v>
      </c>
    </row>
    <row r="128" customFormat="false" ht="14.25" hidden="false" customHeight="false" outlineLevel="0" collapsed="false">
      <c r="A128" s="10" t="s">
        <v>1029</v>
      </c>
      <c r="B128" s="54" t="n">
        <v>1880</v>
      </c>
      <c r="C128" s="54" t="n">
        <v>1889</v>
      </c>
      <c r="D128" s="10" t="s">
        <v>1030</v>
      </c>
      <c r="E128" s="10" t="s">
        <v>684</v>
      </c>
      <c r="F128" s="10" t="s">
        <v>696</v>
      </c>
      <c r="G128" s="10" t="s">
        <v>174</v>
      </c>
      <c r="H128" s="55" t="n">
        <v>0</v>
      </c>
      <c r="I128" s="56" t="n">
        <f aca="false">IF(H128="","",H128*(C128-B128+1))</f>
        <v>0</v>
      </c>
      <c r="J128" s="10" t="s">
        <v>631</v>
      </c>
      <c r="K128" s="10" t="s">
        <v>303</v>
      </c>
      <c r="L128" s="10" t="s">
        <v>1031</v>
      </c>
      <c r="M128" s="57" t="s">
        <v>1032</v>
      </c>
    </row>
    <row r="129" customFormat="false" ht="14.25" hidden="false" customHeight="false" outlineLevel="0" collapsed="false">
      <c r="A129" s="10" t="s">
        <v>1033</v>
      </c>
      <c r="B129" s="54" t="n">
        <v>1883</v>
      </c>
      <c r="C129" s="54" t="n">
        <v>1890</v>
      </c>
      <c r="D129" s="10" t="s">
        <v>1034</v>
      </c>
      <c r="E129" s="10" t="s">
        <v>684</v>
      </c>
      <c r="F129" s="10" t="s">
        <v>696</v>
      </c>
      <c r="G129" s="10" t="s">
        <v>174</v>
      </c>
      <c r="H129" s="55" t="n">
        <v>0</v>
      </c>
      <c r="I129" s="56" t="n">
        <f aca="false">IF(H129="","",H129*(C129-B129+1))</f>
        <v>0</v>
      </c>
      <c r="J129" s="10" t="s">
        <v>631</v>
      </c>
      <c r="K129" s="10" t="s">
        <v>303</v>
      </c>
      <c r="L129" s="10" t="s">
        <v>1035</v>
      </c>
      <c r="M129" s="57" t="s">
        <v>1032</v>
      </c>
    </row>
    <row r="130" customFormat="false" ht="14.25" hidden="false" customHeight="false" outlineLevel="0" collapsed="false">
      <c r="A130" s="10" t="s">
        <v>1036</v>
      </c>
      <c r="B130" s="54" t="n">
        <v>1883</v>
      </c>
      <c r="C130" s="54" t="n">
        <v>1932</v>
      </c>
      <c r="D130" s="10" t="s">
        <v>1037</v>
      </c>
      <c r="E130" s="10" t="s">
        <v>636</v>
      </c>
      <c r="F130" s="10"/>
      <c r="G130" s="10" t="s">
        <v>174</v>
      </c>
      <c r="H130" s="55" t="n">
        <v>0.08</v>
      </c>
      <c r="I130" s="56" t="n">
        <f aca="false">IF(H130="","",H130*(C130-B130+1))</f>
        <v>4</v>
      </c>
      <c r="J130" s="10" t="s">
        <v>631</v>
      </c>
      <c r="K130" s="10" t="s">
        <v>303</v>
      </c>
      <c r="L130" s="10" t="s">
        <v>1035</v>
      </c>
      <c r="M130" s="57" t="s">
        <v>1038</v>
      </c>
    </row>
    <row r="131" customFormat="false" ht="14.25" hidden="false" customHeight="false" outlineLevel="0" collapsed="false">
      <c r="A131" s="10" t="s">
        <v>1039</v>
      </c>
      <c r="B131" s="54" t="n">
        <v>1886</v>
      </c>
      <c r="C131" s="54" t="n">
        <v>1886</v>
      </c>
      <c r="D131" s="10" t="s">
        <v>1040</v>
      </c>
      <c r="E131" s="10" t="s">
        <v>684</v>
      </c>
      <c r="F131" s="10" t="s">
        <v>696</v>
      </c>
      <c r="G131" s="10" t="s">
        <v>174</v>
      </c>
      <c r="H131" s="55" t="n">
        <v>0</v>
      </c>
      <c r="I131" s="56" t="n">
        <f aca="false">IF(H131="","",H131*(C131-B131+1))</f>
        <v>0</v>
      </c>
      <c r="J131" s="10" t="s">
        <v>669</v>
      </c>
      <c r="K131" s="10" t="s">
        <v>248</v>
      </c>
      <c r="L131" s="10" t="s">
        <v>1041</v>
      </c>
      <c r="M131" s="57" t="s">
        <v>1042</v>
      </c>
    </row>
    <row r="132" customFormat="false" ht="14.25" hidden="false" customHeight="false" outlineLevel="0" collapsed="false">
      <c r="A132" s="10" t="s">
        <v>1043</v>
      </c>
      <c r="B132" s="54" t="n">
        <v>1878</v>
      </c>
      <c r="C132" s="54" t="n">
        <v>1878</v>
      </c>
      <c r="D132" s="10" t="s">
        <v>1044</v>
      </c>
      <c r="E132" s="10" t="s">
        <v>667</v>
      </c>
      <c r="F132" s="10"/>
      <c r="G132" s="10" t="s">
        <v>1009</v>
      </c>
      <c r="H132" s="55" t="n">
        <v>0.3</v>
      </c>
      <c r="I132" s="56" t="n">
        <f aca="false">IF(H132="","",H132*(C132-B132+1))</f>
        <v>0.3</v>
      </c>
      <c r="J132" s="10" t="s">
        <v>631</v>
      </c>
      <c r="K132" s="10" t="s">
        <v>303</v>
      </c>
      <c r="L132" s="10" t="s">
        <v>1045</v>
      </c>
      <c r="M132" s="57" t="s">
        <v>1046</v>
      </c>
    </row>
    <row r="133" customFormat="false" ht="14.25" hidden="false" customHeight="false" outlineLevel="0" collapsed="false">
      <c r="A133" s="10" t="s">
        <v>1047</v>
      </c>
      <c r="B133" s="54" t="n">
        <v>1892</v>
      </c>
      <c r="C133" s="54" t="n">
        <v>1893</v>
      </c>
      <c r="D133" s="10" t="s">
        <v>1048</v>
      </c>
      <c r="E133" s="10" t="s">
        <v>636</v>
      </c>
      <c r="F133" s="10"/>
      <c r="G133" s="10" t="s">
        <v>174</v>
      </c>
      <c r="H133" s="55" t="n">
        <v>0.15</v>
      </c>
      <c r="I133" s="56" t="n">
        <f aca="false">IF(H133="","",H133*(C133-B133+1))</f>
        <v>0.3</v>
      </c>
      <c r="J133" s="10" t="s">
        <v>631</v>
      </c>
      <c r="K133" s="10" t="s">
        <v>303</v>
      </c>
      <c r="L133" s="10" t="s">
        <v>1049</v>
      </c>
      <c r="M133" s="57" t="s">
        <v>201</v>
      </c>
    </row>
    <row r="134" customFormat="false" ht="14.25" hidden="false" customHeight="false" outlineLevel="0" collapsed="false">
      <c r="A134" s="10" t="s">
        <v>1050</v>
      </c>
      <c r="B134" s="54" t="n">
        <v>1896</v>
      </c>
      <c r="C134" s="54" t="n">
        <v>1896</v>
      </c>
      <c r="D134" s="10" t="s">
        <v>1051</v>
      </c>
      <c r="E134" s="10" t="s">
        <v>640</v>
      </c>
      <c r="F134" s="10"/>
      <c r="G134" s="10" t="s">
        <v>174</v>
      </c>
      <c r="H134" s="55" t="n">
        <v>2</v>
      </c>
      <c r="I134" s="56" t="n">
        <f aca="false">IF(H134="","",H134*(C134-B134+1))</f>
        <v>2</v>
      </c>
      <c r="J134" s="10" t="s">
        <v>631</v>
      </c>
      <c r="K134" s="10" t="s">
        <v>303</v>
      </c>
      <c r="L134" s="10" t="s">
        <v>1052</v>
      </c>
      <c r="M134" s="57" t="s">
        <v>201</v>
      </c>
    </row>
    <row r="135" customFormat="false" ht="14.25" hidden="false" customHeight="false" outlineLevel="0" collapsed="false">
      <c r="A135" s="10" t="s">
        <v>1053</v>
      </c>
      <c r="B135" s="54" t="n">
        <v>1897</v>
      </c>
      <c r="C135" s="54" t="n">
        <v>1897</v>
      </c>
      <c r="D135" s="10" t="s">
        <v>1054</v>
      </c>
      <c r="E135" s="10" t="s">
        <v>640</v>
      </c>
      <c r="F135" s="10"/>
      <c r="G135" s="10" t="s">
        <v>41</v>
      </c>
      <c r="H135" s="55" t="n">
        <v>0.1</v>
      </c>
      <c r="I135" s="56" t="n">
        <f aca="false">IF(H135="","",H135*(C135-B135+1))</f>
        <v>0.1</v>
      </c>
      <c r="J135" s="10" t="s">
        <v>631</v>
      </c>
      <c r="K135" s="10" t="s">
        <v>303</v>
      </c>
      <c r="L135" s="10" t="s">
        <v>1055</v>
      </c>
      <c r="M135" s="57" t="s">
        <v>201</v>
      </c>
    </row>
    <row r="136" customFormat="false" ht="14.25" hidden="false" customHeight="false" outlineLevel="0" collapsed="false">
      <c r="A136" s="10" t="s">
        <v>1056</v>
      </c>
      <c r="B136" s="54" t="n">
        <v>1878</v>
      </c>
      <c r="C136" s="54" t="n">
        <v>1888</v>
      </c>
      <c r="D136" s="10" t="s">
        <v>1057</v>
      </c>
      <c r="E136" s="10" t="s">
        <v>636</v>
      </c>
      <c r="F136" s="10"/>
      <c r="G136" s="10" t="s">
        <v>1058</v>
      </c>
      <c r="H136" s="55" t="n">
        <v>0.08</v>
      </c>
      <c r="I136" s="56" t="n">
        <f aca="false">IF(H136="","",H136*(C136-B136+1))</f>
        <v>0.88</v>
      </c>
      <c r="J136" s="10" t="s">
        <v>631</v>
      </c>
      <c r="K136" s="10" t="s">
        <v>303</v>
      </c>
      <c r="L136" s="10" t="s">
        <v>1059</v>
      </c>
      <c r="M136" s="57" t="s">
        <v>201</v>
      </c>
    </row>
    <row r="137" customFormat="false" ht="14.25" hidden="false" customHeight="false" outlineLevel="0" collapsed="false">
      <c r="A137" s="10" t="s">
        <v>1060</v>
      </c>
      <c r="B137" s="54" t="n">
        <v>1889</v>
      </c>
      <c r="C137" s="54" t="n">
        <v>1899</v>
      </c>
      <c r="D137" s="10" t="s">
        <v>1061</v>
      </c>
      <c r="E137" s="10" t="s">
        <v>636</v>
      </c>
      <c r="F137" s="10"/>
      <c r="G137" s="10" t="s">
        <v>1058</v>
      </c>
      <c r="H137" s="55" t="n">
        <v>0.1</v>
      </c>
      <c r="I137" s="56" t="n">
        <f aca="false">IF(H137="","",H137*(C137-B137+1))</f>
        <v>1.1</v>
      </c>
      <c r="J137" s="10" t="s">
        <v>631</v>
      </c>
      <c r="K137" s="10" t="s">
        <v>303</v>
      </c>
      <c r="L137" s="10" t="s">
        <v>1059</v>
      </c>
      <c r="M137" s="57" t="s">
        <v>201</v>
      </c>
    </row>
    <row r="138" customFormat="false" ht="14.25" hidden="false" customHeight="false" outlineLevel="0" collapsed="false">
      <c r="A138" s="10" t="s">
        <v>1062</v>
      </c>
      <c r="B138" s="54" t="n">
        <v>1900</v>
      </c>
      <c r="C138" s="54" t="n">
        <v>1932</v>
      </c>
      <c r="D138" s="10" t="s">
        <v>1063</v>
      </c>
      <c r="E138" s="10" t="s">
        <v>636</v>
      </c>
      <c r="F138" s="10"/>
      <c r="G138" s="10" t="s">
        <v>1058</v>
      </c>
      <c r="H138" s="55" t="n">
        <v>0.15</v>
      </c>
      <c r="I138" s="56" t="n">
        <f aca="false">IF(H138="","",H138*(C138-B138+1))</f>
        <v>4.95</v>
      </c>
      <c r="J138" s="10" t="s">
        <v>631</v>
      </c>
      <c r="K138" s="10" t="s">
        <v>303</v>
      </c>
      <c r="L138" s="10" t="s">
        <v>1059</v>
      </c>
      <c r="M138" s="57" t="s">
        <v>201</v>
      </c>
    </row>
    <row r="139" customFormat="false" ht="14.25" hidden="false" customHeight="false" outlineLevel="0" collapsed="false">
      <c r="A139" s="10" t="s">
        <v>1064</v>
      </c>
      <c r="B139" s="54" t="n">
        <v>1868</v>
      </c>
      <c r="C139" s="54" t="n">
        <v>1869</v>
      </c>
      <c r="D139" s="10" t="s">
        <v>1065</v>
      </c>
      <c r="E139" s="10" t="s">
        <v>636</v>
      </c>
      <c r="F139" s="10"/>
      <c r="G139" s="10"/>
      <c r="H139" s="55" t="n">
        <v>0.15</v>
      </c>
      <c r="I139" s="56" t="n">
        <f aca="false">IF(H139="","",H139*(C139-B139+1))</f>
        <v>0.3</v>
      </c>
      <c r="J139" s="10" t="s">
        <v>631</v>
      </c>
      <c r="K139" s="10" t="s">
        <v>303</v>
      </c>
      <c r="L139" s="10" t="s">
        <v>1066</v>
      </c>
      <c r="M139" s="57" t="s">
        <v>1067</v>
      </c>
    </row>
    <row r="140" customFormat="false" ht="14.25" hidden="false" customHeight="false" outlineLevel="0" collapsed="false">
      <c r="A140" s="10" t="s">
        <v>1068</v>
      </c>
      <c r="B140" s="54" t="n">
        <v>1867</v>
      </c>
      <c r="C140" s="54" t="n">
        <v>1879</v>
      </c>
      <c r="D140" s="10" t="s">
        <v>1069</v>
      </c>
      <c r="E140" s="10" t="s">
        <v>889</v>
      </c>
      <c r="F140" s="10"/>
      <c r="G140" s="10" t="s">
        <v>668</v>
      </c>
      <c r="H140" s="55" t="n">
        <v>-0.02</v>
      </c>
      <c r="I140" s="56" t="n">
        <f aca="false">IF(H140="","",H140*(C140-B140+1))</f>
        <v>-0.26</v>
      </c>
      <c r="J140" s="10" t="s">
        <v>631</v>
      </c>
      <c r="K140" s="10" t="s">
        <v>303</v>
      </c>
      <c r="L140" s="10" t="s">
        <v>1066</v>
      </c>
      <c r="M140" s="57" t="s">
        <v>1070</v>
      </c>
    </row>
    <row r="141" customFormat="false" ht="14.25" hidden="false" customHeight="false" outlineLevel="0" collapsed="false">
      <c r="A141" s="10" t="s">
        <v>1071</v>
      </c>
      <c r="B141" s="54" t="n">
        <v>1880</v>
      </c>
      <c r="C141" s="54" t="n">
        <v>1880</v>
      </c>
      <c r="D141" s="10" t="s">
        <v>1072</v>
      </c>
      <c r="E141" s="10" t="s">
        <v>636</v>
      </c>
      <c r="F141" s="10"/>
      <c r="G141" s="10"/>
      <c r="H141" s="55" t="n">
        <v>0.02</v>
      </c>
      <c r="I141" s="56" t="n">
        <f aca="false">IF(H141="","",H141*(C141-B141+1))</f>
        <v>0.02</v>
      </c>
      <c r="J141" s="10" t="s">
        <v>631</v>
      </c>
      <c r="K141" s="10" t="s">
        <v>303</v>
      </c>
      <c r="L141" s="10" t="s">
        <v>1073</v>
      </c>
      <c r="M141" s="57" t="s">
        <v>201</v>
      </c>
    </row>
    <row r="142" customFormat="false" ht="14.25" hidden="false" customHeight="false" outlineLevel="0" collapsed="false">
      <c r="A142" s="10" t="s">
        <v>1074</v>
      </c>
      <c r="B142" s="54" t="n">
        <v>1914</v>
      </c>
      <c r="C142" s="54" t="n">
        <v>1915</v>
      </c>
      <c r="D142" s="10" t="s">
        <v>1075</v>
      </c>
      <c r="E142" s="10" t="s">
        <v>636</v>
      </c>
      <c r="F142" s="10"/>
      <c r="G142" s="10"/>
      <c r="H142" s="55" t="n">
        <v>0.4</v>
      </c>
      <c r="I142" s="56" t="n">
        <f aca="false">IF(H142="","",H142*(C142-B142+1))</f>
        <v>0.8</v>
      </c>
      <c r="J142" s="10" t="s">
        <v>631</v>
      </c>
      <c r="K142" s="10" t="s">
        <v>303</v>
      </c>
      <c r="L142" s="10" t="s">
        <v>1076</v>
      </c>
      <c r="M142" s="57" t="s">
        <v>201</v>
      </c>
    </row>
    <row r="143" customFormat="false" ht="14.25" hidden="false" customHeight="false" outlineLevel="0" collapsed="false">
      <c r="A143" s="10" t="s">
        <v>1077</v>
      </c>
      <c r="B143" s="54" t="n">
        <v>1914</v>
      </c>
      <c r="C143" s="54" t="n">
        <v>1932</v>
      </c>
      <c r="D143" s="10" t="s">
        <v>1078</v>
      </c>
      <c r="E143" s="10" t="s">
        <v>636</v>
      </c>
      <c r="F143" s="10"/>
      <c r="G143" s="10"/>
      <c r="H143" s="55" t="n">
        <v>0.1</v>
      </c>
      <c r="I143" s="56" t="n">
        <f aca="false">IF(H143="","",H143*(C143-B143+1))</f>
        <v>1.9</v>
      </c>
      <c r="J143" s="10" t="s">
        <v>631</v>
      </c>
      <c r="K143" s="10" t="s">
        <v>303</v>
      </c>
      <c r="L143" s="10" t="s">
        <v>1079</v>
      </c>
      <c r="M143" s="57" t="s">
        <v>201</v>
      </c>
    </row>
    <row r="144" customFormat="false" ht="14.25" hidden="false" customHeight="false" outlineLevel="0" collapsed="false">
      <c r="A144" s="10" t="s">
        <v>1080</v>
      </c>
      <c r="B144" s="54" t="n">
        <v>1915</v>
      </c>
      <c r="C144" s="54" t="n">
        <v>1924</v>
      </c>
      <c r="D144" s="10" t="s">
        <v>1081</v>
      </c>
      <c r="E144" s="10" t="s">
        <v>889</v>
      </c>
      <c r="F144" s="10"/>
      <c r="G144" s="10" t="s">
        <v>174</v>
      </c>
      <c r="H144" s="55" t="n">
        <v>5</v>
      </c>
      <c r="I144" s="56" t="n">
        <f aca="false">IF(H144="","",H144*(C144-B144+1))</f>
        <v>50</v>
      </c>
      <c r="J144" s="10" t="s">
        <v>631</v>
      </c>
      <c r="K144" s="10" t="s">
        <v>303</v>
      </c>
      <c r="L144" s="10" t="s">
        <v>1079</v>
      </c>
      <c r="M144" s="57" t="s">
        <v>1082</v>
      </c>
    </row>
    <row r="145" customFormat="false" ht="14.25" hidden="false" customHeight="false" outlineLevel="0" collapsed="false">
      <c r="A145" s="10" t="s">
        <v>1083</v>
      </c>
      <c r="B145" s="54" t="n">
        <v>1925</v>
      </c>
      <c r="C145" s="54" t="n">
        <v>1932</v>
      </c>
      <c r="D145" s="10" t="s">
        <v>1084</v>
      </c>
      <c r="E145" s="10" t="s">
        <v>889</v>
      </c>
      <c r="F145" s="10"/>
      <c r="G145" s="10" t="s">
        <v>174</v>
      </c>
      <c r="H145" s="55" t="n">
        <v>8</v>
      </c>
      <c r="I145" s="56" t="n">
        <f aca="false">IF(H145="","",H145*(C145-B145+1))</f>
        <v>64</v>
      </c>
      <c r="J145" s="10" t="s">
        <v>631</v>
      </c>
      <c r="K145" s="10" t="s">
        <v>303</v>
      </c>
      <c r="L145" s="10" t="s">
        <v>1079</v>
      </c>
      <c r="M145" s="57" t="s">
        <v>1082</v>
      </c>
    </row>
    <row r="146" customFormat="false" ht="14.25" hidden="false" customHeight="false" outlineLevel="0" collapsed="false">
      <c r="A146" s="10" t="s">
        <v>1085</v>
      </c>
      <c r="B146" s="54" t="n">
        <v>1914</v>
      </c>
      <c r="C146" s="54" t="n">
        <v>1914</v>
      </c>
      <c r="D146" s="10" t="s">
        <v>1086</v>
      </c>
      <c r="E146" s="10" t="s">
        <v>630</v>
      </c>
      <c r="F146" s="10"/>
      <c r="G146" s="10" t="s">
        <v>174</v>
      </c>
      <c r="H146" s="55" t="n">
        <v>9.5</v>
      </c>
      <c r="I146" s="56" t="n">
        <f aca="false">IF(H146="","",H146*(C146-B146+1))</f>
        <v>9.5</v>
      </c>
      <c r="J146" s="10" t="s">
        <v>631</v>
      </c>
      <c r="K146" s="10" t="s">
        <v>303</v>
      </c>
      <c r="L146" s="10" t="s">
        <v>1087</v>
      </c>
      <c r="M146" s="57" t="s">
        <v>1088</v>
      </c>
    </row>
    <row r="147" customFormat="false" ht="14.25" hidden="false" customHeight="false" outlineLevel="0" collapsed="false">
      <c r="A147" s="10" t="s">
        <v>1089</v>
      </c>
      <c r="B147" s="54" t="n">
        <v>1886</v>
      </c>
      <c r="C147" s="54" t="n">
        <v>1913</v>
      </c>
      <c r="D147" s="10" t="s">
        <v>1090</v>
      </c>
      <c r="E147" s="10" t="s">
        <v>889</v>
      </c>
      <c r="F147" s="10"/>
      <c r="G147" s="10" t="s">
        <v>174</v>
      </c>
      <c r="H147" s="55" t="n">
        <v>0.25</v>
      </c>
      <c r="I147" s="56" t="n">
        <f aca="false">IF(H147="","",H147*(C147-B147+1))</f>
        <v>7</v>
      </c>
      <c r="J147" s="10" t="s">
        <v>631</v>
      </c>
      <c r="K147" s="10" t="s">
        <v>303</v>
      </c>
      <c r="L147" s="10" t="s">
        <v>1091</v>
      </c>
      <c r="M147" s="57" t="s">
        <v>1092</v>
      </c>
    </row>
    <row r="148" customFormat="false" ht="14.25" hidden="false" customHeight="false" outlineLevel="0" collapsed="false">
      <c r="A148" s="10" t="s">
        <v>1093</v>
      </c>
      <c r="B148" s="54" t="n">
        <v>1878</v>
      </c>
      <c r="C148" s="54" t="n">
        <v>1880</v>
      </c>
      <c r="D148" s="10" t="s">
        <v>1094</v>
      </c>
      <c r="E148" s="10" t="s">
        <v>889</v>
      </c>
      <c r="F148" s="10"/>
      <c r="G148" s="10" t="s">
        <v>174</v>
      </c>
      <c r="H148" s="55" t="n">
        <v>2</v>
      </c>
      <c r="I148" s="56" t="n">
        <f aca="false">IF(H148="","",H148*(C148-B148+1))</f>
        <v>6</v>
      </c>
      <c r="J148" s="10" t="s">
        <v>631</v>
      </c>
      <c r="K148" s="10" t="s">
        <v>303</v>
      </c>
      <c r="L148" s="10" t="s">
        <v>1091</v>
      </c>
      <c r="M148" s="57" t="s">
        <v>1095</v>
      </c>
    </row>
    <row r="149" customFormat="false" ht="14.25" hidden="false" customHeight="false" outlineLevel="0" collapsed="false">
      <c r="A149" s="10" t="s">
        <v>1096</v>
      </c>
      <c r="B149" s="54" t="n">
        <v>1881</v>
      </c>
      <c r="C149" s="54" t="n">
        <v>1899</v>
      </c>
      <c r="D149" s="10" t="s">
        <v>1097</v>
      </c>
      <c r="E149" s="10" t="s">
        <v>889</v>
      </c>
      <c r="F149" s="10"/>
      <c r="G149" s="10" t="s">
        <v>174</v>
      </c>
      <c r="H149" s="55" t="n">
        <v>0.15</v>
      </c>
      <c r="I149" s="56" t="n">
        <f aca="false">IF(H149="","",H149*(C149-B149+1))</f>
        <v>2.85</v>
      </c>
      <c r="J149" s="10" t="s">
        <v>631</v>
      </c>
      <c r="K149" s="10" t="s">
        <v>303</v>
      </c>
      <c r="L149" s="10" t="s">
        <v>1091</v>
      </c>
      <c r="M149" s="57" t="s">
        <v>1098</v>
      </c>
    </row>
    <row r="150" customFormat="false" ht="14.25" hidden="false" customHeight="false" outlineLevel="0" collapsed="false">
      <c r="A150" s="10" t="s">
        <v>1099</v>
      </c>
      <c r="B150" s="54" t="n">
        <v>1900</v>
      </c>
      <c r="C150" s="54" t="n">
        <v>1932</v>
      </c>
      <c r="D150" s="10" t="s">
        <v>1097</v>
      </c>
      <c r="E150" s="10" t="s">
        <v>889</v>
      </c>
      <c r="F150" s="10"/>
      <c r="G150" s="10" t="s">
        <v>174</v>
      </c>
      <c r="H150" s="55" t="n">
        <v>0.3</v>
      </c>
      <c r="I150" s="56" t="n">
        <f aca="false">IF(H150="","",H150*(C150-B150+1))</f>
        <v>9.9</v>
      </c>
      <c r="J150" s="10" t="s">
        <v>631</v>
      </c>
      <c r="K150" s="10" t="s">
        <v>303</v>
      </c>
      <c r="L150" s="10" t="s">
        <v>1091</v>
      </c>
      <c r="M150" s="57" t="s">
        <v>201</v>
      </c>
    </row>
    <row r="151" customFormat="false" ht="14.25" hidden="false" customHeight="false" outlineLevel="0" collapsed="false">
      <c r="A151" s="10" t="s">
        <v>1100</v>
      </c>
      <c r="B151" s="54" t="n">
        <v>1885</v>
      </c>
      <c r="C151" s="54" t="n">
        <v>1899</v>
      </c>
      <c r="D151" s="10" t="s">
        <v>1101</v>
      </c>
      <c r="E151" s="10" t="s">
        <v>889</v>
      </c>
      <c r="F151" s="10"/>
      <c r="G151" s="10" t="s">
        <v>174</v>
      </c>
      <c r="H151" s="55" t="n">
        <v>0.1</v>
      </c>
      <c r="I151" s="56" t="n">
        <f aca="false">IF(H151="","",H151*(C151-B151+1))</f>
        <v>1.5</v>
      </c>
      <c r="J151" s="10" t="s">
        <v>631</v>
      </c>
      <c r="K151" s="10" t="s">
        <v>303</v>
      </c>
      <c r="L151" s="10" t="s">
        <v>1091</v>
      </c>
      <c r="M151" s="57" t="s">
        <v>1102</v>
      </c>
    </row>
    <row r="152" customFormat="false" ht="14.25" hidden="false" customHeight="false" outlineLevel="0" collapsed="false">
      <c r="A152" s="10" t="s">
        <v>1103</v>
      </c>
      <c r="B152" s="54" t="n">
        <v>1900</v>
      </c>
      <c r="C152" s="54" t="n">
        <v>1932</v>
      </c>
      <c r="D152" s="10" t="s">
        <v>1101</v>
      </c>
      <c r="E152" s="10" t="s">
        <v>889</v>
      </c>
      <c r="F152" s="10"/>
      <c r="G152" s="10" t="s">
        <v>174</v>
      </c>
      <c r="H152" s="55" t="n">
        <v>0.3</v>
      </c>
      <c r="I152" s="56" t="n">
        <f aca="false">IF(H152="","",H152*(C152-B152+1))</f>
        <v>9.9</v>
      </c>
      <c r="J152" s="10" t="s">
        <v>631</v>
      </c>
      <c r="K152" s="10" t="s">
        <v>303</v>
      </c>
      <c r="L152" s="10" t="s">
        <v>1091</v>
      </c>
      <c r="M152" s="57" t="s">
        <v>201</v>
      </c>
    </row>
    <row r="153" customFormat="false" ht="14.25" hidden="false" customHeight="false" outlineLevel="0" collapsed="false">
      <c r="A153" s="10" t="s">
        <v>1104</v>
      </c>
      <c r="B153" s="54" t="n">
        <v>1848</v>
      </c>
      <c r="C153" s="54" t="n">
        <v>1848</v>
      </c>
      <c r="D153" s="10" t="s">
        <v>1105</v>
      </c>
      <c r="E153" s="10" t="s">
        <v>889</v>
      </c>
      <c r="F153" s="10"/>
      <c r="G153" s="10"/>
      <c r="H153" s="55" t="n">
        <v>-0.34</v>
      </c>
      <c r="I153" s="56" t="n">
        <f aca="false">IF(H153="","",H153*(C153-B153+1))</f>
        <v>-0.34</v>
      </c>
      <c r="J153" s="10" t="s">
        <v>631</v>
      </c>
      <c r="K153" s="10" t="s">
        <v>248</v>
      </c>
      <c r="L153" s="10" t="s">
        <v>1106</v>
      </c>
      <c r="M153" s="57" t="s">
        <v>1107</v>
      </c>
    </row>
    <row r="154" customFormat="false" ht="14.25" hidden="false" customHeight="false" outlineLevel="0" collapsed="false">
      <c r="A154" s="10" t="s">
        <v>1108</v>
      </c>
      <c r="B154" s="54" t="n">
        <v>1848</v>
      </c>
      <c r="C154" s="54" t="n">
        <v>1850</v>
      </c>
      <c r="D154" s="10" t="s">
        <v>1109</v>
      </c>
      <c r="E154" s="10" t="s">
        <v>659</v>
      </c>
      <c r="F154" s="10"/>
      <c r="G154" s="10" t="s">
        <v>668</v>
      </c>
      <c r="H154" s="55" t="n">
        <v>0.1</v>
      </c>
      <c r="I154" s="56" t="n">
        <f aca="false">IF(H154="","",H154*(C154-B154+1))</f>
        <v>0.3</v>
      </c>
      <c r="J154" s="10" t="s">
        <v>631</v>
      </c>
      <c r="K154" s="10" t="s">
        <v>248</v>
      </c>
      <c r="L154" s="10" t="s">
        <v>1110</v>
      </c>
      <c r="M154" s="57" t="s">
        <v>1111</v>
      </c>
    </row>
    <row r="155" customFormat="false" ht="14.25" hidden="false" customHeight="false" outlineLevel="0" collapsed="false">
      <c r="A155" s="10" t="s">
        <v>1112</v>
      </c>
      <c r="B155" s="54" t="n">
        <v>1848</v>
      </c>
      <c r="C155" s="54" t="n">
        <v>1860</v>
      </c>
      <c r="D155" s="10" t="s">
        <v>1113</v>
      </c>
      <c r="E155" s="10" t="s">
        <v>889</v>
      </c>
      <c r="F155" s="10"/>
      <c r="G155" s="10" t="s">
        <v>668</v>
      </c>
      <c r="H155" s="55" t="n">
        <v>-0.03</v>
      </c>
      <c r="I155" s="56" t="n">
        <f aca="false">IF(H155="","",H155*(C155-B155+1))</f>
        <v>-0.39</v>
      </c>
      <c r="J155" s="10" t="s">
        <v>631</v>
      </c>
      <c r="K155" s="10" t="s">
        <v>248</v>
      </c>
      <c r="L155" s="10" t="s">
        <v>1114</v>
      </c>
      <c r="M155" s="57" t="s">
        <v>1115</v>
      </c>
    </row>
    <row r="156" customFormat="false" ht="14.25" hidden="false" customHeight="false" outlineLevel="0" collapsed="false">
      <c r="A156" s="10" t="s">
        <v>1116</v>
      </c>
      <c r="B156" s="54" t="n">
        <v>1848</v>
      </c>
      <c r="C156" s="54" t="n">
        <v>1860</v>
      </c>
      <c r="D156" s="10" t="s">
        <v>1117</v>
      </c>
      <c r="E156" s="10" t="s">
        <v>889</v>
      </c>
      <c r="F156" s="10"/>
      <c r="G156" s="10" t="s">
        <v>668</v>
      </c>
      <c r="H156" s="55" t="n">
        <v>0.005</v>
      </c>
      <c r="I156" s="56" t="n">
        <f aca="false">IF(H156="","",H156*(C156-B156+1))</f>
        <v>0.065</v>
      </c>
      <c r="J156" s="10" t="s">
        <v>631</v>
      </c>
      <c r="K156" s="10" t="s">
        <v>303</v>
      </c>
      <c r="L156" s="10" t="s">
        <v>1118</v>
      </c>
      <c r="M156" s="57" t="s">
        <v>1119</v>
      </c>
    </row>
    <row r="157" customFormat="false" ht="14.25" hidden="false" customHeight="false" outlineLevel="0" collapsed="false">
      <c r="A157" s="10" t="s">
        <v>1120</v>
      </c>
      <c r="B157" s="54" t="n">
        <v>1919</v>
      </c>
      <c r="C157" s="54" t="n">
        <v>1919</v>
      </c>
      <c r="D157" s="10" t="s">
        <v>1121</v>
      </c>
      <c r="E157" s="10" t="s">
        <v>640</v>
      </c>
      <c r="F157" s="10"/>
      <c r="G157" s="10" t="s">
        <v>878</v>
      </c>
      <c r="H157" s="55" t="n">
        <f aca="false">Siberia!B39</f>
        <v>348.95221304549</v>
      </c>
      <c r="I157" s="56" t="n">
        <f aca="false">IF(H157="","",H157*(C157-B157+1))</f>
        <v>348.95221304549</v>
      </c>
      <c r="J157" s="10" t="s">
        <v>631</v>
      </c>
      <c r="K157" s="10" t="s">
        <v>224</v>
      </c>
      <c r="L157" s="10" t="s">
        <v>879</v>
      </c>
      <c r="M157" s="57" t="s">
        <v>880</v>
      </c>
    </row>
    <row r="158" customFormat="false" ht="14.25" hidden="false" customHeight="false" outlineLevel="0" collapsed="false">
      <c r="A158" s="10" t="s">
        <v>1122</v>
      </c>
      <c r="B158" s="54" t="n">
        <v>1920</v>
      </c>
      <c r="C158" s="54" t="n">
        <v>1920</v>
      </c>
      <c r="D158" s="10" t="s">
        <v>1123</v>
      </c>
      <c r="E158" s="10" t="s">
        <v>640</v>
      </c>
      <c r="F158" s="10"/>
      <c r="G158" s="10" t="s">
        <v>878</v>
      </c>
      <c r="H158" s="55" t="n">
        <f aca="false">Siberia!B40</f>
        <v>288.679932875926</v>
      </c>
      <c r="I158" s="56" t="n">
        <f aca="false">IF(H158="","",H158*(C158-B158+1))</f>
        <v>288.679932875926</v>
      </c>
      <c r="J158" s="10" t="s">
        <v>631</v>
      </c>
      <c r="K158" s="10" t="s">
        <v>224</v>
      </c>
      <c r="L158" s="10" t="s">
        <v>879</v>
      </c>
      <c r="M158" s="57" t="s">
        <v>880</v>
      </c>
    </row>
    <row r="159" customFormat="false" ht="14.25" hidden="false" customHeight="false" outlineLevel="0" collapsed="false">
      <c r="A159" s="10" t="s">
        <v>1124</v>
      </c>
      <c r="B159" s="54" t="n">
        <v>1921</v>
      </c>
      <c r="C159" s="54" t="n">
        <v>1921</v>
      </c>
      <c r="D159" s="10" t="s">
        <v>1125</v>
      </c>
      <c r="E159" s="10" t="s">
        <v>640</v>
      </c>
      <c r="F159" s="10"/>
      <c r="G159" s="10" t="s">
        <v>878</v>
      </c>
      <c r="H159" s="55" t="n">
        <f aca="false">Siberia!B41</f>
        <v>165.704891169161</v>
      </c>
      <c r="I159" s="56" t="n">
        <f aca="false">IF(H159="","",H159*(C159-B159+1))</f>
        <v>165.704891169161</v>
      </c>
      <c r="J159" s="10" t="s">
        <v>631</v>
      </c>
      <c r="K159" s="10" t="s">
        <v>224</v>
      </c>
      <c r="L159" s="10" t="s">
        <v>890</v>
      </c>
      <c r="M159" s="57" t="s">
        <v>880</v>
      </c>
    </row>
    <row r="160" customFormat="false" ht="14.25" hidden="false" customHeight="false" outlineLevel="0" collapsed="false">
      <c r="A160" s="10" t="s">
        <v>1126</v>
      </c>
      <c r="B160" s="54" t="n">
        <v>1922</v>
      </c>
      <c r="C160" s="54" t="n">
        <v>1922</v>
      </c>
      <c r="D160" s="10" t="s">
        <v>1127</v>
      </c>
      <c r="E160" s="10" t="s">
        <v>640</v>
      </c>
      <c r="F160" s="10"/>
      <c r="G160" s="10" t="s">
        <v>878</v>
      </c>
      <c r="H160" s="55" t="n">
        <f aca="false">Siberia!B42</f>
        <v>81.2913264123559</v>
      </c>
      <c r="I160" s="56" t="n">
        <f aca="false">IF(H160="","",H160*(C160-B160+1))</f>
        <v>81.2913264123559</v>
      </c>
      <c r="J160" s="10" t="s">
        <v>631</v>
      </c>
      <c r="K160" s="10" t="s">
        <v>224</v>
      </c>
      <c r="L160" s="10" t="s">
        <v>890</v>
      </c>
      <c r="M160" s="57" t="s">
        <v>880</v>
      </c>
    </row>
    <row r="161" customFormat="false" ht="14.25" hidden="false" customHeight="false" outlineLevel="0" collapsed="false">
      <c r="A161" s="10" t="s">
        <v>1128</v>
      </c>
      <c r="B161" s="54" t="n">
        <v>1924</v>
      </c>
      <c r="C161" s="54" t="n">
        <v>1924</v>
      </c>
      <c r="D161" s="10" t="s">
        <v>1129</v>
      </c>
      <c r="E161" s="10" t="s">
        <v>640</v>
      </c>
      <c r="F161" s="10"/>
      <c r="G161" s="10" t="s">
        <v>878</v>
      </c>
      <c r="H161" s="55" t="n">
        <f aca="false">Siberia!B44</f>
        <v>42.8178663096106</v>
      </c>
      <c r="I161" s="56" t="n">
        <f aca="false">IF(H161="","",H161*(C161-B161+1))</f>
        <v>42.8178663096106</v>
      </c>
      <c r="J161" s="10" t="s">
        <v>631</v>
      </c>
      <c r="K161" s="10" t="s">
        <v>248</v>
      </c>
      <c r="L161" s="10" t="s">
        <v>890</v>
      </c>
      <c r="M161" s="57" t="s">
        <v>898</v>
      </c>
    </row>
    <row r="162" customFormat="false" ht="14.25" hidden="false" customHeight="false" outlineLevel="0" collapsed="false">
      <c r="A162" s="10" t="s">
        <v>1130</v>
      </c>
      <c r="B162" s="54" t="n">
        <v>1925</v>
      </c>
      <c r="C162" s="54" t="n">
        <v>1925</v>
      </c>
      <c r="D162" s="10" t="s">
        <v>1131</v>
      </c>
      <c r="E162" s="10" t="s">
        <v>640</v>
      </c>
      <c r="F162" s="10"/>
      <c r="G162" s="10" t="s">
        <v>878</v>
      </c>
      <c r="H162" s="55" t="n">
        <f aca="false">Siberia!B45</f>
        <v>43.6107897597886</v>
      </c>
      <c r="I162" s="56" t="n">
        <f aca="false">IF(H162="","",H162*(C162-B162+1))</f>
        <v>43.6107897597886</v>
      </c>
      <c r="J162" s="10" t="s">
        <v>631</v>
      </c>
      <c r="K162" s="10" t="s">
        <v>248</v>
      </c>
      <c r="L162" s="10" t="s">
        <v>890</v>
      </c>
      <c r="M162" s="57" t="s">
        <v>898</v>
      </c>
    </row>
    <row r="163" customFormat="false" ht="14.25" hidden="false" customHeight="false" outlineLevel="0" collapsed="false">
      <c r="A163" s="10" t="s">
        <v>1132</v>
      </c>
      <c r="B163" s="54" t="n">
        <v>1926</v>
      </c>
      <c r="C163" s="54" t="n">
        <v>1926</v>
      </c>
      <c r="D163" s="10" t="s">
        <v>1133</v>
      </c>
      <c r="E163" s="10" t="s">
        <v>640</v>
      </c>
      <c r="F163" s="10"/>
      <c r="G163" s="10" t="s">
        <v>878</v>
      </c>
      <c r="H163" s="55" t="n">
        <f aca="false">Siberia!B46</f>
        <v>42.8178663096106</v>
      </c>
      <c r="I163" s="56" t="n">
        <f aca="false">IF(H163="","",H163*(C163-B163+1))</f>
        <v>42.8178663096106</v>
      </c>
      <c r="J163" s="10" t="s">
        <v>631</v>
      </c>
      <c r="K163" s="10" t="s">
        <v>248</v>
      </c>
      <c r="L163" s="10" t="s">
        <v>890</v>
      </c>
      <c r="M163" s="57" t="s">
        <v>898</v>
      </c>
    </row>
    <row r="164" customFormat="false" ht="14.25" hidden="false" customHeight="false" outlineLevel="0" collapsed="false">
      <c r="A164" s="10" t="s">
        <v>1134</v>
      </c>
      <c r="B164" s="54" t="n">
        <v>1927</v>
      </c>
      <c r="C164" s="54" t="n">
        <v>1927</v>
      </c>
      <c r="D164" s="10" t="s">
        <v>1135</v>
      </c>
      <c r="E164" s="10" t="s">
        <v>640</v>
      </c>
      <c r="F164" s="10"/>
      <c r="G164" s="10" t="s">
        <v>878</v>
      </c>
      <c r="H164" s="55" t="n">
        <f aca="false">Siberia!B47</f>
        <v>41.7606350427067</v>
      </c>
      <c r="I164" s="56" t="n">
        <f aca="false">IF(H164="","",H164*(C164-B164+1))</f>
        <v>41.7606350427067</v>
      </c>
      <c r="J164" s="10" t="s">
        <v>631</v>
      </c>
      <c r="K164" s="10" t="s">
        <v>248</v>
      </c>
      <c r="L164" s="10" t="s">
        <v>890</v>
      </c>
      <c r="M164" s="57" t="s">
        <v>898</v>
      </c>
    </row>
    <row r="165" customFormat="false" ht="14.25" hidden="false" customHeight="false" outlineLevel="0" collapsed="false">
      <c r="A165" s="10" t="s">
        <v>1136</v>
      </c>
      <c r="B165" s="54" t="n">
        <v>1928</v>
      </c>
      <c r="C165" s="54" t="n">
        <v>1928</v>
      </c>
      <c r="D165" s="10" t="s">
        <v>1137</v>
      </c>
      <c r="E165" s="10" t="s">
        <v>640</v>
      </c>
      <c r="F165" s="10"/>
      <c r="G165" s="10" t="s">
        <v>878</v>
      </c>
      <c r="H165" s="55" t="n">
        <f aca="false">Siberia!B48</f>
        <v>42.2892506761586</v>
      </c>
      <c r="I165" s="56" t="n">
        <f aca="false">IF(H165="","",H165*(C165-B165+1))</f>
        <v>42.2892506761586</v>
      </c>
      <c r="J165" s="10" t="s">
        <v>631</v>
      </c>
      <c r="K165" s="10" t="s">
        <v>248</v>
      </c>
      <c r="L165" s="10" t="s">
        <v>890</v>
      </c>
      <c r="M165" s="57" t="s">
        <v>898</v>
      </c>
    </row>
    <row r="166" customFormat="false" ht="14.25" hidden="false" customHeight="false" outlineLevel="0" collapsed="false">
      <c r="A166" s="10" t="s">
        <v>1138</v>
      </c>
      <c r="B166" s="54" t="n">
        <v>1929</v>
      </c>
      <c r="C166" s="54" t="n">
        <v>1929</v>
      </c>
      <c r="D166" s="10" t="s">
        <v>1139</v>
      </c>
      <c r="E166" s="10" t="s">
        <v>640</v>
      </c>
      <c r="F166" s="10"/>
      <c r="G166" s="10" t="s">
        <v>878</v>
      </c>
      <c r="H166" s="55" t="n">
        <f aca="false">Siberia!B49</f>
        <v>42.2892506761586</v>
      </c>
      <c r="I166" s="56" t="n">
        <f aca="false">IF(H166="","",H166*(C166-B166+1))</f>
        <v>42.2892506761586</v>
      </c>
      <c r="J166" s="10" t="s">
        <v>631</v>
      </c>
      <c r="K166" s="10" t="s">
        <v>248</v>
      </c>
      <c r="L166" s="10" t="s">
        <v>890</v>
      </c>
      <c r="M166" s="57" t="s">
        <v>898</v>
      </c>
    </row>
    <row r="167" customFormat="false" ht="14.25" hidden="false" customHeight="false" outlineLevel="0" collapsed="false">
      <c r="A167" s="10" t="s">
        <v>1140</v>
      </c>
      <c r="B167" s="54" t="n">
        <v>1930</v>
      </c>
      <c r="C167" s="54" t="n">
        <v>1930</v>
      </c>
      <c r="D167" s="10" t="s">
        <v>1141</v>
      </c>
      <c r="E167" s="10" t="s">
        <v>640</v>
      </c>
      <c r="F167" s="10"/>
      <c r="G167" s="10" t="s">
        <v>878</v>
      </c>
      <c r="H167" s="55" t="n">
        <f aca="false">Siberia!B50</f>
        <v>40.4390959590767</v>
      </c>
      <c r="I167" s="56" t="n">
        <f aca="false">IF(H167="","",H167*(C167-B167+1))</f>
        <v>40.4390959590767</v>
      </c>
      <c r="J167" s="10" t="s">
        <v>631</v>
      </c>
      <c r="K167" s="10" t="s">
        <v>248</v>
      </c>
      <c r="L167" s="10" t="s">
        <v>890</v>
      </c>
      <c r="M167" s="57" t="s">
        <v>898</v>
      </c>
    </row>
    <row r="168" customFormat="false" ht="14.25" hidden="false" customHeight="false" outlineLevel="0" collapsed="false">
      <c r="A168" s="10" t="s">
        <v>1142</v>
      </c>
      <c r="B168" s="54" t="n">
        <v>1931</v>
      </c>
      <c r="C168" s="54" t="n">
        <v>1931</v>
      </c>
      <c r="D168" s="10" t="s">
        <v>1143</v>
      </c>
      <c r="E168" s="10" t="s">
        <v>640</v>
      </c>
      <c r="F168" s="10"/>
      <c r="G168" s="10" t="s">
        <v>878</v>
      </c>
      <c r="H168" s="55" t="n">
        <f aca="false">Siberia!B51</f>
        <v>36.2101708914608</v>
      </c>
      <c r="I168" s="56" t="n">
        <f aca="false">IF(H168="","",H168*(C168-B168+1))</f>
        <v>36.2101708914608</v>
      </c>
      <c r="J168" s="10" t="s">
        <v>631</v>
      </c>
      <c r="K168" s="10" t="s">
        <v>248</v>
      </c>
      <c r="L168" s="10" t="s">
        <v>890</v>
      </c>
      <c r="M168" s="57" t="s">
        <v>898</v>
      </c>
    </row>
    <row r="169" customFormat="false" ht="14.25" hidden="false" customHeight="false" outlineLevel="0" collapsed="false">
      <c r="A169" s="10" t="s">
        <v>1144</v>
      </c>
      <c r="B169" s="54" t="n">
        <v>1932</v>
      </c>
      <c r="C169" s="54" t="n">
        <v>1932</v>
      </c>
      <c r="D169" s="10" t="s">
        <v>1145</v>
      </c>
      <c r="E169" s="10" t="s">
        <v>640</v>
      </c>
      <c r="F169" s="10"/>
      <c r="G169" s="10" t="s">
        <v>878</v>
      </c>
      <c r="H169" s="55" t="n">
        <f aca="false">Siberia!B52</f>
        <v>32.245553640571</v>
      </c>
      <c r="I169" s="56" t="n">
        <f aca="false">IF(H169="","",H169*(C169-B169+1))</f>
        <v>32.245553640571</v>
      </c>
      <c r="J169" s="10" t="s">
        <v>631</v>
      </c>
      <c r="K169" s="10" t="s">
        <v>248</v>
      </c>
      <c r="L169" s="10" t="s">
        <v>890</v>
      </c>
      <c r="M169" s="57" t="s">
        <v>898</v>
      </c>
    </row>
    <row r="170" customFormat="false" ht="14.25" hidden="false" customHeight="false" outlineLevel="0" collapsed="false">
      <c r="A170" s="10" t="s">
        <v>1146</v>
      </c>
      <c r="B170" s="54" t="n">
        <v>1919</v>
      </c>
      <c r="C170" s="54" t="n">
        <v>1920</v>
      </c>
      <c r="D170" s="10" t="s">
        <v>1147</v>
      </c>
      <c r="E170" s="10" t="s">
        <v>732</v>
      </c>
      <c r="F170" s="10"/>
      <c r="G170" s="10" t="s">
        <v>878</v>
      </c>
      <c r="H170" s="55" t="n">
        <v>0.75</v>
      </c>
      <c r="I170" s="56" t="n">
        <f aca="false">IF(H170="","",H170*(C170-B170+1))</f>
        <v>1.5</v>
      </c>
      <c r="J170" s="10" t="s">
        <v>631</v>
      </c>
      <c r="K170" s="10" t="s">
        <v>248</v>
      </c>
      <c r="L170" s="10" t="s">
        <v>1148</v>
      </c>
      <c r="M170" s="57" t="s">
        <v>1149</v>
      </c>
    </row>
    <row r="171" customFormat="false" ht="14.25" hidden="false" customHeight="false" outlineLevel="0" collapsed="false">
      <c r="A171" s="10" t="s">
        <v>1150</v>
      </c>
      <c r="B171" s="54" t="n">
        <v>1920</v>
      </c>
      <c r="C171" s="54" t="n">
        <v>1921</v>
      </c>
      <c r="D171" s="10" t="s">
        <v>1151</v>
      </c>
      <c r="E171" s="10" t="s">
        <v>659</v>
      </c>
      <c r="F171" s="10"/>
      <c r="G171" s="10" t="s">
        <v>878</v>
      </c>
      <c r="H171" s="55" t="n">
        <v>0.25</v>
      </c>
      <c r="I171" s="56" t="n">
        <f aca="false">IF(H171="","",H171*(C171-B171+1))</f>
        <v>0.5</v>
      </c>
      <c r="J171" s="10" t="s">
        <v>631</v>
      </c>
      <c r="K171" s="10" t="s">
        <v>248</v>
      </c>
      <c r="L171" s="10" t="s">
        <v>1148</v>
      </c>
      <c r="M171" s="57" t="s">
        <v>1152</v>
      </c>
    </row>
    <row r="172" customFormat="false" ht="14.25" hidden="false" customHeight="false" outlineLevel="0" collapsed="false">
      <c r="A172" s="10" t="s">
        <v>1153</v>
      </c>
      <c r="B172" s="54" t="n">
        <v>1921</v>
      </c>
      <c r="C172" s="54" t="n">
        <v>1921</v>
      </c>
      <c r="D172" s="10" t="s">
        <v>1154</v>
      </c>
      <c r="E172" s="10" t="s">
        <v>667</v>
      </c>
      <c r="F172" s="10"/>
      <c r="G172" s="10" t="s">
        <v>878</v>
      </c>
      <c r="H172" s="55" t="n">
        <v>0.1</v>
      </c>
      <c r="I172" s="56" t="n">
        <f aca="false">IF(H172="","",H172*(C172-B172+1))</f>
        <v>0.1</v>
      </c>
      <c r="J172" s="10" t="s">
        <v>631</v>
      </c>
      <c r="K172" s="10" t="s">
        <v>303</v>
      </c>
      <c r="L172" s="10" t="s">
        <v>1155</v>
      </c>
      <c r="M172" s="57" t="s">
        <v>1156</v>
      </c>
    </row>
    <row r="173" customFormat="false" ht="14.25" hidden="false" customHeight="false" outlineLevel="0" collapsed="false">
      <c r="A173" s="10" t="s">
        <v>1157</v>
      </c>
      <c r="B173" s="54" t="n">
        <v>1922</v>
      </c>
      <c r="C173" s="54" t="n">
        <v>1932</v>
      </c>
      <c r="D173" s="10" t="s">
        <v>1158</v>
      </c>
      <c r="E173" s="10" t="s">
        <v>889</v>
      </c>
      <c r="F173" s="10"/>
      <c r="G173" s="10"/>
      <c r="H173" s="55" t="n">
        <v>0.2</v>
      </c>
      <c r="I173" s="56" t="n">
        <f aca="false">IF(H173="","",H173*(C173-B173+1))</f>
        <v>2.2</v>
      </c>
      <c r="J173" s="10" t="s">
        <v>631</v>
      </c>
      <c r="K173" s="10" t="s">
        <v>303</v>
      </c>
      <c r="L173" s="10" t="s">
        <v>1155</v>
      </c>
      <c r="M173" s="57" t="s">
        <v>1159</v>
      </c>
    </row>
    <row r="174" customFormat="false" ht="14.25" hidden="false" customHeight="false" outlineLevel="0" collapsed="false">
      <c r="A174" s="10" t="s">
        <v>1160</v>
      </c>
      <c r="B174" s="54" t="n">
        <v>1927</v>
      </c>
      <c r="C174" s="54" t="n">
        <v>1929</v>
      </c>
      <c r="D174" s="10" t="s">
        <v>1161</v>
      </c>
      <c r="E174" s="10" t="s">
        <v>667</v>
      </c>
      <c r="F174" s="10"/>
      <c r="G174" s="10" t="s">
        <v>41</v>
      </c>
      <c r="H174" s="55" t="n">
        <v>1</v>
      </c>
      <c r="I174" s="56" t="n">
        <f aca="false">IF(H174="","",H174*(C174-B174+1))</f>
        <v>3</v>
      </c>
      <c r="J174" s="10" t="s">
        <v>631</v>
      </c>
      <c r="K174" s="10" t="s">
        <v>248</v>
      </c>
      <c r="L174" s="10" t="s">
        <v>1162</v>
      </c>
      <c r="M174" s="57" t="s">
        <v>1163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55" hidden="false" customHeight="false" outlineLevel="0" collapsed="false">
      <c r="A1" s="19" t="s">
        <v>1164</v>
      </c>
    </row>
    <row r="2" customFormat="false" ht="14.25" hidden="false" customHeight="false" outlineLevel="0" collapsed="false">
      <c r="A2" s="3" t="s">
        <v>1165</v>
      </c>
    </row>
    <row r="3" customFormat="false" ht="14.25" hidden="false" customHeight="false" outlineLevel="0" collapsed="false">
      <c r="A3" s="20" t="s">
        <v>1166</v>
      </c>
    </row>
    <row r="4" customFormat="false" ht="14.25" hidden="false" customHeight="false" outlineLevel="0" collapsed="false">
      <c r="B4" s="58" t="s">
        <v>1167</v>
      </c>
      <c r="C4" s="58"/>
      <c r="D4" s="58"/>
      <c r="E4" s="58" t="s">
        <v>1168</v>
      </c>
      <c r="F4" s="58"/>
      <c r="G4" s="58"/>
      <c r="H4" s="58"/>
      <c r="I4" s="58"/>
      <c r="J4" s="58"/>
      <c r="K4" s="59" t="s">
        <v>1167</v>
      </c>
      <c r="L4" s="58" t="s">
        <v>65</v>
      </c>
      <c r="M4" s="58"/>
      <c r="N4" s="58" t="s">
        <v>1169</v>
      </c>
      <c r="O4" s="58"/>
      <c r="P4" s="58"/>
      <c r="Q4" s="58"/>
      <c r="R4" s="58"/>
      <c r="S4" s="58"/>
      <c r="T4" s="58" t="s">
        <v>1170</v>
      </c>
      <c r="U4" s="58"/>
      <c r="V4" s="58"/>
      <c r="W4" s="58"/>
      <c r="X4" s="58"/>
      <c r="Y4" s="58" t="s">
        <v>1171</v>
      </c>
      <c r="Z4" s="58"/>
      <c r="AA4" s="58"/>
      <c r="AB4" s="58"/>
      <c r="AC4" s="58"/>
      <c r="AD4" s="58"/>
    </row>
    <row r="5" customFormat="false" ht="54" hidden="false" customHeight="true" outlineLevel="0" collapsed="false">
      <c r="A5" s="60" t="s">
        <v>103</v>
      </c>
      <c r="B5" s="7" t="s">
        <v>1172</v>
      </c>
      <c r="C5" s="7" t="s">
        <v>1173</v>
      </c>
      <c r="D5" s="7" t="s">
        <v>1174</v>
      </c>
      <c r="E5" s="7" t="s">
        <v>1175</v>
      </c>
      <c r="F5" s="7" t="s">
        <v>1176</v>
      </c>
      <c r="G5" s="7" t="s">
        <v>1177</v>
      </c>
      <c r="H5" s="7" t="s">
        <v>1178</v>
      </c>
      <c r="I5" s="7" t="s">
        <v>1179</v>
      </c>
      <c r="J5" s="7" t="s">
        <v>1180</v>
      </c>
      <c r="K5" s="7" t="s">
        <v>1181</v>
      </c>
      <c r="L5" s="7" t="s">
        <v>1182</v>
      </c>
      <c r="M5" s="7" t="s">
        <v>1183</v>
      </c>
      <c r="N5" s="7" t="s">
        <v>1184</v>
      </c>
      <c r="O5" s="7" t="s">
        <v>1185</v>
      </c>
      <c r="P5" s="7" t="s">
        <v>1186</v>
      </c>
      <c r="Q5" s="7" t="s">
        <v>1187</v>
      </c>
      <c r="R5" s="7" t="s">
        <v>1188</v>
      </c>
      <c r="S5" s="7" t="s">
        <v>1189</v>
      </c>
      <c r="T5" s="7" t="s">
        <v>1190</v>
      </c>
      <c r="U5" s="7" t="s">
        <v>1191</v>
      </c>
      <c r="V5" s="7" t="s">
        <v>1192</v>
      </c>
      <c r="W5" s="7" t="s">
        <v>1193</v>
      </c>
      <c r="X5" s="7" t="s">
        <v>1194</v>
      </c>
      <c r="Y5" s="7" t="s">
        <v>1195</v>
      </c>
      <c r="Z5" s="7" t="s">
        <v>1196</v>
      </c>
      <c r="AA5" s="7" t="s">
        <v>1197</v>
      </c>
      <c r="AB5" s="7" t="s">
        <v>1198</v>
      </c>
      <c r="AC5" s="7" t="s">
        <v>1199</v>
      </c>
      <c r="AD5" s="7" t="s">
        <v>1200</v>
      </c>
    </row>
    <row r="6" customFormat="false" ht="14.25" hidden="false" customHeight="false" outlineLevel="0" collapsed="false">
      <c r="A6" s="61" t="n">
        <v>1846</v>
      </c>
      <c r="B6" s="49" t="n">
        <v>0.74</v>
      </c>
      <c r="C6" s="62" t="n">
        <v>0.015</v>
      </c>
      <c r="D6" s="48" t="n">
        <v>0</v>
      </c>
      <c r="E6" s="48" t="n">
        <v>2000</v>
      </c>
      <c r="F6" s="48" t="n">
        <v>0</v>
      </c>
      <c r="G6" s="48" t="n">
        <v>0</v>
      </c>
      <c r="H6" s="48" t="n">
        <v>0</v>
      </c>
      <c r="I6" s="62" t="n">
        <v>0.2</v>
      </c>
      <c r="J6" s="62" t="n">
        <v>0.2</v>
      </c>
      <c r="K6" s="48" t="n">
        <v>0</v>
      </c>
      <c r="L6" s="62" t="n">
        <v>0</v>
      </c>
      <c r="M6" s="49" t="n">
        <v>1</v>
      </c>
      <c r="N6" s="62" t="n">
        <v>0.3</v>
      </c>
      <c r="O6" s="62" t="n">
        <v>0.08</v>
      </c>
      <c r="P6" s="62" t="n">
        <v>0.03</v>
      </c>
      <c r="Q6" s="62" t="n">
        <v>0.85</v>
      </c>
      <c r="R6" s="63" t="n">
        <v>0</v>
      </c>
      <c r="S6" s="55" t="n">
        <v>0</v>
      </c>
      <c r="T6" s="62" t="n">
        <v>0.018</v>
      </c>
      <c r="U6" s="62" t="n">
        <v>0.01</v>
      </c>
      <c r="V6" s="62" t="n">
        <v>0</v>
      </c>
      <c r="W6" s="48" t="n">
        <v>500</v>
      </c>
      <c r="X6" s="48" t="n">
        <v>0</v>
      </c>
      <c r="Y6" s="62" t="n">
        <v>0.06</v>
      </c>
      <c r="Z6" s="62" t="n">
        <v>0.05</v>
      </c>
      <c r="AA6" s="62" t="n">
        <v>0.03</v>
      </c>
      <c r="AB6" s="48" t="n">
        <v>1</v>
      </c>
      <c r="AC6" s="48" t="n">
        <v>0</v>
      </c>
      <c r="AD6" s="48" t="n">
        <v>1500</v>
      </c>
    </row>
    <row r="7" customFormat="false" ht="14.25" hidden="false" customHeight="false" outlineLevel="0" collapsed="false">
      <c r="A7" s="61" t="n">
        <v>1847</v>
      </c>
      <c r="B7" s="49" t="n">
        <v>0.74</v>
      </c>
      <c r="C7" s="62" t="n">
        <v>0.015</v>
      </c>
      <c r="D7" s="48" t="n">
        <v>0</v>
      </c>
      <c r="E7" s="48" t="n">
        <v>3000</v>
      </c>
      <c r="F7" s="48" t="n">
        <v>0</v>
      </c>
      <c r="G7" s="48" t="n">
        <v>0</v>
      </c>
      <c r="H7" s="48" t="n">
        <v>0</v>
      </c>
      <c r="I7" s="62" t="n">
        <v>0.2</v>
      </c>
      <c r="J7" s="62" t="n">
        <v>0.2</v>
      </c>
      <c r="K7" s="48" t="n">
        <v>0</v>
      </c>
      <c r="L7" s="62" t="n">
        <v>0.04</v>
      </c>
      <c r="M7" s="49" t="n">
        <v>1</v>
      </c>
      <c r="N7" s="62" t="n">
        <v>0.2967</v>
      </c>
      <c r="O7" s="62" t="n">
        <v>0.08</v>
      </c>
      <c r="P7" s="62" t="n">
        <v>0.03</v>
      </c>
      <c r="Q7" s="62" t="n">
        <v>0.85</v>
      </c>
      <c r="R7" s="63" t="n">
        <v>2E-005</v>
      </c>
      <c r="S7" s="55" t="n">
        <v>0</v>
      </c>
      <c r="T7" s="62" t="n">
        <v>0.0183</v>
      </c>
      <c r="U7" s="62" t="n">
        <v>0.0108</v>
      </c>
      <c r="V7" s="62" t="n">
        <v>0.0007</v>
      </c>
      <c r="W7" s="48" t="n">
        <v>1500</v>
      </c>
      <c r="X7" s="48" t="n">
        <v>1000</v>
      </c>
      <c r="Y7" s="62" t="n">
        <v>0.0603</v>
      </c>
      <c r="Z7" s="62" t="n">
        <v>0.05</v>
      </c>
      <c r="AA7" s="62" t="n">
        <v>0.03</v>
      </c>
      <c r="AB7" s="48" t="n">
        <v>1</v>
      </c>
      <c r="AC7" s="48" t="n">
        <v>0</v>
      </c>
      <c r="AD7" s="48" t="n">
        <v>1500</v>
      </c>
    </row>
    <row r="8" customFormat="false" ht="14.25" hidden="false" customHeight="false" outlineLevel="0" collapsed="false">
      <c r="A8" s="61" t="n">
        <v>1848</v>
      </c>
      <c r="B8" s="49" t="n">
        <v>0.74</v>
      </c>
      <c r="C8" s="62" t="n">
        <v>0.008</v>
      </c>
      <c r="D8" s="48" t="n">
        <v>0</v>
      </c>
      <c r="E8" s="48" t="n">
        <v>15000</v>
      </c>
      <c r="F8" s="48" t="n">
        <v>0</v>
      </c>
      <c r="G8" s="48" t="n">
        <v>0</v>
      </c>
      <c r="H8" s="48" t="n">
        <v>0</v>
      </c>
      <c r="I8" s="62" t="n">
        <v>0.2</v>
      </c>
      <c r="J8" s="62" t="n">
        <v>0.2</v>
      </c>
      <c r="K8" s="48" t="n">
        <v>0</v>
      </c>
      <c r="L8" s="62" t="n">
        <v>0.04</v>
      </c>
      <c r="M8" s="49" t="n">
        <v>1</v>
      </c>
      <c r="N8" s="62" t="n">
        <v>0.2933</v>
      </c>
      <c r="O8" s="62" t="n">
        <v>0.08</v>
      </c>
      <c r="P8" s="62" t="n">
        <v>0.03</v>
      </c>
      <c r="Q8" s="62" t="n">
        <v>0.85</v>
      </c>
      <c r="R8" s="63" t="n">
        <v>4E-005</v>
      </c>
      <c r="S8" s="55" t="n">
        <v>0</v>
      </c>
      <c r="T8" s="62" t="n">
        <v>0.0187</v>
      </c>
      <c r="U8" s="62" t="n">
        <v>0.0117</v>
      </c>
      <c r="V8" s="62" t="n">
        <v>0.0013</v>
      </c>
      <c r="W8" s="48" t="n">
        <v>1000</v>
      </c>
      <c r="X8" s="48" t="n">
        <v>2000</v>
      </c>
      <c r="Y8" s="62" t="n">
        <v>0.0605</v>
      </c>
      <c r="Z8" s="62" t="n">
        <v>0.05</v>
      </c>
      <c r="AA8" s="62" t="n">
        <v>0.03</v>
      </c>
      <c r="AB8" s="48" t="n">
        <v>1</v>
      </c>
      <c r="AC8" s="48" t="n">
        <v>0</v>
      </c>
      <c r="AD8" s="48" t="n">
        <v>1500</v>
      </c>
    </row>
    <row r="9" customFormat="false" ht="14.25" hidden="false" customHeight="false" outlineLevel="0" collapsed="false">
      <c r="A9" s="61" t="n">
        <v>1849</v>
      </c>
      <c r="B9" s="49" t="n">
        <v>1.18</v>
      </c>
      <c r="C9" s="62" t="n">
        <v>0.008</v>
      </c>
      <c r="D9" s="48" t="n">
        <v>0</v>
      </c>
      <c r="E9" s="48" t="n">
        <v>60000</v>
      </c>
      <c r="F9" s="48" t="n">
        <v>300</v>
      </c>
      <c r="G9" s="48" t="n">
        <v>0</v>
      </c>
      <c r="H9" s="48" t="n">
        <v>0</v>
      </c>
      <c r="I9" s="62" t="n">
        <v>0.35</v>
      </c>
      <c r="J9" s="62" t="n">
        <v>0.2</v>
      </c>
      <c r="K9" s="48" t="n">
        <v>0</v>
      </c>
      <c r="L9" s="62" t="n">
        <v>0.04</v>
      </c>
      <c r="M9" s="49" t="n">
        <v>1</v>
      </c>
      <c r="N9" s="62" t="n">
        <v>0.29</v>
      </c>
      <c r="O9" s="62" t="n">
        <v>0.08</v>
      </c>
      <c r="P9" s="62" t="n">
        <v>0.06</v>
      </c>
      <c r="Q9" s="62" t="n">
        <v>0.85</v>
      </c>
      <c r="R9" s="63" t="n">
        <v>6E-005</v>
      </c>
      <c r="S9" s="55" t="n">
        <v>0</v>
      </c>
      <c r="T9" s="62" t="n">
        <v>0.019</v>
      </c>
      <c r="U9" s="62" t="n">
        <v>0.0125</v>
      </c>
      <c r="V9" s="62" t="n">
        <v>0.002</v>
      </c>
      <c r="W9" s="48" t="n">
        <v>1200</v>
      </c>
      <c r="X9" s="48" t="n">
        <v>3000</v>
      </c>
      <c r="Y9" s="62" t="n">
        <v>0.0608</v>
      </c>
      <c r="Z9" s="62" t="n">
        <v>0.05</v>
      </c>
      <c r="AA9" s="62" t="n">
        <v>0.03</v>
      </c>
      <c r="AB9" s="48" t="n">
        <v>1</v>
      </c>
      <c r="AC9" s="48" t="n">
        <v>0</v>
      </c>
      <c r="AD9" s="48" t="n">
        <v>1500</v>
      </c>
    </row>
    <row r="10" customFormat="false" ht="14.25" hidden="false" customHeight="false" outlineLevel="0" collapsed="false">
      <c r="A10" s="61" t="n">
        <v>1850</v>
      </c>
      <c r="B10" s="49" t="n">
        <v>1.1</v>
      </c>
      <c r="C10" s="62" t="n">
        <v>0.008</v>
      </c>
      <c r="D10" s="48" t="n">
        <v>0</v>
      </c>
      <c r="E10" s="48" t="n">
        <v>50000</v>
      </c>
      <c r="F10" s="48" t="n">
        <v>4000</v>
      </c>
      <c r="G10" s="48" t="n">
        <v>0</v>
      </c>
      <c r="H10" s="48" t="n">
        <v>0</v>
      </c>
      <c r="I10" s="62" t="n">
        <v>0.35</v>
      </c>
      <c r="J10" s="62" t="n">
        <v>0.2</v>
      </c>
      <c r="K10" s="48" t="n">
        <v>0</v>
      </c>
      <c r="L10" s="62" t="n">
        <v>0.04</v>
      </c>
      <c r="M10" s="49" t="n">
        <v>1</v>
      </c>
      <c r="N10" s="62" t="n">
        <v>0.2867</v>
      </c>
      <c r="O10" s="62" t="n">
        <v>0.08</v>
      </c>
      <c r="P10" s="62" t="n">
        <v>0.06</v>
      </c>
      <c r="Q10" s="62" t="n">
        <v>0.85</v>
      </c>
      <c r="R10" s="63" t="n">
        <v>8E-005</v>
      </c>
      <c r="S10" s="55" t="n">
        <v>0</v>
      </c>
      <c r="T10" s="62" t="n">
        <v>0.0193</v>
      </c>
      <c r="U10" s="62" t="n">
        <v>0.0133</v>
      </c>
      <c r="V10" s="62" t="n">
        <v>0.0027</v>
      </c>
      <c r="W10" s="48" t="n">
        <v>1500</v>
      </c>
      <c r="X10" s="48" t="n">
        <v>4000</v>
      </c>
      <c r="Y10" s="62" t="n">
        <v>0.0611</v>
      </c>
      <c r="Z10" s="62" t="n">
        <v>0.05</v>
      </c>
      <c r="AA10" s="62" t="n">
        <v>0.03</v>
      </c>
      <c r="AB10" s="48" t="n">
        <v>1</v>
      </c>
      <c r="AC10" s="48" t="n">
        <v>0</v>
      </c>
      <c r="AD10" s="48" t="n">
        <v>1500</v>
      </c>
    </row>
    <row r="11" customFormat="false" ht="14.25" hidden="false" customHeight="false" outlineLevel="0" collapsed="false">
      <c r="A11" s="61" t="n">
        <v>1851</v>
      </c>
      <c r="B11" s="49" t="n">
        <v>1.02</v>
      </c>
      <c r="C11" s="62" t="n">
        <v>0.008</v>
      </c>
      <c r="D11" s="48" t="n">
        <v>0</v>
      </c>
      <c r="E11" s="48" t="n">
        <v>40000</v>
      </c>
      <c r="F11" s="48" t="n">
        <v>3000</v>
      </c>
      <c r="G11" s="48" t="n">
        <v>0</v>
      </c>
      <c r="H11" s="48" t="n">
        <v>0</v>
      </c>
      <c r="I11" s="62" t="n">
        <v>0.35</v>
      </c>
      <c r="J11" s="62" t="n">
        <v>0.2</v>
      </c>
      <c r="K11" s="48" t="n">
        <v>0</v>
      </c>
      <c r="L11" s="62" t="n">
        <v>0.04</v>
      </c>
      <c r="M11" s="49" t="n">
        <v>1</v>
      </c>
      <c r="N11" s="62" t="n">
        <v>0.2833</v>
      </c>
      <c r="O11" s="62" t="n">
        <v>0.08</v>
      </c>
      <c r="P11" s="62" t="n">
        <v>0.06</v>
      </c>
      <c r="Q11" s="62" t="n">
        <v>0.85</v>
      </c>
      <c r="R11" s="63" t="n">
        <v>0.0001</v>
      </c>
      <c r="S11" s="55" t="n">
        <v>0</v>
      </c>
      <c r="T11" s="62" t="n">
        <v>0.0197</v>
      </c>
      <c r="U11" s="62" t="n">
        <v>0.0142</v>
      </c>
      <c r="V11" s="62" t="n">
        <v>0.0033</v>
      </c>
      <c r="W11" s="48" t="n">
        <v>2200</v>
      </c>
      <c r="X11" s="48" t="n">
        <v>6000</v>
      </c>
      <c r="Y11" s="62" t="n">
        <v>0.0613</v>
      </c>
      <c r="Z11" s="62" t="n">
        <v>0.05</v>
      </c>
      <c r="AA11" s="62" t="n">
        <v>0.03</v>
      </c>
      <c r="AB11" s="48" t="n">
        <v>1</v>
      </c>
      <c r="AC11" s="48" t="n">
        <v>0</v>
      </c>
      <c r="AD11" s="48" t="n">
        <v>1535</v>
      </c>
    </row>
    <row r="12" customFormat="false" ht="14.25" hidden="false" customHeight="false" outlineLevel="0" collapsed="false">
      <c r="A12" s="61" t="n">
        <v>1852</v>
      </c>
      <c r="B12" s="49" t="n">
        <v>1</v>
      </c>
      <c r="C12" s="62" t="n">
        <v>0.008</v>
      </c>
      <c r="D12" s="48" t="n">
        <v>0</v>
      </c>
      <c r="E12" s="48" t="n">
        <v>55000</v>
      </c>
      <c r="F12" s="48" t="n">
        <v>20000</v>
      </c>
      <c r="G12" s="48" t="n">
        <v>0</v>
      </c>
      <c r="H12" s="48" t="n">
        <v>0</v>
      </c>
      <c r="I12" s="62" t="n">
        <v>0.35</v>
      </c>
      <c r="J12" s="62" t="n">
        <v>0.4</v>
      </c>
      <c r="K12" s="48" t="n">
        <v>0</v>
      </c>
      <c r="L12" s="62" t="n">
        <v>0.04</v>
      </c>
      <c r="M12" s="49" t="n">
        <v>1</v>
      </c>
      <c r="N12" s="62" t="n">
        <v>0.28</v>
      </c>
      <c r="O12" s="62" t="n">
        <v>0.12</v>
      </c>
      <c r="P12" s="62" t="n">
        <v>0.075</v>
      </c>
      <c r="Q12" s="62" t="n">
        <v>0.85</v>
      </c>
      <c r="R12" s="63" t="n">
        <v>0.00013</v>
      </c>
      <c r="S12" s="55" t="n">
        <v>0</v>
      </c>
      <c r="T12" s="62" t="n">
        <v>0.02</v>
      </c>
      <c r="U12" s="62" t="n">
        <v>0.015</v>
      </c>
      <c r="V12" s="62" t="n">
        <v>0.004</v>
      </c>
      <c r="W12" s="48" t="n">
        <v>3000</v>
      </c>
      <c r="X12" s="48" t="n">
        <v>7000</v>
      </c>
      <c r="Y12" s="62" t="n">
        <v>0.0616</v>
      </c>
      <c r="Z12" s="62" t="n">
        <v>0.05</v>
      </c>
      <c r="AA12" s="62" t="n">
        <v>0.03</v>
      </c>
      <c r="AB12" s="48" t="n">
        <v>1</v>
      </c>
      <c r="AC12" s="48" t="n">
        <v>0</v>
      </c>
      <c r="AD12" s="48" t="n">
        <v>1570</v>
      </c>
    </row>
    <row r="13" customFormat="false" ht="14.25" hidden="false" customHeight="false" outlineLevel="0" collapsed="false">
      <c r="A13" s="61" t="n">
        <v>1853</v>
      </c>
      <c r="B13" s="49" t="n">
        <v>0.99</v>
      </c>
      <c r="C13" s="62" t="n">
        <v>0.008</v>
      </c>
      <c r="D13" s="48" t="n">
        <v>0</v>
      </c>
      <c r="E13" s="48" t="n">
        <v>40000</v>
      </c>
      <c r="F13" s="48" t="n">
        <v>6000</v>
      </c>
      <c r="G13" s="48" t="n">
        <v>0</v>
      </c>
      <c r="H13" s="48" t="n">
        <v>0</v>
      </c>
      <c r="I13" s="62" t="n">
        <v>0.35</v>
      </c>
      <c r="J13" s="62" t="n">
        <v>0.4</v>
      </c>
      <c r="K13" s="48" t="n">
        <v>0</v>
      </c>
      <c r="L13" s="62" t="n">
        <v>0.04</v>
      </c>
      <c r="M13" s="49" t="n">
        <v>1</v>
      </c>
      <c r="N13" s="62" t="n">
        <v>0.2783</v>
      </c>
      <c r="O13" s="62" t="n">
        <v>0.12</v>
      </c>
      <c r="P13" s="62" t="n">
        <v>0.075</v>
      </c>
      <c r="Q13" s="62" t="n">
        <v>0.85</v>
      </c>
      <c r="R13" s="63" t="n">
        <v>0.00015</v>
      </c>
      <c r="S13" s="55" t="n">
        <v>0</v>
      </c>
      <c r="T13" s="62" t="n">
        <v>0.0202</v>
      </c>
      <c r="U13" s="62" t="n">
        <v>0.0158</v>
      </c>
      <c r="V13" s="62" t="n">
        <v>0.0045</v>
      </c>
      <c r="W13" s="48" t="n">
        <v>3700</v>
      </c>
      <c r="X13" s="48" t="n">
        <v>8000</v>
      </c>
      <c r="Y13" s="62" t="n">
        <v>0.0618</v>
      </c>
      <c r="Z13" s="62" t="n">
        <v>0.05</v>
      </c>
      <c r="AA13" s="62" t="n">
        <v>0.03</v>
      </c>
      <c r="AB13" s="48" t="n">
        <v>1</v>
      </c>
      <c r="AC13" s="48" t="n">
        <v>0</v>
      </c>
      <c r="AD13" s="48" t="n">
        <v>1605</v>
      </c>
    </row>
    <row r="14" customFormat="false" ht="14.25" hidden="false" customHeight="false" outlineLevel="0" collapsed="false">
      <c r="A14" s="61" t="n">
        <v>1854</v>
      </c>
      <c r="B14" s="49" t="n">
        <v>0.97</v>
      </c>
      <c r="C14" s="62" t="n">
        <v>0.008</v>
      </c>
      <c r="D14" s="48" t="n">
        <v>0</v>
      </c>
      <c r="E14" s="48" t="n">
        <v>35000</v>
      </c>
      <c r="F14" s="48" t="n">
        <v>6000</v>
      </c>
      <c r="G14" s="48" t="n">
        <v>0</v>
      </c>
      <c r="H14" s="48" t="n">
        <v>0</v>
      </c>
      <c r="I14" s="62" t="n">
        <v>0.35</v>
      </c>
      <c r="J14" s="62" t="n">
        <v>0.4</v>
      </c>
      <c r="K14" s="48" t="n">
        <v>0</v>
      </c>
      <c r="L14" s="62" t="n">
        <v>0.04</v>
      </c>
      <c r="M14" s="49" t="n">
        <v>1</v>
      </c>
      <c r="N14" s="62" t="n">
        <v>0.2767</v>
      </c>
      <c r="O14" s="62" t="n">
        <v>0.12</v>
      </c>
      <c r="P14" s="62" t="n">
        <v>0.075</v>
      </c>
      <c r="Q14" s="62" t="n">
        <v>0.85</v>
      </c>
      <c r="R14" s="63" t="n">
        <v>0.00017</v>
      </c>
      <c r="S14" s="55" t="n">
        <v>0</v>
      </c>
      <c r="T14" s="62" t="n">
        <v>0.0203</v>
      </c>
      <c r="U14" s="62" t="n">
        <v>0.0165</v>
      </c>
      <c r="V14" s="62" t="n">
        <v>0.005</v>
      </c>
      <c r="W14" s="48" t="n">
        <v>4300</v>
      </c>
      <c r="X14" s="48" t="n">
        <v>9000</v>
      </c>
      <c r="Y14" s="62" t="n">
        <v>0.0621</v>
      </c>
      <c r="Z14" s="62" t="n">
        <v>0.05</v>
      </c>
      <c r="AA14" s="62" t="n">
        <v>0.03</v>
      </c>
      <c r="AB14" s="48" t="n">
        <v>1</v>
      </c>
      <c r="AC14" s="48" t="n">
        <v>0</v>
      </c>
      <c r="AD14" s="48" t="n">
        <v>1640</v>
      </c>
    </row>
    <row r="15" customFormat="false" ht="14.25" hidden="false" customHeight="false" outlineLevel="0" collapsed="false">
      <c r="A15" s="61" t="n">
        <v>1855</v>
      </c>
      <c r="B15" s="49" t="n">
        <v>0.95</v>
      </c>
      <c r="C15" s="62" t="n">
        <v>0.008</v>
      </c>
      <c r="D15" s="48" t="n">
        <v>0</v>
      </c>
      <c r="E15" s="48" t="n">
        <v>30000</v>
      </c>
      <c r="F15" s="48" t="n">
        <v>6000</v>
      </c>
      <c r="G15" s="48" t="n">
        <v>0</v>
      </c>
      <c r="H15" s="48" t="n">
        <v>0</v>
      </c>
      <c r="I15" s="62" t="n">
        <v>0.35</v>
      </c>
      <c r="J15" s="62" t="n">
        <v>0.4</v>
      </c>
      <c r="K15" s="48" t="n">
        <v>0</v>
      </c>
      <c r="L15" s="62" t="n">
        <v>0.04</v>
      </c>
      <c r="M15" s="49" t="n">
        <v>1</v>
      </c>
      <c r="N15" s="62" t="n">
        <v>0.275</v>
      </c>
      <c r="O15" s="62" t="n">
        <v>0.12</v>
      </c>
      <c r="P15" s="62" t="n">
        <v>0.085</v>
      </c>
      <c r="Q15" s="62" t="n">
        <v>0.85</v>
      </c>
      <c r="R15" s="63" t="n">
        <v>0.00019</v>
      </c>
      <c r="S15" s="55" t="n">
        <v>0</v>
      </c>
      <c r="T15" s="62" t="n">
        <v>0.0205</v>
      </c>
      <c r="U15" s="62" t="n">
        <v>0.0172</v>
      </c>
      <c r="V15" s="62" t="n">
        <v>0.0055</v>
      </c>
      <c r="W15" s="48" t="n">
        <v>5000</v>
      </c>
      <c r="X15" s="48" t="n">
        <v>10000</v>
      </c>
      <c r="Y15" s="62" t="n">
        <v>0.0624</v>
      </c>
      <c r="Z15" s="62" t="n">
        <v>0.05</v>
      </c>
      <c r="AA15" s="62" t="n">
        <v>0.03</v>
      </c>
      <c r="AB15" s="48" t="n">
        <v>1</v>
      </c>
      <c r="AC15" s="48" t="n">
        <v>0</v>
      </c>
      <c r="AD15" s="48" t="n">
        <v>1675</v>
      </c>
    </row>
    <row r="16" customFormat="false" ht="14.25" hidden="false" customHeight="false" outlineLevel="0" collapsed="false">
      <c r="A16" s="61" t="n">
        <v>1856</v>
      </c>
      <c r="B16" s="49" t="n">
        <v>0.935</v>
      </c>
      <c r="C16" s="62" t="n">
        <v>0.011</v>
      </c>
      <c r="D16" s="48" t="n">
        <v>72000</v>
      </c>
      <c r="E16" s="48" t="n">
        <v>30000</v>
      </c>
      <c r="F16" s="48" t="n">
        <v>6000</v>
      </c>
      <c r="G16" s="48" t="n">
        <v>0</v>
      </c>
      <c r="H16" s="48" t="n">
        <v>0</v>
      </c>
      <c r="I16" s="62" t="n">
        <v>0.2</v>
      </c>
      <c r="J16" s="62" t="n">
        <v>0.4</v>
      </c>
      <c r="K16" s="48" t="n">
        <v>0</v>
      </c>
      <c r="L16" s="62" t="n">
        <v>0.025</v>
      </c>
      <c r="M16" s="49" t="n">
        <v>1</v>
      </c>
      <c r="N16" s="62" t="n">
        <v>0.2733</v>
      </c>
      <c r="O16" s="62" t="n">
        <v>0.12</v>
      </c>
      <c r="P16" s="62" t="n">
        <v>0.085</v>
      </c>
      <c r="Q16" s="62" t="n">
        <v>0.85</v>
      </c>
      <c r="R16" s="63" t="n">
        <v>0.00021</v>
      </c>
      <c r="S16" s="55" t="n">
        <v>0</v>
      </c>
      <c r="T16" s="62" t="n">
        <v>0.0206</v>
      </c>
      <c r="U16" s="62" t="n">
        <v>0.018</v>
      </c>
      <c r="V16" s="62" t="n">
        <v>0.006</v>
      </c>
      <c r="W16" s="48" t="n">
        <v>6300</v>
      </c>
      <c r="X16" s="48" t="n">
        <v>23000</v>
      </c>
      <c r="Y16" s="62" t="n">
        <v>0.0626</v>
      </c>
      <c r="Z16" s="62" t="n">
        <v>0.05</v>
      </c>
      <c r="AA16" s="62" t="n">
        <v>0.03</v>
      </c>
      <c r="AB16" s="48" t="n">
        <v>1</v>
      </c>
      <c r="AC16" s="48" t="n">
        <v>0</v>
      </c>
      <c r="AD16" s="48" t="n">
        <v>1710</v>
      </c>
    </row>
    <row r="17" customFormat="false" ht="14.25" hidden="false" customHeight="false" outlineLevel="0" collapsed="false">
      <c r="A17" s="61" t="n">
        <v>1857</v>
      </c>
      <c r="B17" s="49" t="n">
        <v>0.92</v>
      </c>
      <c r="C17" s="62" t="n">
        <v>0.011</v>
      </c>
      <c r="D17" s="48" t="n">
        <v>0</v>
      </c>
      <c r="E17" s="48" t="n">
        <v>30000</v>
      </c>
      <c r="F17" s="48" t="n">
        <v>6000</v>
      </c>
      <c r="G17" s="48" t="n">
        <v>0</v>
      </c>
      <c r="H17" s="48" t="n">
        <v>0</v>
      </c>
      <c r="I17" s="62" t="n">
        <v>0.2</v>
      </c>
      <c r="J17" s="62" t="n">
        <v>0.4</v>
      </c>
      <c r="K17" s="48" t="n">
        <v>0</v>
      </c>
      <c r="L17" s="62" t="n">
        <v>0.025</v>
      </c>
      <c r="M17" s="49" t="n">
        <v>0.97</v>
      </c>
      <c r="N17" s="62" t="n">
        <v>0.2717</v>
      </c>
      <c r="O17" s="62" t="n">
        <v>0.12</v>
      </c>
      <c r="P17" s="62" t="n">
        <v>0.085</v>
      </c>
      <c r="Q17" s="62" t="n">
        <v>0.85</v>
      </c>
      <c r="R17" s="63" t="n">
        <v>0.00023</v>
      </c>
      <c r="S17" s="55" t="n">
        <v>0</v>
      </c>
      <c r="T17" s="62" t="n">
        <v>0.0208</v>
      </c>
      <c r="U17" s="62" t="n">
        <v>0.0181</v>
      </c>
      <c r="V17" s="62" t="n">
        <v>0.0061</v>
      </c>
      <c r="W17" s="48" t="n">
        <v>7700</v>
      </c>
      <c r="X17" s="48" t="n">
        <v>37000</v>
      </c>
      <c r="Y17" s="62" t="n">
        <v>0.0629</v>
      </c>
      <c r="Z17" s="62" t="n">
        <v>0.05</v>
      </c>
      <c r="AA17" s="62" t="n">
        <v>0.03</v>
      </c>
      <c r="AB17" s="48" t="n">
        <v>1</v>
      </c>
      <c r="AC17" s="48" t="n">
        <v>0</v>
      </c>
      <c r="AD17" s="48" t="n">
        <v>1745</v>
      </c>
    </row>
    <row r="18" customFormat="false" ht="14.25" hidden="false" customHeight="false" outlineLevel="0" collapsed="false">
      <c r="A18" s="61" t="n">
        <v>1858</v>
      </c>
      <c r="B18" s="49" t="n">
        <v>0.9067</v>
      </c>
      <c r="C18" s="62" t="n">
        <v>0.011</v>
      </c>
      <c r="D18" s="48" t="n">
        <v>0</v>
      </c>
      <c r="E18" s="48" t="n">
        <v>30000</v>
      </c>
      <c r="F18" s="48" t="n">
        <v>6000</v>
      </c>
      <c r="G18" s="48" t="n">
        <v>0</v>
      </c>
      <c r="H18" s="48" t="n">
        <v>0</v>
      </c>
      <c r="I18" s="62" t="n">
        <v>0.2</v>
      </c>
      <c r="J18" s="62" t="n">
        <v>0.4</v>
      </c>
      <c r="K18" s="48" t="n">
        <v>0</v>
      </c>
      <c r="L18" s="62" t="n">
        <v>0.025</v>
      </c>
      <c r="M18" s="49" t="n">
        <v>0.98</v>
      </c>
      <c r="N18" s="62" t="n">
        <v>0.27</v>
      </c>
      <c r="O18" s="62" t="n">
        <v>0.12</v>
      </c>
      <c r="P18" s="62" t="n">
        <v>0.085</v>
      </c>
      <c r="Q18" s="62" t="n">
        <v>0.85</v>
      </c>
      <c r="R18" s="63" t="n">
        <v>0.00025</v>
      </c>
      <c r="S18" s="55" t="n">
        <v>0</v>
      </c>
      <c r="T18" s="62" t="n">
        <v>0.0209</v>
      </c>
      <c r="U18" s="62" t="n">
        <v>0.0182</v>
      </c>
      <c r="V18" s="62" t="n">
        <v>0.0062</v>
      </c>
      <c r="W18" s="48" t="n">
        <v>9000</v>
      </c>
      <c r="X18" s="48" t="n">
        <v>50000</v>
      </c>
      <c r="Y18" s="62" t="n">
        <v>0.0632</v>
      </c>
      <c r="Z18" s="62" t="n">
        <v>0.05</v>
      </c>
      <c r="AA18" s="62" t="n">
        <v>0.03</v>
      </c>
      <c r="AB18" s="48" t="n">
        <v>1</v>
      </c>
      <c r="AC18" s="48" t="n">
        <v>0</v>
      </c>
      <c r="AD18" s="48" t="n">
        <v>1780</v>
      </c>
    </row>
    <row r="19" customFormat="false" ht="14.25" hidden="false" customHeight="false" outlineLevel="0" collapsed="false">
      <c r="A19" s="61" t="n">
        <v>1859</v>
      </c>
      <c r="B19" s="49" t="n">
        <v>0.8933</v>
      </c>
      <c r="C19" s="62" t="n">
        <v>0.011</v>
      </c>
      <c r="D19" s="48" t="n">
        <v>0</v>
      </c>
      <c r="E19" s="48" t="n">
        <v>30000</v>
      </c>
      <c r="F19" s="48" t="n">
        <v>6000</v>
      </c>
      <c r="G19" s="48" t="n">
        <v>0</v>
      </c>
      <c r="H19" s="48" t="n">
        <v>0</v>
      </c>
      <c r="I19" s="62" t="n">
        <v>0.2</v>
      </c>
      <c r="J19" s="62" t="n">
        <v>0.4</v>
      </c>
      <c r="K19" s="48" t="n">
        <v>0</v>
      </c>
      <c r="L19" s="62" t="n">
        <v>0.025</v>
      </c>
      <c r="M19" s="49" t="n">
        <v>1</v>
      </c>
      <c r="N19" s="62" t="n">
        <v>0.2683</v>
      </c>
      <c r="O19" s="62" t="n">
        <v>0.12</v>
      </c>
      <c r="P19" s="62" t="n">
        <v>0.085</v>
      </c>
      <c r="Q19" s="62" t="n">
        <v>0.85</v>
      </c>
      <c r="R19" s="63" t="n">
        <v>0.00027</v>
      </c>
      <c r="S19" s="55" t="n">
        <v>0</v>
      </c>
      <c r="T19" s="62" t="n">
        <v>0.0211</v>
      </c>
      <c r="U19" s="62" t="n">
        <v>0.0182</v>
      </c>
      <c r="V19" s="62" t="n">
        <v>0.0063</v>
      </c>
      <c r="W19" s="48" t="n">
        <v>12000</v>
      </c>
      <c r="X19" s="48" t="n">
        <v>63000</v>
      </c>
      <c r="Y19" s="62" t="n">
        <v>0.0634</v>
      </c>
      <c r="Z19" s="62" t="n">
        <v>0.05</v>
      </c>
      <c r="AA19" s="62" t="n">
        <v>0.03</v>
      </c>
      <c r="AB19" s="48" t="n">
        <v>1</v>
      </c>
      <c r="AC19" s="48" t="n">
        <v>0</v>
      </c>
      <c r="AD19" s="48" t="n">
        <v>1815</v>
      </c>
    </row>
    <row r="20" customFormat="false" ht="14.25" hidden="false" customHeight="false" outlineLevel="0" collapsed="false">
      <c r="A20" s="61" t="n">
        <v>1860</v>
      </c>
      <c r="B20" s="49" t="n">
        <v>0.88</v>
      </c>
      <c r="C20" s="62" t="n">
        <v>0.011</v>
      </c>
      <c r="D20" s="48" t="n">
        <v>0</v>
      </c>
      <c r="E20" s="48" t="n">
        <v>30000</v>
      </c>
      <c r="F20" s="48" t="n">
        <v>8000</v>
      </c>
      <c r="G20" s="48" t="n">
        <v>0</v>
      </c>
      <c r="H20" s="48" t="n">
        <v>0</v>
      </c>
      <c r="I20" s="62" t="n">
        <v>0.2</v>
      </c>
      <c r="J20" s="62" t="n">
        <v>0.4</v>
      </c>
      <c r="K20" s="48" t="n">
        <v>0</v>
      </c>
      <c r="L20" s="62" t="n">
        <v>0.025</v>
      </c>
      <c r="M20" s="49" t="n">
        <v>1</v>
      </c>
      <c r="N20" s="62" t="n">
        <v>0.2667</v>
      </c>
      <c r="O20" s="62" t="n">
        <v>0.12</v>
      </c>
      <c r="P20" s="62" t="n">
        <v>0.085</v>
      </c>
      <c r="Q20" s="62" t="n">
        <v>0.85</v>
      </c>
      <c r="R20" s="63" t="n">
        <v>0.00029</v>
      </c>
      <c r="S20" s="55" t="n">
        <v>0</v>
      </c>
      <c r="T20" s="62" t="n">
        <v>0.0212</v>
      </c>
      <c r="U20" s="62" t="n">
        <v>0.0183</v>
      </c>
      <c r="V20" s="62" t="n">
        <v>0.0064</v>
      </c>
      <c r="W20" s="48" t="n">
        <v>15000</v>
      </c>
      <c r="X20" s="48" t="n">
        <v>77000</v>
      </c>
      <c r="Y20" s="62" t="n">
        <v>0.0637</v>
      </c>
      <c r="Z20" s="62" t="n">
        <v>0.05</v>
      </c>
      <c r="AA20" s="62" t="n">
        <v>0.03</v>
      </c>
      <c r="AB20" s="48" t="n">
        <v>1</v>
      </c>
      <c r="AC20" s="48" t="n">
        <v>0</v>
      </c>
      <c r="AD20" s="48" t="n">
        <v>1850</v>
      </c>
    </row>
    <row r="21" customFormat="false" ht="14.25" hidden="false" customHeight="false" outlineLevel="0" collapsed="false">
      <c r="A21" s="64" t="n">
        <v>1861</v>
      </c>
      <c r="B21" s="49" t="n">
        <v>0.88</v>
      </c>
      <c r="C21" s="62" t="n">
        <v>0.011</v>
      </c>
      <c r="D21" s="48" t="n">
        <v>0</v>
      </c>
      <c r="E21" s="48" t="n">
        <v>35000</v>
      </c>
      <c r="F21" s="48" t="n">
        <v>8000</v>
      </c>
      <c r="G21" s="48" t="n">
        <v>0</v>
      </c>
      <c r="H21" s="48" t="n">
        <v>0</v>
      </c>
      <c r="I21" s="62" t="n">
        <v>0.2</v>
      </c>
      <c r="J21" s="62" t="n">
        <v>0.4</v>
      </c>
      <c r="K21" s="48" t="n">
        <v>0</v>
      </c>
      <c r="L21" s="62" t="n">
        <v>0.02</v>
      </c>
      <c r="M21" s="49" t="n">
        <v>0.98</v>
      </c>
      <c r="N21" s="62" t="n">
        <v>0.265</v>
      </c>
      <c r="O21" s="62" t="n">
        <v>0.12</v>
      </c>
      <c r="P21" s="62" t="n">
        <v>0.12</v>
      </c>
      <c r="Q21" s="62" t="n">
        <v>0.85</v>
      </c>
      <c r="R21" s="63" t="n">
        <v>0.00031</v>
      </c>
      <c r="S21" s="55" t="n">
        <v>0</v>
      </c>
      <c r="T21" s="62" t="n">
        <v>0.0214</v>
      </c>
      <c r="U21" s="62" t="n">
        <v>0.0184</v>
      </c>
      <c r="V21" s="62" t="n">
        <v>0.0065</v>
      </c>
      <c r="W21" s="48" t="n">
        <v>20000</v>
      </c>
      <c r="X21" s="48" t="n">
        <v>90000</v>
      </c>
      <c r="Y21" s="62" t="n">
        <v>0.0639</v>
      </c>
      <c r="Z21" s="62" t="n">
        <v>0.05</v>
      </c>
      <c r="AA21" s="62" t="n">
        <v>0.03</v>
      </c>
      <c r="AB21" s="48" t="n">
        <v>1</v>
      </c>
      <c r="AC21" s="48" t="n">
        <v>1</v>
      </c>
      <c r="AD21" s="48" t="n">
        <v>1885</v>
      </c>
    </row>
    <row r="22" customFormat="false" ht="14.25" hidden="false" customHeight="false" outlineLevel="0" collapsed="false">
      <c r="A22" s="64" t="n">
        <v>1862</v>
      </c>
      <c r="B22" s="49" t="n">
        <v>0.88</v>
      </c>
      <c r="C22" s="62" t="n">
        <v>0.014</v>
      </c>
      <c r="D22" s="48" t="n">
        <v>177000</v>
      </c>
      <c r="E22" s="48" t="n">
        <v>35000</v>
      </c>
      <c r="F22" s="48" t="n">
        <v>8000</v>
      </c>
      <c r="G22" s="48" t="n">
        <v>0</v>
      </c>
      <c r="H22" s="48" t="n">
        <v>0</v>
      </c>
      <c r="I22" s="62" t="n">
        <v>0.2</v>
      </c>
      <c r="J22" s="62" t="n">
        <v>0.4</v>
      </c>
      <c r="K22" s="48" t="n">
        <v>0</v>
      </c>
      <c r="L22" s="62" t="n">
        <v>0.02</v>
      </c>
      <c r="M22" s="49" t="n">
        <v>0.97</v>
      </c>
      <c r="N22" s="62" t="n">
        <v>0.2633</v>
      </c>
      <c r="O22" s="62" t="n">
        <v>0.12</v>
      </c>
      <c r="P22" s="62" t="n">
        <v>0.12</v>
      </c>
      <c r="Q22" s="62" t="n">
        <v>0.85</v>
      </c>
      <c r="R22" s="63" t="n">
        <v>0.00033</v>
      </c>
      <c r="S22" s="55" t="n">
        <v>0</v>
      </c>
      <c r="T22" s="62" t="n">
        <v>0.0215</v>
      </c>
      <c r="U22" s="62" t="n">
        <v>0.0185</v>
      </c>
      <c r="V22" s="62" t="n">
        <v>0.0066</v>
      </c>
      <c r="W22" s="48" t="n">
        <v>38000</v>
      </c>
      <c r="X22" s="48" t="n">
        <v>98000</v>
      </c>
      <c r="Y22" s="62" t="n">
        <v>0.0642</v>
      </c>
      <c r="Z22" s="62" t="n">
        <v>0.05</v>
      </c>
      <c r="AA22" s="62" t="n">
        <v>0.03</v>
      </c>
      <c r="AB22" s="48" t="n">
        <v>1</v>
      </c>
      <c r="AC22" s="48" t="n">
        <v>1</v>
      </c>
      <c r="AD22" s="48" t="n">
        <v>1920</v>
      </c>
    </row>
    <row r="23" customFormat="false" ht="14.25" hidden="false" customHeight="false" outlineLevel="0" collapsed="false">
      <c r="A23" s="64" t="n">
        <v>1863</v>
      </c>
      <c r="B23" s="49" t="n">
        <v>0.9033</v>
      </c>
      <c r="C23" s="62" t="n">
        <v>0.014</v>
      </c>
      <c r="D23" s="48" t="n">
        <v>85000</v>
      </c>
      <c r="E23" s="48" t="n">
        <v>35000</v>
      </c>
      <c r="F23" s="48" t="n">
        <v>8000</v>
      </c>
      <c r="G23" s="48" t="n">
        <v>0</v>
      </c>
      <c r="H23" s="48" t="n">
        <v>0</v>
      </c>
      <c r="I23" s="62" t="n">
        <v>0.2</v>
      </c>
      <c r="J23" s="62" t="n">
        <v>0.4</v>
      </c>
      <c r="K23" s="48" t="n">
        <v>0</v>
      </c>
      <c r="L23" s="62" t="n">
        <v>0.02</v>
      </c>
      <c r="M23" s="49" t="n">
        <v>0.98</v>
      </c>
      <c r="N23" s="62" t="n">
        <v>0.2617</v>
      </c>
      <c r="O23" s="62" t="n">
        <v>0.12</v>
      </c>
      <c r="P23" s="62" t="n">
        <v>0.12</v>
      </c>
      <c r="Q23" s="62" t="n">
        <v>0.85</v>
      </c>
      <c r="R23" s="63" t="n">
        <v>0.00035</v>
      </c>
      <c r="S23" s="55" t="n">
        <v>0</v>
      </c>
      <c r="T23" s="62" t="n">
        <v>0.0217</v>
      </c>
      <c r="U23" s="62" t="n">
        <v>0.0186</v>
      </c>
      <c r="V23" s="62" t="n">
        <v>0.0067</v>
      </c>
      <c r="W23" s="48" t="n">
        <v>42000</v>
      </c>
      <c r="X23" s="48" t="n">
        <v>105000</v>
      </c>
      <c r="Y23" s="62" t="n">
        <v>0.0645</v>
      </c>
      <c r="Z23" s="62" t="n">
        <v>0.05</v>
      </c>
      <c r="AA23" s="62" t="n">
        <v>0.03</v>
      </c>
      <c r="AB23" s="48" t="n">
        <v>1</v>
      </c>
      <c r="AC23" s="48" t="n">
        <v>1</v>
      </c>
      <c r="AD23" s="48" t="n">
        <v>1955</v>
      </c>
    </row>
    <row r="24" customFormat="false" ht="14.25" hidden="false" customHeight="false" outlineLevel="0" collapsed="false">
      <c r="A24" s="64" t="n">
        <v>1864</v>
      </c>
      <c r="B24" s="49" t="n">
        <v>0.9267</v>
      </c>
      <c r="C24" s="62" t="n">
        <v>0.014</v>
      </c>
      <c r="D24" s="48" t="n">
        <v>25000</v>
      </c>
      <c r="E24" s="48" t="n">
        <v>35000</v>
      </c>
      <c r="F24" s="48" t="n">
        <v>8000</v>
      </c>
      <c r="G24" s="48" t="n">
        <v>0</v>
      </c>
      <c r="H24" s="48" t="n">
        <v>0</v>
      </c>
      <c r="I24" s="62" t="n">
        <v>0.2</v>
      </c>
      <c r="J24" s="62" t="n">
        <v>0.4</v>
      </c>
      <c r="K24" s="48" t="n">
        <v>0</v>
      </c>
      <c r="L24" s="62" t="n">
        <v>0.02</v>
      </c>
      <c r="M24" s="49" t="n">
        <v>1</v>
      </c>
      <c r="N24" s="62" t="n">
        <v>0.26</v>
      </c>
      <c r="O24" s="62" t="n">
        <v>0.12</v>
      </c>
      <c r="P24" s="62" t="n">
        <v>0.12</v>
      </c>
      <c r="Q24" s="62" t="n">
        <v>0.85</v>
      </c>
      <c r="R24" s="63" t="n">
        <v>0.00038</v>
      </c>
      <c r="S24" s="55" t="n">
        <v>0</v>
      </c>
      <c r="T24" s="62" t="n">
        <v>0.0218</v>
      </c>
      <c r="U24" s="62" t="n">
        <v>0.0187</v>
      </c>
      <c r="V24" s="62" t="n">
        <v>0.0068</v>
      </c>
      <c r="W24" s="48" t="n">
        <v>42000</v>
      </c>
      <c r="X24" s="48" t="n">
        <v>112000</v>
      </c>
      <c r="Y24" s="62" t="n">
        <v>0.0647</v>
      </c>
      <c r="Z24" s="62" t="n">
        <v>0.05</v>
      </c>
      <c r="AA24" s="62" t="n">
        <v>0.03</v>
      </c>
      <c r="AB24" s="48" t="n">
        <v>1</v>
      </c>
      <c r="AC24" s="48" t="n">
        <v>1</v>
      </c>
      <c r="AD24" s="48" t="n">
        <v>1990</v>
      </c>
    </row>
    <row r="25" customFormat="false" ht="14.25" hidden="false" customHeight="false" outlineLevel="0" collapsed="false">
      <c r="A25" s="64" t="n">
        <v>1865</v>
      </c>
      <c r="B25" s="49" t="n">
        <v>0.95</v>
      </c>
      <c r="C25" s="62" t="n">
        <v>0.014</v>
      </c>
      <c r="D25" s="48" t="n">
        <v>10000</v>
      </c>
      <c r="E25" s="48" t="n">
        <v>35000</v>
      </c>
      <c r="F25" s="48" t="n">
        <v>8000</v>
      </c>
      <c r="G25" s="48" t="n">
        <v>0</v>
      </c>
      <c r="H25" s="48" t="n">
        <v>0</v>
      </c>
      <c r="I25" s="62" t="n">
        <v>0.2</v>
      </c>
      <c r="J25" s="62" t="n">
        <v>0.4</v>
      </c>
      <c r="K25" s="48" t="n">
        <v>0</v>
      </c>
      <c r="L25" s="62" t="n">
        <v>0.02</v>
      </c>
      <c r="M25" s="49" t="n">
        <v>1</v>
      </c>
      <c r="N25" s="62" t="n">
        <v>0.2583</v>
      </c>
      <c r="O25" s="62" t="n">
        <v>0.12</v>
      </c>
      <c r="P25" s="62" t="n">
        <v>0.12</v>
      </c>
      <c r="Q25" s="62" t="n">
        <v>0.85</v>
      </c>
      <c r="R25" s="63" t="n">
        <v>0.0004</v>
      </c>
      <c r="S25" s="55" t="n">
        <v>0</v>
      </c>
      <c r="T25" s="62" t="n">
        <v>0.022</v>
      </c>
      <c r="U25" s="62" t="n">
        <v>0.0187</v>
      </c>
      <c r="V25" s="62" t="n">
        <v>0.0069</v>
      </c>
      <c r="W25" s="48" t="n">
        <v>32000</v>
      </c>
      <c r="X25" s="48" t="n">
        <v>120000</v>
      </c>
      <c r="Y25" s="62" t="n">
        <v>0.065</v>
      </c>
      <c r="Z25" s="62" t="n">
        <v>0.05</v>
      </c>
      <c r="AA25" s="62" t="n">
        <v>0.03</v>
      </c>
      <c r="AB25" s="48" t="n">
        <v>1</v>
      </c>
      <c r="AC25" s="48" t="n">
        <v>1</v>
      </c>
      <c r="AD25" s="48" t="n">
        <v>2025</v>
      </c>
    </row>
    <row r="26" customFormat="false" ht="14.25" hidden="false" customHeight="false" outlineLevel="0" collapsed="false">
      <c r="A26" s="61" t="n">
        <v>1866</v>
      </c>
      <c r="B26" s="49" t="n">
        <v>0.95</v>
      </c>
      <c r="C26" s="62" t="n">
        <v>0.014</v>
      </c>
      <c r="D26" s="48" t="n">
        <v>0</v>
      </c>
      <c r="E26" s="48" t="n">
        <v>80000</v>
      </c>
      <c r="F26" s="48" t="n">
        <v>8000</v>
      </c>
      <c r="G26" s="48" t="n">
        <v>0</v>
      </c>
      <c r="H26" s="48" t="n">
        <v>0</v>
      </c>
      <c r="I26" s="62" t="n">
        <v>0.2</v>
      </c>
      <c r="J26" s="62" t="n">
        <v>0.4</v>
      </c>
      <c r="K26" s="48" t="n">
        <v>0</v>
      </c>
      <c r="L26" s="62" t="n">
        <v>0.02</v>
      </c>
      <c r="M26" s="49" t="n">
        <v>1</v>
      </c>
      <c r="N26" s="62" t="n">
        <v>0.2567</v>
      </c>
      <c r="O26" s="62" t="n">
        <v>0.12</v>
      </c>
      <c r="P26" s="62" t="n">
        <v>0.115</v>
      </c>
      <c r="Q26" s="62" t="n">
        <v>0.85</v>
      </c>
      <c r="R26" s="63" t="n">
        <v>0.00042</v>
      </c>
      <c r="S26" s="55" t="n">
        <v>0</v>
      </c>
      <c r="T26" s="62" t="n">
        <v>0.0223</v>
      </c>
      <c r="U26" s="62" t="n">
        <v>0.0188</v>
      </c>
      <c r="V26" s="62" t="n">
        <v>0.007</v>
      </c>
      <c r="W26" s="48" t="n">
        <v>22000</v>
      </c>
      <c r="X26" s="48" t="n">
        <v>120000</v>
      </c>
      <c r="Y26" s="62" t="n">
        <v>0.0643</v>
      </c>
      <c r="Z26" s="62" t="n">
        <v>0.05</v>
      </c>
      <c r="AA26" s="62" t="n">
        <v>0.03</v>
      </c>
      <c r="AB26" s="48" t="n">
        <v>1</v>
      </c>
      <c r="AC26" s="48" t="n">
        <v>0</v>
      </c>
      <c r="AD26" s="48" t="n">
        <v>2060</v>
      </c>
    </row>
    <row r="27" customFormat="false" ht="14.25" hidden="false" customHeight="false" outlineLevel="0" collapsed="false">
      <c r="A27" s="61" t="n">
        <v>1867</v>
      </c>
      <c r="B27" s="49" t="n">
        <v>0.95</v>
      </c>
      <c r="C27" s="62" t="n">
        <v>0.014</v>
      </c>
      <c r="D27" s="48" t="n">
        <v>50000</v>
      </c>
      <c r="E27" s="48" t="n">
        <v>80000</v>
      </c>
      <c r="F27" s="48" t="n">
        <v>8000</v>
      </c>
      <c r="G27" s="48" t="n">
        <v>0</v>
      </c>
      <c r="H27" s="48" t="n">
        <v>0</v>
      </c>
      <c r="I27" s="62" t="n">
        <v>0.2</v>
      </c>
      <c r="J27" s="62" t="n">
        <v>0.4</v>
      </c>
      <c r="K27" s="48" t="n">
        <v>0</v>
      </c>
      <c r="L27" s="62" t="n">
        <v>0.02</v>
      </c>
      <c r="M27" s="49" t="n">
        <v>1</v>
      </c>
      <c r="N27" s="62" t="n">
        <v>0.255</v>
      </c>
      <c r="O27" s="62" t="n">
        <v>0.12</v>
      </c>
      <c r="P27" s="62" t="n">
        <v>0.115</v>
      </c>
      <c r="Q27" s="62" t="n">
        <v>0.85</v>
      </c>
      <c r="R27" s="63" t="n">
        <v>0.00044</v>
      </c>
      <c r="S27" s="55" t="n">
        <v>0</v>
      </c>
      <c r="T27" s="62" t="n">
        <v>0.0225</v>
      </c>
      <c r="U27" s="62" t="n">
        <v>0.0189</v>
      </c>
      <c r="V27" s="62" t="n">
        <v>0.0071</v>
      </c>
      <c r="W27" s="48" t="n">
        <v>18000</v>
      </c>
      <c r="X27" s="48" t="n">
        <v>120000</v>
      </c>
      <c r="Y27" s="62" t="n">
        <v>0.0636</v>
      </c>
      <c r="Z27" s="62" t="n">
        <v>0.05</v>
      </c>
      <c r="AA27" s="62" t="n">
        <v>0.03</v>
      </c>
      <c r="AB27" s="48" t="n">
        <v>1</v>
      </c>
      <c r="AC27" s="48" t="n">
        <v>0</v>
      </c>
      <c r="AD27" s="48" t="n">
        <v>2095</v>
      </c>
    </row>
    <row r="28" customFormat="false" ht="14.25" hidden="false" customHeight="false" outlineLevel="0" collapsed="false">
      <c r="A28" s="61" t="n">
        <v>1868</v>
      </c>
      <c r="B28" s="49" t="n">
        <v>0.95</v>
      </c>
      <c r="C28" s="62" t="n">
        <v>0.019</v>
      </c>
      <c r="D28" s="48" t="n">
        <v>0</v>
      </c>
      <c r="E28" s="48" t="n">
        <v>80000</v>
      </c>
      <c r="F28" s="48" t="n">
        <v>15000</v>
      </c>
      <c r="G28" s="48" t="n">
        <v>0</v>
      </c>
      <c r="H28" s="48" t="n">
        <v>0</v>
      </c>
      <c r="I28" s="62" t="n">
        <v>0.2</v>
      </c>
      <c r="J28" s="62" t="n">
        <v>0.4</v>
      </c>
      <c r="K28" s="48" t="n">
        <v>0</v>
      </c>
      <c r="L28" s="62" t="n">
        <v>0.02</v>
      </c>
      <c r="M28" s="49" t="n">
        <v>1</v>
      </c>
      <c r="N28" s="62" t="n">
        <v>0.2533</v>
      </c>
      <c r="O28" s="62" t="n">
        <v>0.12</v>
      </c>
      <c r="P28" s="62" t="n">
        <v>0.115</v>
      </c>
      <c r="Q28" s="62" t="n">
        <v>0.85</v>
      </c>
      <c r="R28" s="63" t="n">
        <v>0.00046</v>
      </c>
      <c r="S28" s="55" t="n">
        <v>0</v>
      </c>
      <c r="T28" s="62" t="n">
        <v>0.0228</v>
      </c>
      <c r="U28" s="62" t="n">
        <v>0.019</v>
      </c>
      <c r="V28" s="62" t="n">
        <v>0.0072</v>
      </c>
      <c r="W28" s="48" t="n">
        <v>18000</v>
      </c>
      <c r="X28" s="48" t="n">
        <v>120000</v>
      </c>
      <c r="Y28" s="62" t="n">
        <v>0.0629</v>
      </c>
      <c r="Z28" s="62" t="n">
        <v>0.05</v>
      </c>
      <c r="AA28" s="62" t="n">
        <v>0.03</v>
      </c>
      <c r="AB28" s="48" t="n">
        <v>1</v>
      </c>
      <c r="AC28" s="48" t="n">
        <v>0</v>
      </c>
      <c r="AD28" s="48" t="n">
        <v>2130</v>
      </c>
    </row>
    <row r="29" customFormat="false" ht="14.25" hidden="false" customHeight="false" outlineLevel="0" collapsed="false">
      <c r="A29" s="61" t="n">
        <v>1869</v>
      </c>
      <c r="B29" s="49" t="n">
        <v>0.95</v>
      </c>
      <c r="C29" s="62" t="n">
        <v>0.019</v>
      </c>
      <c r="D29" s="48" t="n">
        <v>0</v>
      </c>
      <c r="E29" s="48" t="n">
        <v>80000</v>
      </c>
      <c r="F29" s="48" t="n">
        <v>25000</v>
      </c>
      <c r="G29" s="48" t="n">
        <v>200</v>
      </c>
      <c r="H29" s="48" t="n">
        <v>0</v>
      </c>
      <c r="I29" s="62" t="n">
        <v>0.2</v>
      </c>
      <c r="J29" s="62" t="n">
        <v>0.4</v>
      </c>
      <c r="K29" s="48" t="n">
        <v>0</v>
      </c>
      <c r="L29" s="62" t="n">
        <v>0.02</v>
      </c>
      <c r="M29" s="49" t="n">
        <v>1</v>
      </c>
      <c r="N29" s="62" t="n">
        <v>0.2517</v>
      </c>
      <c r="O29" s="62" t="n">
        <v>0.12</v>
      </c>
      <c r="P29" s="62" t="n">
        <v>0.115</v>
      </c>
      <c r="Q29" s="62" t="n">
        <v>0.85</v>
      </c>
      <c r="R29" s="63" t="n">
        <v>0.00048</v>
      </c>
      <c r="S29" s="55" t="n">
        <v>0</v>
      </c>
      <c r="T29" s="62" t="n">
        <v>0.0231</v>
      </c>
      <c r="U29" s="62" t="n">
        <v>0.0191</v>
      </c>
      <c r="V29" s="62" t="n">
        <v>0.0073</v>
      </c>
      <c r="W29" s="48" t="n">
        <v>18000</v>
      </c>
      <c r="X29" s="48" t="n">
        <v>120000</v>
      </c>
      <c r="Y29" s="62" t="n">
        <v>0.0621</v>
      </c>
      <c r="Z29" s="62" t="n">
        <v>0.05</v>
      </c>
      <c r="AA29" s="62" t="n">
        <v>0.03</v>
      </c>
      <c r="AB29" s="48" t="n">
        <v>1</v>
      </c>
      <c r="AC29" s="48" t="n">
        <v>0</v>
      </c>
      <c r="AD29" s="48" t="n">
        <v>2165</v>
      </c>
    </row>
    <row r="30" customFormat="false" ht="14.25" hidden="false" customHeight="false" outlineLevel="0" collapsed="false">
      <c r="A30" s="64" t="n">
        <v>1870</v>
      </c>
      <c r="B30" s="49" t="n">
        <v>0.95</v>
      </c>
      <c r="C30" s="62" t="n">
        <v>0.019</v>
      </c>
      <c r="D30" s="48" t="n">
        <v>0</v>
      </c>
      <c r="E30" s="48" t="n">
        <v>80000</v>
      </c>
      <c r="F30" s="48" t="n">
        <v>25000</v>
      </c>
      <c r="G30" s="48" t="n">
        <v>500</v>
      </c>
      <c r="H30" s="48" t="n">
        <v>0</v>
      </c>
      <c r="I30" s="62" t="n">
        <v>0.2</v>
      </c>
      <c r="J30" s="62" t="n">
        <v>0.4</v>
      </c>
      <c r="K30" s="48" t="n">
        <v>0</v>
      </c>
      <c r="L30" s="62" t="n">
        <v>0.02</v>
      </c>
      <c r="M30" s="49" t="n">
        <v>1</v>
      </c>
      <c r="N30" s="62" t="n">
        <v>0.25</v>
      </c>
      <c r="O30" s="62" t="n">
        <v>0.12</v>
      </c>
      <c r="P30" s="62" t="n">
        <v>0.115</v>
      </c>
      <c r="Q30" s="62" t="n">
        <v>0.85</v>
      </c>
      <c r="R30" s="63" t="n">
        <v>0.0005</v>
      </c>
      <c r="S30" s="55" t="n">
        <v>0</v>
      </c>
      <c r="T30" s="62" t="n">
        <v>0.0233</v>
      </c>
      <c r="U30" s="62" t="n">
        <v>0.0192</v>
      </c>
      <c r="V30" s="62" t="n">
        <v>0.0074</v>
      </c>
      <c r="W30" s="48" t="n">
        <v>18000</v>
      </c>
      <c r="X30" s="48" t="n">
        <v>120000</v>
      </c>
      <c r="Y30" s="62" t="n">
        <v>0.0614</v>
      </c>
      <c r="Z30" s="62" t="n">
        <v>0.05</v>
      </c>
      <c r="AA30" s="62" t="n">
        <v>0.03</v>
      </c>
      <c r="AB30" s="48" t="n">
        <v>1</v>
      </c>
      <c r="AC30" s="48" t="n">
        <v>1</v>
      </c>
      <c r="AD30" s="48" t="n">
        <v>2200</v>
      </c>
    </row>
    <row r="31" customFormat="false" ht="14.25" hidden="false" customHeight="false" outlineLevel="0" collapsed="false">
      <c r="A31" s="64" t="n">
        <v>1871</v>
      </c>
      <c r="B31" s="49" t="n">
        <v>0.936</v>
      </c>
      <c r="C31" s="62" t="n">
        <v>0.019</v>
      </c>
      <c r="D31" s="48" t="n">
        <v>0</v>
      </c>
      <c r="E31" s="48" t="n">
        <v>80000</v>
      </c>
      <c r="F31" s="48" t="n">
        <v>25000</v>
      </c>
      <c r="G31" s="48" t="n">
        <v>500</v>
      </c>
      <c r="H31" s="48" t="n">
        <v>0</v>
      </c>
      <c r="I31" s="62" t="n">
        <v>0.2</v>
      </c>
      <c r="J31" s="62" t="n">
        <v>0.4</v>
      </c>
      <c r="K31" s="48" t="n">
        <v>0</v>
      </c>
      <c r="L31" s="62" t="n">
        <v>0.022</v>
      </c>
      <c r="M31" s="49" t="n">
        <v>1</v>
      </c>
      <c r="N31" s="62" t="n">
        <v>0.2483</v>
      </c>
      <c r="O31" s="62" t="n">
        <v>0.12</v>
      </c>
      <c r="P31" s="62" t="n">
        <v>0.115</v>
      </c>
      <c r="Q31" s="62" t="n">
        <v>0.85</v>
      </c>
      <c r="R31" s="63" t="n">
        <v>0.00065</v>
      </c>
      <c r="S31" s="55" t="n">
        <v>0</v>
      </c>
      <c r="T31" s="62" t="n">
        <v>0.0236</v>
      </c>
      <c r="U31" s="62" t="n">
        <v>0.0192</v>
      </c>
      <c r="V31" s="62" t="n">
        <v>0.0075</v>
      </c>
      <c r="W31" s="48" t="n">
        <v>18200</v>
      </c>
      <c r="X31" s="48" t="n">
        <v>120000</v>
      </c>
      <c r="Y31" s="62" t="n">
        <v>0.0607</v>
      </c>
      <c r="Z31" s="62" t="n">
        <v>0.05</v>
      </c>
      <c r="AA31" s="62" t="n">
        <v>0.03</v>
      </c>
      <c r="AB31" s="48" t="n">
        <v>1</v>
      </c>
      <c r="AC31" s="48" t="n">
        <v>1</v>
      </c>
      <c r="AD31" s="48" t="n">
        <v>2265</v>
      </c>
    </row>
    <row r="32" customFormat="false" ht="14.25" hidden="false" customHeight="false" outlineLevel="0" collapsed="false">
      <c r="A32" s="61" t="n">
        <v>1872</v>
      </c>
      <c r="B32" s="49" t="n">
        <v>0.922</v>
      </c>
      <c r="C32" s="62" t="n">
        <v>0.019</v>
      </c>
      <c r="D32" s="48" t="n">
        <v>0</v>
      </c>
      <c r="E32" s="48" t="n">
        <v>80000</v>
      </c>
      <c r="F32" s="48" t="n">
        <v>25000</v>
      </c>
      <c r="G32" s="48" t="n">
        <v>500</v>
      </c>
      <c r="H32" s="48" t="n">
        <v>0</v>
      </c>
      <c r="I32" s="62" t="n">
        <v>0.2</v>
      </c>
      <c r="J32" s="62" t="n">
        <v>0.4</v>
      </c>
      <c r="K32" s="48" t="n">
        <v>0</v>
      </c>
      <c r="L32" s="62" t="n">
        <v>0.022</v>
      </c>
      <c r="M32" s="49" t="n">
        <v>1</v>
      </c>
      <c r="N32" s="62" t="n">
        <v>0.2467</v>
      </c>
      <c r="O32" s="62" t="n">
        <v>0.12</v>
      </c>
      <c r="P32" s="62" t="n">
        <v>0.115</v>
      </c>
      <c r="Q32" s="62" t="n">
        <v>0.85</v>
      </c>
      <c r="R32" s="63" t="n">
        <v>0.0008</v>
      </c>
      <c r="S32" s="55" t="n">
        <v>0</v>
      </c>
      <c r="T32" s="62" t="n">
        <v>0.0239</v>
      </c>
      <c r="U32" s="62" t="n">
        <v>0.0193</v>
      </c>
      <c r="V32" s="62" t="n">
        <v>0.0076</v>
      </c>
      <c r="W32" s="48" t="n">
        <v>18400</v>
      </c>
      <c r="X32" s="48" t="n">
        <v>120000</v>
      </c>
      <c r="Y32" s="62" t="n">
        <v>0.06</v>
      </c>
      <c r="Z32" s="62" t="n">
        <v>0.05</v>
      </c>
      <c r="AA32" s="62" t="n">
        <v>0.03</v>
      </c>
      <c r="AB32" s="48" t="n">
        <v>1</v>
      </c>
      <c r="AC32" s="48" t="n">
        <v>0</v>
      </c>
      <c r="AD32" s="48" t="n">
        <v>2330</v>
      </c>
    </row>
    <row r="33" customFormat="false" ht="14.25" hidden="false" customHeight="false" outlineLevel="0" collapsed="false">
      <c r="A33" s="61" t="n">
        <v>1873</v>
      </c>
      <c r="B33" s="49" t="n">
        <v>0.908</v>
      </c>
      <c r="C33" s="62" t="n">
        <v>0.019</v>
      </c>
      <c r="D33" s="48" t="n">
        <v>0</v>
      </c>
      <c r="E33" s="48" t="n">
        <v>110000</v>
      </c>
      <c r="F33" s="48" t="n">
        <v>25000</v>
      </c>
      <c r="G33" s="48" t="n">
        <v>500</v>
      </c>
      <c r="H33" s="48" t="n">
        <v>0</v>
      </c>
      <c r="I33" s="62" t="n">
        <v>0.2</v>
      </c>
      <c r="J33" s="62" t="n">
        <v>0.4</v>
      </c>
      <c r="K33" s="48" t="n">
        <v>0</v>
      </c>
      <c r="L33" s="62" t="n">
        <v>0.022</v>
      </c>
      <c r="M33" s="49" t="n">
        <v>0.98</v>
      </c>
      <c r="N33" s="62" t="n">
        <v>0.245</v>
      </c>
      <c r="O33" s="62" t="n">
        <v>0.12</v>
      </c>
      <c r="P33" s="62" t="n">
        <v>0.105</v>
      </c>
      <c r="Q33" s="62" t="n">
        <v>0.85</v>
      </c>
      <c r="R33" s="63" t="n">
        <v>0.00095</v>
      </c>
      <c r="S33" s="55" t="n">
        <v>0</v>
      </c>
      <c r="T33" s="62" t="n">
        <v>0.0241</v>
      </c>
      <c r="U33" s="62" t="n">
        <v>0.0194</v>
      </c>
      <c r="V33" s="62" t="n">
        <v>0.0077</v>
      </c>
      <c r="W33" s="48" t="n">
        <v>18600</v>
      </c>
      <c r="X33" s="48" t="n">
        <v>120000</v>
      </c>
      <c r="Y33" s="62" t="n">
        <v>0.0593</v>
      </c>
      <c r="Z33" s="62" t="n">
        <v>0.05</v>
      </c>
      <c r="AA33" s="62" t="n">
        <v>0.03</v>
      </c>
      <c r="AB33" s="48" t="n">
        <v>1</v>
      </c>
      <c r="AC33" s="48" t="n">
        <v>0</v>
      </c>
      <c r="AD33" s="48" t="n">
        <v>2395</v>
      </c>
    </row>
    <row r="34" customFormat="false" ht="14.25" hidden="false" customHeight="false" outlineLevel="0" collapsed="false">
      <c r="A34" s="61" t="n">
        <v>1874</v>
      </c>
      <c r="B34" s="49" t="n">
        <v>0.894</v>
      </c>
      <c r="C34" s="62" t="n">
        <v>0.019</v>
      </c>
      <c r="D34" s="48" t="n">
        <v>0</v>
      </c>
      <c r="E34" s="48" t="n">
        <v>110000</v>
      </c>
      <c r="F34" s="48" t="n">
        <v>25000</v>
      </c>
      <c r="G34" s="48" t="n">
        <v>500</v>
      </c>
      <c r="H34" s="48" t="n">
        <v>0</v>
      </c>
      <c r="I34" s="62" t="n">
        <v>0.2</v>
      </c>
      <c r="J34" s="62" t="n">
        <v>0.4</v>
      </c>
      <c r="K34" s="48" t="n">
        <v>0</v>
      </c>
      <c r="L34" s="62" t="n">
        <v>0.022</v>
      </c>
      <c r="M34" s="49" t="n">
        <v>0.97</v>
      </c>
      <c r="N34" s="62" t="n">
        <v>0.2433</v>
      </c>
      <c r="O34" s="62" t="n">
        <v>0.12</v>
      </c>
      <c r="P34" s="62" t="n">
        <v>0.105</v>
      </c>
      <c r="Q34" s="62" t="n">
        <v>0.85</v>
      </c>
      <c r="R34" s="63" t="n">
        <v>0.0011</v>
      </c>
      <c r="S34" s="55" t="n">
        <v>0</v>
      </c>
      <c r="T34" s="62" t="n">
        <v>0.0244</v>
      </c>
      <c r="U34" s="62" t="n">
        <v>0.0195</v>
      </c>
      <c r="V34" s="62" t="n">
        <v>0.0078</v>
      </c>
      <c r="W34" s="48" t="n">
        <v>18800</v>
      </c>
      <c r="X34" s="48" t="n">
        <v>120000</v>
      </c>
      <c r="Y34" s="62" t="n">
        <v>0.0587</v>
      </c>
      <c r="Z34" s="62" t="n">
        <v>0.05</v>
      </c>
      <c r="AA34" s="62" t="n">
        <v>0.03</v>
      </c>
      <c r="AB34" s="48" t="n">
        <v>1</v>
      </c>
      <c r="AC34" s="48" t="n">
        <v>0</v>
      </c>
      <c r="AD34" s="48" t="n">
        <v>2460</v>
      </c>
    </row>
    <row r="35" customFormat="false" ht="14.25" hidden="false" customHeight="false" outlineLevel="0" collapsed="false">
      <c r="A35" s="61" t="n">
        <v>1875</v>
      </c>
      <c r="B35" s="49" t="n">
        <v>0.88</v>
      </c>
      <c r="C35" s="62" t="n">
        <v>0.019</v>
      </c>
      <c r="D35" s="48" t="n">
        <v>0</v>
      </c>
      <c r="E35" s="48" t="n">
        <v>110000</v>
      </c>
      <c r="F35" s="48" t="n">
        <v>25000</v>
      </c>
      <c r="G35" s="48" t="n">
        <v>500</v>
      </c>
      <c r="H35" s="48" t="n">
        <v>0</v>
      </c>
      <c r="I35" s="62" t="n">
        <v>0.2</v>
      </c>
      <c r="J35" s="62" t="n">
        <v>0.4</v>
      </c>
      <c r="K35" s="48" t="n">
        <v>0</v>
      </c>
      <c r="L35" s="62" t="n">
        <v>0.022</v>
      </c>
      <c r="M35" s="49" t="n">
        <v>0.98</v>
      </c>
      <c r="N35" s="62" t="n">
        <v>0.2417</v>
      </c>
      <c r="O35" s="62" t="n">
        <v>0.12</v>
      </c>
      <c r="P35" s="62" t="n">
        <v>0.105</v>
      </c>
      <c r="Q35" s="62" t="n">
        <v>0.85</v>
      </c>
      <c r="R35" s="63" t="n">
        <v>0.00125</v>
      </c>
      <c r="S35" s="55" t="n">
        <v>0</v>
      </c>
      <c r="T35" s="62" t="n">
        <v>0.0247</v>
      </c>
      <c r="U35" s="62" t="n">
        <v>0.0196</v>
      </c>
      <c r="V35" s="62" t="n">
        <v>0.0079</v>
      </c>
      <c r="W35" s="48" t="n">
        <v>19000</v>
      </c>
      <c r="X35" s="48" t="n">
        <v>120000</v>
      </c>
      <c r="Y35" s="62" t="n">
        <v>0.058</v>
      </c>
      <c r="Z35" s="62" t="n">
        <v>0.05</v>
      </c>
      <c r="AA35" s="62" t="n">
        <v>0.03</v>
      </c>
      <c r="AB35" s="48" t="n">
        <v>1</v>
      </c>
      <c r="AC35" s="48" t="n">
        <v>0</v>
      </c>
      <c r="AD35" s="48" t="n">
        <v>2525</v>
      </c>
    </row>
    <row r="36" customFormat="false" ht="14.25" hidden="false" customHeight="false" outlineLevel="0" collapsed="false">
      <c r="A36" s="61" t="n">
        <v>1876</v>
      </c>
      <c r="B36" s="49" t="n">
        <v>0.864</v>
      </c>
      <c r="C36" s="62" t="n">
        <v>0.019</v>
      </c>
      <c r="D36" s="48" t="n">
        <v>0</v>
      </c>
      <c r="E36" s="48" t="n">
        <v>110000</v>
      </c>
      <c r="F36" s="48" t="n">
        <v>25000</v>
      </c>
      <c r="G36" s="48" t="n">
        <v>500</v>
      </c>
      <c r="H36" s="48" t="n">
        <v>0</v>
      </c>
      <c r="I36" s="62" t="n">
        <v>0.2</v>
      </c>
      <c r="J36" s="62" t="n">
        <v>0.4</v>
      </c>
      <c r="K36" s="48" t="n">
        <v>6000000</v>
      </c>
      <c r="L36" s="62" t="n">
        <v>0.022</v>
      </c>
      <c r="M36" s="49" t="n">
        <v>1</v>
      </c>
      <c r="N36" s="62" t="n">
        <v>0.24</v>
      </c>
      <c r="O36" s="62" t="n">
        <v>0.12</v>
      </c>
      <c r="P36" s="62" t="n">
        <v>0.105</v>
      </c>
      <c r="Q36" s="62" t="n">
        <v>0.85</v>
      </c>
      <c r="R36" s="63" t="n">
        <v>0.0014</v>
      </c>
      <c r="S36" s="55" t="n">
        <v>0</v>
      </c>
      <c r="T36" s="62" t="n">
        <v>0.0249</v>
      </c>
      <c r="U36" s="62" t="n">
        <v>0.0197</v>
      </c>
      <c r="V36" s="62" t="n">
        <v>0.008</v>
      </c>
      <c r="W36" s="48" t="n">
        <v>19200</v>
      </c>
      <c r="X36" s="48" t="n">
        <v>120000</v>
      </c>
      <c r="Y36" s="62" t="n">
        <v>0.0574</v>
      </c>
      <c r="Z36" s="62" t="n">
        <v>0.05</v>
      </c>
      <c r="AA36" s="62" t="n">
        <v>0.03</v>
      </c>
      <c r="AB36" s="48" t="n">
        <v>1</v>
      </c>
      <c r="AC36" s="48" t="n">
        <v>0</v>
      </c>
      <c r="AD36" s="48" t="n">
        <v>2590</v>
      </c>
    </row>
    <row r="37" customFormat="false" ht="14.25" hidden="false" customHeight="false" outlineLevel="0" collapsed="false">
      <c r="A37" s="61" t="n">
        <v>1877</v>
      </c>
      <c r="B37" s="49" t="n">
        <v>0.848</v>
      </c>
      <c r="C37" s="62" t="n">
        <v>0.019</v>
      </c>
      <c r="D37" s="48" t="n">
        <v>0</v>
      </c>
      <c r="E37" s="48" t="n">
        <v>110000</v>
      </c>
      <c r="F37" s="48" t="n">
        <v>25000</v>
      </c>
      <c r="G37" s="48" t="n">
        <v>500</v>
      </c>
      <c r="H37" s="48" t="n">
        <v>1000</v>
      </c>
      <c r="I37" s="62" t="n">
        <v>0.2</v>
      </c>
      <c r="J37" s="62" t="n">
        <v>0.4</v>
      </c>
      <c r="K37" s="48" t="n">
        <v>6055000</v>
      </c>
      <c r="L37" s="62" t="n">
        <v>0.022</v>
      </c>
      <c r="M37" s="49" t="n">
        <v>0.98</v>
      </c>
      <c r="N37" s="62" t="n">
        <v>0.2383</v>
      </c>
      <c r="O37" s="62" t="n">
        <v>0.12</v>
      </c>
      <c r="P37" s="62" t="n">
        <v>0.105</v>
      </c>
      <c r="Q37" s="62" t="n">
        <v>0.85</v>
      </c>
      <c r="R37" s="63" t="n">
        <v>0.00155</v>
      </c>
      <c r="S37" s="55" t="n">
        <v>0</v>
      </c>
      <c r="T37" s="62" t="n">
        <v>0.0252</v>
      </c>
      <c r="U37" s="62" t="n">
        <v>0.0198</v>
      </c>
      <c r="V37" s="62" t="n">
        <v>0.0082</v>
      </c>
      <c r="W37" s="48" t="n">
        <v>19400</v>
      </c>
      <c r="X37" s="48" t="n">
        <v>120000</v>
      </c>
      <c r="Y37" s="62" t="n">
        <v>0.0567</v>
      </c>
      <c r="Z37" s="62" t="n">
        <v>0.05</v>
      </c>
      <c r="AA37" s="62" t="n">
        <v>0.03</v>
      </c>
      <c r="AB37" s="48" t="n">
        <v>1</v>
      </c>
      <c r="AC37" s="48" t="n">
        <v>0</v>
      </c>
      <c r="AD37" s="48" t="n">
        <v>2655</v>
      </c>
    </row>
    <row r="38" customFormat="false" ht="14.25" hidden="false" customHeight="false" outlineLevel="0" collapsed="false">
      <c r="A38" s="61" t="n">
        <v>1878</v>
      </c>
      <c r="B38" s="49" t="n">
        <v>0.832</v>
      </c>
      <c r="C38" s="62" t="n">
        <v>0.019</v>
      </c>
      <c r="D38" s="48" t="n">
        <v>0</v>
      </c>
      <c r="E38" s="48" t="n">
        <v>110000</v>
      </c>
      <c r="F38" s="48" t="n">
        <v>25000</v>
      </c>
      <c r="G38" s="48" t="n">
        <v>500</v>
      </c>
      <c r="H38" s="48" t="n">
        <v>1000</v>
      </c>
      <c r="I38" s="62" t="n">
        <v>0.2</v>
      </c>
      <c r="J38" s="62" t="n">
        <v>0.4</v>
      </c>
      <c r="K38" s="48" t="n">
        <v>6109000</v>
      </c>
      <c r="L38" s="62" t="n">
        <v>0.022</v>
      </c>
      <c r="M38" s="49" t="n">
        <v>1</v>
      </c>
      <c r="N38" s="62" t="n">
        <v>0.2367</v>
      </c>
      <c r="O38" s="62" t="n">
        <v>0.12</v>
      </c>
      <c r="P38" s="62" t="n">
        <v>0.105</v>
      </c>
      <c r="Q38" s="62" t="n">
        <v>0.85</v>
      </c>
      <c r="R38" s="63" t="n">
        <v>0.0017</v>
      </c>
      <c r="S38" s="55" t="n">
        <v>0</v>
      </c>
      <c r="T38" s="62" t="n">
        <v>0.0255</v>
      </c>
      <c r="U38" s="62" t="n">
        <v>0.0198</v>
      </c>
      <c r="V38" s="62" t="n">
        <v>0.0084</v>
      </c>
      <c r="W38" s="48" t="n">
        <v>19600</v>
      </c>
      <c r="X38" s="48" t="n">
        <v>120000</v>
      </c>
      <c r="Y38" s="62" t="n">
        <v>0.0561</v>
      </c>
      <c r="Z38" s="62" t="n">
        <v>0.05</v>
      </c>
      <c r="AA38" s="62" t="n">
        <v>0.03</v>
      </c>
      <c r="AB38" s="48" t="n">
        <v>1</v>
      </c>
      <c r="AC38" s="48" t="n">
        <v>0</v>
      </c>
      <c r="AD38" s="48" t="n">
        <v>2720</v>
      </c>
    </row>
    <row r="39" customFormat="false" ht="14.25" hidden="false" customHeight="false" outlineLevel="0" collapsed="false">
      <c r="A39" s="61" t="n">
        <v>1879</v>
      </c>
      <c r="B39" s="49" t="n">
        <v>0.816</v>
      </c>
      <c r="C39" s="62" t="n">
        <v>0.019</v>
      </c>
      <c r="D39" s="48" t="n">
        <v>0</v>
      </c>
      <c r="E39" s="48" t="n">
        <v>110000</v>
      </c>
      <c r="F39" s="48" t="n">
        <v>25000</v>
      </c>
      <c r="G39" s="48" t="n">
        <v>500</v>
      </c>
      <c r="H39" s="48" t="n">
        <v>1000</v>
      </c>
      <c r="I39" s="62" t="n">
        <v>0.2</v>
      </c>
      <c r="J39" s="62" t="n">
        <v>0.4</v>
      </c>
      <c r="K39" s="48" t="n">
        <v>6164000</v>
      </c>
      <c r="L39" s="62" t="n">
        <v>0.022</v>
      </c>
      <c r="M39" s="49" t="n">
        <v>1</v>
      </c>
      <c r="N39" s="62" t="n">
        <v>0.235</v>
      </c>
      <c r="O39" s="62" t="n">
        <v>0.12</v>
      </c>
      <c r="P39" s="62" t="n">
        <v>0.105</v>
      </c>
      <c r="Q39" s="62" t="n">
        <v>0.85</v>
      </c>
      <c r="R39" s="63" t="n">
        <v>0.00185</v>
      </c>
      <c r="S39" s="55" t="n">
        <v>0</v>
      </c>
      <c r="T39" s="62" t="n">
        <v>0.0257</v>
      </c>
      <c r="U39" s="62" t="n">
        <v>0.0199</v>
      </c>
      <c r="V39" s="62" t="n">
        <v>0.0087</v>
      </c>
      <c r="W39" s="48" t="n">
        <v>19800</v>
      </c>
      <c r="X39" s="48" t="n">
        <v>120000</v>
      </c>
      <c r="Y39" s="62" t="n">
        <v>0.0554</v>
      </c>
      <c r="Z39" s="62" t="n">
        <v>0.05</v>
      </c>
      <c r="AA39" s="62" t="n">
        <v>0.03</v>
      </c>
      <c r="AB39" s="48" t="n">
        <v>1</v>
      </c>
      <c r="AC39" s="48" t="n">
        <v>0</v>
      </c>
      <c r="AD39" s="48" t="n">
        <v>2785</v>
      </c>
    </row>
    <row r="40" customFormat="false" ht="14.25" hidden="false" customHeight="false" outlineLevel="0" collapsed="false">
      <c r="A40" s="61" t="n">
        <v>1880</v>
      </c>
      <c r="B40" s="49" t="n">
        <v>0.8</v>
      </c>
      <c r="C40" s="62" t="n">
        <v>0.019</v>
      </c>
      <c r="D40" s="48" t="n">
        <v>0</v>
      </c>
      <c r="E40" s="48" t="n">
        <v>110000</v>
      </c>
      <c r="F40" s="48" t="n">
        <v>25000</v>
      </c>
      <c r="G40" s="48" t="n">
        <v>500</v>
      </c>
      <c r="H40" s="48" t="n">
        <v>1000</v>
      </c>
      <c r="I40" s="62" t="n">
        <v>0.2</v>
      </c>
      <c r="J40" s="62" t="n">
        <v>0.4</v>
      </c>
      <c r="K40" s="48" t="n">
        <v>6218000</v>
      </c>
      <c r="L40" s="62" t="n">
        <v>0.022</v>
      </c>
      <c r="M40" s="49" t="n">
        <v>1</v>
      </c>
      <c r="N40" s="62" t="n">
        <v>0.2333</v>
      </c>
      <c r="O40" s="62" t="n">
        <v>0.12</v>
      </c>
      <c r="P40" s="62" t="n">
        <v>0.105</v>
      </c>
      <c r="Q40" s="62" t="n">
        <v>0.85</v>
      </c>
      <c r="R40" s="63" t="n">
        <v>0.002</v>
      </c>
      <c r="S40" s="55" t="n">
        <v>0</v>
      </c>
      <c r="T40" s="62" t="n">
        <v>0.026</v>
      </c>
      <c r="U40" s="62" t="n">
        <v>0.02</v>
      </c>
      <c r="V40" s="62" t="n">
        <v>0.0089</v>
      </c>
      <c r="W40" s="48" t="n">
        <v>20000</v>
      </c>
      <c r="X40" s="48" t="n">
        <v>120000</v>
      </c>
      <c r="Y40" s="62" t="n">
        <v>0.0548</v>
      </c>
      <c r="Z40" s="62" t="n">
        <v>0.05</v>
      </c>
      <c r="AA40" s="62" t="n">
        <v>0.03</v>
      </c>
      <c r="AB40" s="48" t="n">
        <v>1</v>
      </c>
      <c r="AC40" s="48" t="n">
        <v>0</v>
      </c>
      <c r="AD40" s="48" t="n">
        <v>2850</v>
      </c>
    </row>
    <row r="41" customFormat="false" ht="14.25" hidden="false" customHeight="false" outlineLevel="0" collapsed="false">
      <c r="A41" s="61" t="n">
        <v>1881</v>
      </c>
      <c r="B41" s="49" t="n">
        <v>0.788</v>
      </c>
      <c r="C41" s="62" t="n">
        <v>0.019</v>
      </c>
      <c r="D41" s="48" t="n">
        <v>0</v>
      </c>
      <c r="E41" s="48" t="n">
        <v>110000</v>
      </c>
      <c r="F41" s="48" t="n">
        <v>25000</v>
      </c>
      <c r="G41" s="48" t="n">
        <v>500</v>
      </c>
      <c r="H41" s="48" t="n">
        <v>1000</v>
      </c>
      <c r="I41" s="62" t="n">
        <v>0.2</v>
      </c>
      <c r="J41" s="62" t="n">
        <v>0.4</v>
      </c>
      <c r="K41" s="48" t="n">
        <v>6273000</v>
      </c>
      <c r="L41" s="62" t="n">
        <v>0.018</v>
      </c>
      <c r="M41" s="49" t="n">
        <v>1</v>
      </c>
      <c r="N41" s="62" t="n">
        <v>0.2317</v>
      </c>
      <c r="O41" s="62" t="n">
        <v>0.12</v>
      </c>
      <c r="P41" s="62" t="n">
        <v>0.09</v>
      </c>
      <c r="Q41" s="62" t="n">
        <v>0.85</v>
      </c>
      <c r="R41" s="63" t="n">
        <v>0.002</v>
      </c>
      <c r="S41" s="55" t="n">
        <v>0</v>
      </c>
      <c r="T41" s="62" t="n">
        <v>0.0265</v>
      </c>
      <c r="U41" s="62" t="n">
        <v>0.02</v>
      </c>
      <c r="V41" s="62" t="n">
        <v>0.0091</v>
      </c>
      <c r="W41" s="48" t="n">
        <v>20800</v>
      </c>
      <c r="X41" s="48" t="n">
        <v>122000</v>
      </c>
      <c r="Y41" s="62" t="n">
        <v>0.0541</v>
      </c>
      <c r="Z41" s="62" t="n">
        <v>0.05</v>
      </c>
      <c r="AA41" s="62" t="n">
        <v>0.03</v>
      </c>
      <c r="AB41" s="48" t="n">
        <v>1</v>
      </c>
      <c r="AC41" s="48" t="n">
        <v>0</v>
      </c>
      <c r="AD41" s="48" t="n">
        <v>2915</v>
      </c>
    </row>
    <row r="42" customFormat="false" ht="14.25" hidden="false" customHeight="false" outlineLevel="0" collapsed="false">
      <c r="A42" s="61" t="n">
        <v>1882</v>
      </c>
      <c r="B42" s="49" t="n">
        <v>0.776</v>
      </c>
      <c r="C42" s="62" t="n">
        <v>0.019</v>
      </c>
      <c r="D42" s="48" t="n">
        <v>0</v>
      </c>
      <c r="E42" s="48" t="n">
        <v>110000</v>
      </c>
      <c r="F42" s="48" t="n">
        <v>25000</v>
      </c>
      <c r="G42" s="48" t="n">
        <v>500</v>
      </c>
      <c r="H42" s="48" t="n">
        <v>1000</v>
      </c>
      <c r="I42" s="62" t="n">
        <v>0.2</v>
      </c>
      <c r="J42" s="62" t="n">
        <v>0.4</v>
      </c>
      <c r="K42" s="48" t="n">
        <v>6327000</v>
      </c>
      <c r="L42" s="62" t="n">
        <v>0.018</v>
      </c>
      <c r="M42" s="49" t="n">
        <v>1</v>
      </c>
      <c r="N42" s="62" t="n">
        <v>0.23</v>
      </c>
      <c r="O42" s="62" t="n">
        <v>0.12</v>
      </c>
      <c r="P42" s="62" t="n">
        <v>0.09</v>
      </c>
      <c r="Q42" s="62" t="n">
        <v>0.85</v>
      </c>
      <c r="R42" s="63" t="n">
        <v>0.002</v>
      </c>
      <c r="S42" s="55" t="n">
        <v>0</v>
      </c>
      <c r="T42" s="62" t="n">
        <v>0.027</v>
      </c>
      <c r="U42" s="62" t="n">
        <v>0.02</v>
      </c>
      <c r="V42" s="62" t="n">
        <v>0.0093</v>
      </c>
      <c r="W42" s="48" t="n">
        <v>21600</v>
      </c>
      <c r="X42" s="48" t="n">
        <v>123000</v>
      </c>
      <c r="Y42" s="62" t="n">
        <v>0.0535</v>
      </c>
      <c r="Z42" s="62" t="n">
        <v>0.05</v>
      </c>
      <c r="AA42" s="62" t="n">
        <v>0.03</v>
      </c>
      <c r="AB42" s="48" t="n">
        <v>1</v>
      </c>
      <c r="AC42" s="48" t="n">
        <v>0</v>
      </c>
      <c r="AD42" s="48" t="n">
        <v>2980</v>
      </c>
    </row>
    <row r="43" customFormat="false" ht="14.25" hidden="false" customHeight="false" outlineLevel="0" collapsed="false">
      <c r="A43" s="61" t="n">
        <v>1883</v>
      </c>
      <c r="B43" s="49" t="n">
        <v>0.764</v>
      </c>
      <c r="C43" s="62" t="n">
        <v>0.019</v>
      </c>
      <c r="D43" s="48" t="n">
        <v>0</v>
      </c>
      <c r="E43" s="48" t="n">
        <v>110000</v>
      </c>
      <c r="F43" s="48" t="n">
        <v>25000</v>
      </c>
      <c r="G43" s="48" t="n">
        <v>500</v>
      </c>
      <c r="H43" s="48" t="n">
        <v>1000</v>
      </c>
      <c r="I43" s="62" t="n">
        <v>0.2</v>
      </c>
      <c r="J43" s="62" t="n">
        <v>0.4</v>
      </c>
      <c r="K43" s="48" t="n">
        <v>6382000</v>
      </c>
      <c r="L43" s="62" t="n">
        <v>0.018</v>
      </c>
      <c r="M43" s="49" t="n">
        <v>1</v>
      </c>
      <c r="N43" s="62" t="n">
        <v>0.2283</v>
      </c>
      <c r="O43" s="62" t="n">
        <v>0.12</v>
      </c>
      <c r="P43" s="62" t="n">
        <v>0.09</v>
      </c>
      <c r="Q43" s="62" t="n">
        <v>0.85</v>
      </c>
      <c r="R43" s="63" t="n">
        <v>0.002</v>
      </c>
      <c r="S43" s="55" t="n">
        <v>0</v>
      </c>
      <c r="T43" s="62" t="n">
        <v>0.0275</v>
      </c>
      <c r="U43" s="62" t="n">
        <v>0.02</v>
      </c>
      <c r="V43" s="62" t="n">
        <v>0.0096</v>
      </c>
      <c r="W43" s="48" t="n">
        <v>22400</v>
      </c>
      <c r="X43" s="48" t="n">
        <v>124000</v>
      </c>
      <c r="Y43" s="62" t="n">
        <v>0.0528</v>
      </c>
      <c r="Z43" s="62" t="n">
        <v>0.05</v>
      </c>
      <c r="AA43" s="62" t="n">
        <v>0.03</v>
      </c>
      <c r="AB43" s="48" t="n">
        <v>1</v>
      </c>
      <c r="AC43" s="48" t="n">
        <v>0</v>
      </c>
      <c r="AD43" s="48" t="n">
        <v>3045</v>
      </c>
    </row>
    <row r="44" customFormat="false" ht="14.25" hidden="false" customHeight="false" outlineLevel="0" collapsed="false">
      <c r="A44" s="61" t="n">
        <v>1884</v>
      </c>
      <c r="B44" s="49" t="n">
        <v>0.752</v>
      </c>
      <c r="C44" s="62" t="n">
        <v>0.019</v>
      </c>
      <c r="D44" s="48" t="n">
        <v>0</v>
      </c>
      <c r="E44" s="48" t="n">
        <v>110000</v>
      </c>
      <c r="F44" s="48" t="n">
        <v>25000</v>
      </c>
      <c r="G44" s="48" t="n">
        <v>500</v>
      </c>
      <c r="H44" s="48" t="n">
        <v>1000</v>
      </c>
      <c r="I44" s="62" t="n">
        <v>0.2</v>
      </c>
      <c r="J44" s="62" t="n">
        <v>0.4</v>
      </c>
      <c r="K44" s="48" t="n">
        <v>6436000</v>
      </c>
      <c r="L44" s="62" t="n">
        <v>0.018</v>
      </c>
      <c r="M44" s="49" t="n">
        <v>0.98</v>
      </c>
      <c r="N44" s="62" t="n">
        <v>0.2267</v>
      </c>
      <c r="O44" s="62" t="n">
        <v>0.12</v>
      </c>
      <c r="P44" s="62" t="n">
        <v>0.09</v>
      </c>
      <c r="Q44" s="62" t="n">
        <v>0.85</v>
      </c>
      <c r="R44" s="63" t="n">
        <v>0.002</v>
      </c>
      <c r="S44" s="55" t="n">
        <v>0</v>
      </c>
      <c r="T44" s="62" t="n">
        <v>0.028</v>
      </c>
      <c r="U44" s="62" t="n">
        <v>0.02</v>
      </c>
      <c r="V44" s="62" t="n">
        <v>0.0098</v>
      </c>
      <c r="W44" s="48" t="n">
        <v>23200</v>
      </c>
      <c r="X44" s="48" t="n">
        <v>126000</v>
      </c>
      <c r="Y44" s="62" t="n">
        <v>0.0522</v>
      </c>
      <c r="Z44" s="62" t="n">
        <v>0.05</v>
      </c>
      <c r="AA44" s="62" t="n">
        <v>0.03</v>
      </c>
      <c r="AB44" s="48" t="n">
        <v>1</v>
      </c>
      <c r="AC44" s="48" t="n">
        <v>0</v>
      </c>
      <c r="AD44" s="48" t="n">
        <v>3110</v>
      </c>
    </row>
    <row r="45" customFormat="false" ht="14.25" hidden="false" customHeight="false" outlineLevel="0" collapsed="false">
      <c r="A45" s="61" t="n">
        <v>1885</v>
      </c>
      <c r="B45" s="49" t="n">
        <v>0.74</v>
      </c>
      <c r="C45" s="62" t="n">
        <v>0.019</v>
      </c>
      <c r="D45" s="48" t="n">
        <v>0</v>
      </c>
      <c r="E45" s="48" t="n">
        <v>110000</v>
      </c>
      <c r="F45" s="48" t="n">
        <v>25000</v>
      </c>
      <c r="G45" s="48" t="n">
        <v>3000</v>
      </c>
      <c r="H45" s="48" t="n">
        <v>1000</v>
      </c>
      <c r="I45" s="62" t="n">
        <v>0.2</v>
      </c>
      <c r="J45" s="62" t="n">
        <v>0.4</v>
      </c>
      <c r="K45" s="48" t="n">
        <v>6491000</v>
      </c>
      <c r="L45" s="62" t="n">
        <v>0.018</v>
      </c>
      <c r="M45" s="49" t="n">
        <v>0.98</v>
      </c>
      <c r="N45" s="62" t="n">
        <v>0.225</v>
      </c>
      <c r="O45" s="62" t="n">
        <v>0.12</v>
      </c>
      <c r="P45" s="62" t="n">
        <v>0.09</v>
      </c>
      <c r="Q45" s="62" t="n">
        <v>0.85</v>
      </c>
      <c r="R45" s="63" t="n">
        <v>0.002</v>
      </c>
      <c r="S45" s="55" t="n">
        <v>0</v>
      </c>
      <c r="T45" s="62" t="n">
        <v>0.0285</v>
      </c>
      <c r="U45" s="62" t="n">
        <v>0.02</v>
      </c>
      <c r="V45" s="62" t="n">
        <v>0.01</v>
      </c>
      <c r="W45" s="48" t="n">
        <v>24000</v>
      </c>
      <c r="X45" s="48" t="n">
        <v>128000</v>
      </c>
      <c r="Y45" s="62" t="n">
        <v>0.0515</v>
      </c>
      <c r="Z45" s="62" t="n">
        <v>0.05</v>
      </c>
      <c r="AA45" s="62" t="n">
        <v>0.03</v>
      </c>
      <c r="AB45" s="48" t="n">
        <v>1</v>
      </c>
      <c r="AC45" s="48" t="n">
        <v>0</v>
      </c>
      <c r="AD45" s="48" t="n">
        <v>3175</v>
      </c>
    </row>
    <row r="46" customFormat="false" ht="14.25" hidden="false" customHeight="false" outlineLevel="0" collapsed="false">
      <c r="A46" s="61" t="n">
        <v>1886</v>
      </c>
      <c r="B46" s="49" t="n">
        <v>0.738</v>
      </c>
      <c r="C46" s="62" t="n">
        <v>0.019</v>
      </c>
      <c r="D46" s="48" t="n">
        <v>0</v>
      </c>
      <c r="E46" s="48" t="n">
        <v>110000</v>
      </c>
      <c r="F46" s="48" t="n">
        <v>25000</v>
      </c>
      <c r="G46" s="48" t="n">
        <v>8000</v>
      </c>
      <c r="H46" s="48" t="n">
        <v>1000</v>
      </c>
      <c r="I46" s="62" t="n">
        <v>0.2</v>
      </c>
      <c r="J46" s="62" t="n">
        <v>0.4</v>
      </c>
      <c r="K46" s="48" t="n">
        <v>6545000</v>
      </c>
      <c r="L46" s="62" t="n">
        <v>0.018</v>
      </c>
      <c r="M46" s="49" t="n">
        <v>1</v>
      </c>
      <c r="N46" s="62" t="n">
        <v>0.2233</v>
      </c>
      <c r="O46" s="62" t="n">
        <v>0.12</v>
      </c>
      <c r="P46" s="62" t="n">
        <v>0.09</v>
      </c>
      <c r="Q46" s="62" t="n">
        <v>0.85</v>
      </c>
      <c r="R46" s="63" t="n">
        <v>0.002</v>
      </c>
      <c r="S46" s="55" t="n">
        <v>0</v>
      </c>
      <c r="T46" s="62" t="n">
        <v>0.029</v>
      </c>
      <c r="U46" s="62" t="n">
        <v>0.02</v>
      </c>
      <c r="V46" s="62" t="n">
        <v>0.0099</v>
      </c>
      <c r="W46" s="48" t="n">
        <v>26000</v>
      </c>
      <c r="X46" s="48" t="n">
        <v>129000</v>
      </c>
      <c r="Y46" s="62" t="n">
        <v>0.0509</v>
      </c>
      <c r="Z46" s="62" t="n">
        <v>0.05</v>
      </c>
      <c r="AA46" s="62" t="n">
        <v>0.03</v>
      </c>
      <c r="AB46" s="48" t="n">
        <v>1</v>
      </c>
      <c r="AC46" s="48" t="n">
        <v>0</v>
      </c>
      <c r="AD46" s="48" t="n">
        <v>3240</v>
      </c>
    </row>
    <row r="47" customFormat="false" ht="14.25" hidden="false" customHeight="false" outlineLevel="0" collapsed="false">
      <c r="A47" s="61" t="n">
        <v>1887</v>
      </c>
      <c r="B47" s="49" t="n">
        <v>0.736</v>
      </c>
      <c r="C47" s="62" t="n">
        <v>0.019</v>
      </c>
      <c r="D47" s="48" t="n">
        <v>0</v>
      </c>
      <c r="E47" s="48" t="n">
        <v>110000</v>
      </c>
      <c r="F47" s="48" t="n">
        <v>25000</v>
      </c>
      <c r="G47" s="48" t="n">
        <v>8000</v>
      </c>
      <c r="H47" s="48" t="n">
        <v>1000</v>
      </c>
      <c r="I47" s="62" t="n">
        <v>0.2</v>
      </c>
      <c r="J47" s="62" t="n">
        <v>0.4</v>
      </c>
      <c r="K47" s="48" t="n">
        <v>6600000</v>
      </c>
      <c r="L47" s="62" t="n">
        <v>0.018</v>
      </c>
      <c r="M47" s="49" t="n">
        <v>1</v>
      </c>
      <c r="N47" s="62" t="n">
        <v>0.2217</v>
      </c>
      <c r="O47" s="62" t="n">
        <v>0.12</v>
      </c>
      <c r="P47" s="62" t="n">
        <v>0.09</v>
      </c>
      <c r="Q47" s="62" t="n">
        <v>0.85</v>
      </c>
      <c r="R47" s="63" t="n">
        <v>0.002</v>
      </c>
      <c r="S47" s="55" t="n">
        <v>0</v>
      </c>
      <c r="T47" s="62" t="n">
        <v>0.0295</v>
      </c>
      <c r="U47" s="62" t="n">
        <v>0.02</v>
      </c>
      <c r="V47" s="62" t="n">
        <v>0.0099</v>
      </c>
      <c r="W47" s="48" t="n">
        <v>28000</v>
      </c>
      <c r="X47" s="48" t="n">
        <v>130000</v>
      </c>
      <c r="Y47" s="62" t="n">
        <v>0.0502</v>
      </c>
      <c r="Z47" s="62" t="n">
        <v>0.05</v>
      </c>
      <c r="AA47" s="62" t="n">
        <v>0.03</v>
      </c>
      <c r="AB47" s="48" t="n">
        <v>1</v>
      </c>
      <c r="AC47" s="48" t="n">
        <v>0</v>
      </c>
      <c r="AD47" s="48" t="n">
        <v>3305</v>
      </c>
    </row>
    <row r="48" customFormat="false" ht="14.25" hidden="false" customHeight="false" outlineLevel="0" collapsed="false">
      <c r="A48" s="61" t="n">
        <v>1888</v>
      </c>
      <c r="B48" s="49" t="n">
        <v>0.734</v>
      </c>
      <c r="C48" s="62" t="n">
        <v>0.019</v>
      </c>
      <c r="D48" s="48" t="n">
        <v>0</v>
      </c>
      <c r="E48" s="48" t="n">
        <v>65000</v>
      </c>
      <c r="F48" s="48" t="n">
        <v>22000</v>
      </c>
      <c r="G48" s="48" t="n">
        <v>8000</v>
      </c>
      <c r="H48" s="48" t="n">
        <v>1000</v>
      </c>
      <c r="I48" s="62" t="n">
        <v>0.2</v>
      </c>
      <c r="J48" s="62" t="n">
        <v>0.3</v>
      </c>
      <c r="K48" s="48" t="n">
        <v>6662000</v>
      </c>
      <c r="L48" s="62" t="n">
        <v>0.018</v>
      </c>
      <c r="M48" s="49" t="n">
        <v>1</v>
      </c>
      <c r="N48" s="62" t="n">
        <v>0.22</v>
      </c>
      <c r="O48" s="62" t="n">
        <v>0.12</v>
      </c>
      <c r="P48" s="62" t="n">
        <v>0.085</v>
      </c>
      <c r="Q48" s="62" t="n">
        <v>0.85</v>
      </c>
      <c r="R48" s="63" t="n">
        <v>0.002</v>
      </c>
      <c r="S48" s="55" t="n">
        <v>0</v>
      </c>
      <c r="T48" s="62" t="n">
        <v>0.03</v>
      </c>
      <c r="U48" s="62" t="n">
        <v>0.02</v>
      </c>
      <c r="V48" s="62" t="n">
        <v>0.0098</v>
      </c>
      <c r="W48" s="48" t="n">
        <v>27000</v>
      </c>
      <c r="X48" s="48" t="n">
        <v>132000</v>
      </c>
      <c r="Y48" s="62" t="n">
        <v>0.0496</v>
      </c>
      <c r="Z48" s="62" t="n">
        <v>0.05</v>
      </c>
      <c r="AA48" s="62" t="n">
        <v>0.03</v>
      </c>
      <c r="AB48" s="48" t="n">
        <v>1</v>
      </c>
      <c r="AC48" s="48" t="n">
        <v>0</v>
      </c>
      <c r="AD48" s="48" t="n">
        <v>3370</v>
      </c>
    </row>
    <row r="49" customFormat="false" ht="14.25" hidden="false" customHeight="false" outlineLevel="0" collapsed="false">
      <c r="A49" s="61" t="n">
        <v>1889</v>
      </c>
      <c r="B49" s="49" t="n">
        <v>0.732</v>
      </c>
      <c r="C49" s="62" t="n">
        <v>0.019</v>
      </c>
      <c r="D49" s="48" t="n">
        <v>0</v>
      </c>
      <c r="E49" s="48" t="n">
        <v>65000</v>
      </c>
      <c r="F49" s="48" t="n">
        <v>22000</v>
      </c>
      <c r="G49" s="48" t="n">
        <v>8000</v>
      </c>
      <c r="H49" s="48" t="n">
        <v>1000</v>
      </c>
      <c r="I49" s="62" t="n">
        <v>0.2</v>
      </c>
      <c r="J49" s="62" t="n">
        <v>0.3</v>
      </c>
      <c r="K49" s="48" t="n">
        <v>6743000</v>
      </c>
      <c r="L49" s="62" t="n">
        <v>0.018</v>
      </c>
      <c r="M49" s="49" t="n">
        <v>1</v>
      </c>
      <c r="N49" s="62" t="n">
        <v>0.2183</v>
      </c>
      <c r="O49" s="62" t="n">
        <v>0.12</v>
      </c>
      <c r="P49" s="62" t="n">
        <v>0.085</v>
      </c>
      <c r="Q49" s="62" t="n">
        <v>0.85</v>
      </c>
      <c r="R49" s="63" t="n">
        <v>0.002</v>
      </c>
      <c r="S49" s="55" t="n">
        <v>0</v>
      </c>
      <c r="T49" s="62" t="n">
        <v>0.0305</v>
      </c>
      <c r="U49" s="62" t="n">
        <v>0.02</v>
      </c>
      <c r="V49" s="62" t="n">
        <v>0.0097</v>
      </c>
      <c r="W49" s="48" t="n">
        <v>26000</v>
      </c>
      <c r="X49" s="48" t="n">
        <v>134000</v>
      </c>
      <c r="Y49" s="62" t="n">
        <v>0.0489</v>
      </c>
      <c r="Z49" s="62" t="n">
        <v>0.05</v>
      </c>
      <c r="AA49" s="62" t="n">
        <v>0.03</v>
      </c>
      <c r="AB49" s="48" t="n">
        <v>1</v>
      </c>
      <c r="AC49" s="48" t="n">
        <v>0</v>
      </c>
      <c r="AD49" s="48" t="n">
        <v>3435</v>
      </c>
    </row>
    <row r="50" customFormat="false" ht="14.25" hidden="false" customHeight="false" outlineLevel="0" collapsed="false">
      <c r="A50" s="61" t="n">
        <v>1890</v>
      </c>
      <c r="B50" s="49" t="n">
        <v>0.73</v>
      </c>
      <c r="C50" s="62" t="n">
        <v>0.019</v>
      </c>
      <c r="D50" s="48" t="n">
        <v>0</v>
      </c>
      <c r="E50" s="48" t="n">
        <v>65000</v>
      </c>
      <c r="F50" s="48" t="n">
        <v>22000</v>
      </c>
      <c r="G50" s="48" t="n">
        <v>8000</v>
      </c>
      <c r="H50" s="48" t="n">
        <v>5000</v>
      </c>
      <c r="I50" s="62" t="n">
        <v>0.2</v>
      </c>
      <c r="J50" s="62" t="n">
        <v>0.3</v>
      </c>
      <c r="K50" s="48" t="n">
        <v>6806324</v>
      </c>
      <c r="L50" s="62" t="n">
        <v>0.018</v>
      </c>
      <c r="M50" s="49" t="n">
        <v>1</v>
      </c>
      <c r="N50" s="62" t="n">
        <v>0.2167</v>
      </c>
      <c r="O50" s="62" t="n">
        <v>0.12</v>
      </c>
      <c r="P50" s="62" t="n">
        <v>0.085</v>
      </c>
      <c r="Q50" s="62" t="n">
        <v>0.85</v>
      </c>
      <c r="R50" s="63" t="n">
        <v>0.002</v>
      </c>
      <c r="S50" s="55" t="n">
        <v>0</v>
      </c>
      <c r="T50" s="62" t="n">
        <v>0.031</v>
      </c>
      <c r="U50" s="62" t="n">
        <v>0.02</v>
      </c>
      <c r="V50" s="62" t="n">
        <v>0.0097</v>
      </c>
      <c r="W50" s="48" t="n">
        <v>25000</v>
      </c>
      <c r="X50" s="48" t="n">
        <v>135000</v>
      </c>
      <c r="Y50" s="62" t="n">
        <v>0.0483</v>
      </c>
      <c r="Z50" s="62" t="n">
        <v>0.05</v>
      </c>
      <c r="AA50" s="62" t="n">
        <v>0.03</v>
      </c>
      <c r="AB50" s="48" t="n">
        <v>1</v>
      </c>
      <c r="AC50" s="48" t="n">
        <v>0</v>
      </c>
      <c r="AD50" s="48" t="n">
        <v>3500</v>
      </c>
    </row>
    <row r="51" customFormat="false" ht="14.25" hidden="false" customHeight="false" outlineLevel="0" collapsed="false">
      <c r="A51" s="61" t="n">
        <v>1891</v>
      </c>
      <c r="B51" s="49" t="n">
        <v>0.7217</v>
      </c>
      <c r="C51" s="62" t="n">
        <v>0.019</v>
      </c>
      <c r="D51" s="48" t="n">
        <v>0</v>
      </c>
      <c r="E51" s="48" t="n">
        <v>65000</v>
      </c>
      <c r="F51" s="48" t="n">
        <v>22000</v>
      </c>
      <c r="G51" s="48" t="n">
        <v>8000</v>
      </c>
      <c r="H51" s="48" t="n">
        <v>5000</v>
      </c>
      <c r="I51" s="62" t="n">
        <v>0.2</v>
      </c>
      <c r="J51" s="62" t="n">
        <v>0.3</v>
      </c>
      <c r="K51" s="48" t="n">
        <v>6868654</v>
      </c>
      <c r="L51" s="62" t="n">
        <v>0.018</v>
      </c>
      <c r="M51" s="49" t="n">
        <v>1</v>
      </c>
      <c r="N51" s="62" t="n">
        <v>0.215</v>
      </c>
      <c r="O51" s="62" t="n">
        <v>0.12</v>
      </c>
      <c r="P51" s="62" t="n">
        <v>0.085</v>
      </c>
      <c r="Q51" s="62" t="n">
        <v>0.85</v>
      </c>
      <c r="R51" s="63" t="n">
        <v>0.002</v>
      </c>
      <c r="S51" s="55" t="n">
        <v>0</v>
      </c>
      <c r="T51" s="62" t="n">
        <v>0.0315</v>
      </c>
      <c r="U51" s="62" t="n">
        <v>0.02</v>
      </c>
      <c r="V51" s="62" t="n">
        <v>0.0096</v>
      </c>
      <c r="W51" s="48" t="n">
        <v>25600</v>
      </c>
      <c r="X51" s="48" t="n">
        <v>136000</v>
      </c>
      <c r="Y51" s="62" t="n">
        <v>0.0476</v>
      </c>
      <c r="Z51" s="62" t="n">
        <v>0.05</v>
      </c>
      <c r="AA51" s="62" t="n">
        <v>0.03</v>
      </c>
      <c r="AB51" s="48" t="n">
        <v>1</v>
      </c>
      <c r="AC51" s="48" t="n">
        <v>0</v>
      </c>
      <c r="AD51" s="48" t="n">
        <v>3630</v>
      </c>
    </row>
    <row r="52" customFormat="false" ht="14.25" hidden="false" customHeight="false" outlineLevel="0" collapsed="false">
      <c r="A52" s="61" t="n">
        <v>1892</v>
      </c>
      <c r="B52" s="49" t="n">
        <v>0.7133</v>
      </c>
      <c r="C52" s="62" t="n">
        <v>0.019</v>
      </c>
      <c r="D52" s="48" t="n">
        <v>0</v>
      </c>
      <c r="E52" s="48" t="n">
        <v>65000</v>
      </c>
      <c r="F52" s="48" t="n">
        <v>22000</v>
      </c>
      <c r="G52" s="48" t="n">
        <v>8000</v>
      </c>
      <c r="H52" s="48" t="n">
        <v>5000</v>
      </c>
      <c r="I52" s="62" t="n">
        <v>0.2</v>
      </c>
      <c r="J52" s="62" t="n">
        <v>0.3</v>
      </c>
      <c r="K52" s="48" t="n">
        <v>6930990</v>
      </c>
      <c r="L52" s="62" t="n">
        <v>0.018</v>
      </c>
      <c r="M52" s="49" t="n">
        <v>1</v>
      </c>
      <c r="N52" s="62" t="n">
        <v>0.2133</v>
      </c>
      <c r="O52" s="62" t="n">
        <v>0.12</v>
      </c>
      <c r="P52" s="62" t="n">
        <v>0.085</v>
      </c>
      <c r="Q52" s="62" t="n">
        <v>0.85</v>
      </c>
      <c r="R52" s="63" t="n">
        <v>0.002</v>
      </c>
      <c r="S52" s="55" t="n">
        <v>0</v>
      </c>
      <c r="T52" s="62" t="n">
        <v>0.032</v>
      </c>
      <c r="U52" s="62" t="n">
        <v>0.02</v>
      </c>
      <c r="V52" s="62" t="n">
        <v>0.0095</v>
      </c>
      <c r="W52" s="48" t="n">
        <v>26200</v>
      </c>
      <c r="X52" s="48" t="n">
        <v>138000</v>
      </c>
      <c r="Y52" s="62" t="n">
        <v>0.047</v>
      </c>
      <c r="Z52" s="62" t="n">
        <v>0.05</v>
      </c>
      <c r="AA52" s="62" t="n">
        <v>0.03</v>
      </c>
      <c r="AB52" s="48" t="n">
        <v>1</v>
      </c>
      <c r="AC52" s="48" t="n">
        <v>0</v>
      </c>
      <c r="AD52" s="48" t="n">
        <v>3760</v>
      </c>
    </row>
    <row r="53" customFormat="false" ht="14.25" hidden="false" customHeight="false" outlineLevel="0" collapsed="false">
      <c r="A53" s="61" t="n">
        <v>1893</v>
      </c>
      <c r="B53" s="49" t="n">
        <v>0.705</v>
      </c>
      <c r="C53" s="62" t="n">
        <v>0.019</v>
      </c>
      <c r="D53" s="48" t="n">
        <v>0</v>
      </c>
      <c r="E53" s="48" t="n">
        <v>65000</v>
      </c>
      <c r="F53" s="48" t="n">
        <v>22000</v>
      </c>
      <c r="G53" s="48" t="n">
        <v>8000</v>
      </c>
      <c r="H53" s="48" t="n">
        <v>5000</v>
      </c>
      <c r="I53" s="62" t="n">
        <v>0.2</v>
      </c>
      <c r="J53" s="62" t="n">
        <v>0.3</v>
      </c>
      <c r="K53" s="48" t="n">
        <v>6994331</v>
      </c>
      <c r="L53" s="62" t="n">
        <v>0.018</v>
      </c>
      <c r="M53" s="49" t="n">
        <v>0.95</v>
      </c>
      <c r="N53" s="62" t="n">
        <v>0.2117</v>
      </c>
      <c r="O53" s="62" t="n">
        <v>0.12</v>
      </c>
      <c r="P53" s="62" t="n">
        <v>0.085</v>
      </c>
      <c r="Q53" s="62" t="n">
        <v>0.85</v>
      </c>
      <c r="R53" s="63" t="n">
        <v>0.002</v>
      </c>
      <c r="S53" s="55" t="n">
        <v>0</v>
      </c>
      <c r="T53" s="62" t="n">
        <v>0.0325</v>
      </c>
      <c r="U53" s="62" t="n">
        <v>0.02</v>
      </c>
      <c r="V53" s="62" t="n">
        <v>0.0095</v>
      </c>
      <c r="W53" s="48" t="n">
        <v>26800</v>
      </c>
      <c r="X53" s="48" t="n">
        <v>140000</v>
      </c>
      <c r="Y53" s="62" t="n">
        <v>0.0463</v>
      </c>
      <c r="Z53" s="62" t="n">
        <v>0.05</v>
      </c>
      <c r="AA53" s="62" t="n">
        <v>0.03</v>
      </c>
      <c r="AB53" s="48" t="n">
        <v>1</v>
      </c>
      <c r="AC53" s="48" t="n">
        <v>0</v>
      </c>
      <c r="AD53" s="48" t="n">
        <v>3890</v>
      </c>
    </row>
    <row r="54" customFormat="false" ht="14.25" hidden="false" customHeight="false" outlineLevel="0" collapsed="false">
      <c r="A54" s="61" t="n">
        <v>1894</v>
      </c>
      <c r="B54" s="49" t="n">
        <v>0.6967</v>
      </c>
      <c r="C54" s="62" t="n">
        <v>0.019</v>
      </c>
      <c r="D54" s="48" t="n">
        <v>0</v>
      </c>
      <c r="E54" s="48" t="n">
        <v>65000</v>
      </c>
      <c r="F54" s="48" t="n">
        <v>22000</v>
      </c>
      <c r="G54" s="48" t="n">
        <v>8000</v>
      </c>
      <c r="H54" s="48" t="n">
        <v>5000</v>
      </c>
      <c r="I54" s="62" t="n">
        <v>0.2</v>
      </c>
      <c r="J54" s="62" t="n">
        <v>0.3</v>
      </c>
      <c r="K54" s="48" t="n">
        <v>7057679</v>
      </c>
      <c r="L54" s="62" t="n">
        <v>0.018</v>
      </c>
      <c r="M54" s="49" t="n">
        <v>0.94</v>
      </c>
      <c r="N54" s="62" t="n">
        <v>0.21</v>
      </c>
      <c r="O54" s="62" t="n">
        <v>0.12</v>
      </c>
      <c r="P54" s="62" t="n">
        <v>0.085</v>
      </c>
      <c r="Q54" s="62" t="n">
        <v>0.85</v>
      </c>
      <c r="R54" s="63" t="n">
        <v>0.002</v>
      </c>
      <c r="S54" s="55" t="n">
        <v>0</v>
      </c>
      <c r="T54" s="62" t="n">
        <v>0.033</v>
      </c>
      <c r="U54" s="62" t="n">
        <v>0.02</v>
      </c>
      <c r="V54" s="62" t="n">
        <v>0.0094</v>
      </c>
      <c r="W54" s="48" t="n">
        <v>27400</v>
      </c>
      <c r="X54" s="48" t="n">
        <v>141000</v>
      </c>
      <c r="Y54" s="62" t="n">
        <v>0.0457</v>
      </c>
      <c r="Z54" s="62" t="n">
        <v>0.05</v>
      </c>
      <c r="AA54" s="62" t="n">
        <v>0.03</v>
      </c>
      <c r="AB54" s="48" t="n">
        <v>1</v>
      </c>
      <c r="AC54" s="48" t="n">
        <v>0</v>
      </c>
      <c r="AD54" s="48" t="n">
        <v>4020</v>
      </c>
    </row>
    <row r="55" customFormat="false" ht="14.25" hidden="false" customHeight="false" outlineLevel="0" collapsed="false">
      <c r="A55" s="61" t="n">
        <v>1895</v>
      </c>
      <c r="B55" s="49" t="n">
        <v>0.6883</v>
      </c>
      <c r="C55" s="62" t="n">
        <v>0.019</v>
      </c>
      <c r="D55" s="48" t="n">
        <v>0</v>
      </c>
      <c r="E55" s="48" t="n">
        <v>65000</v>
      </c>
      <c r="F55" s="48" t="n">
        <v>22000</v>
      </c>
      <c r="G55" s="48" t="n">
        <v>8000</v>
      </c>
      <c r="H55" s="48" t="n">
        <v>5000</v>
      </c>
      <c r="I55" s="62" t="n">
        <v>0.2</v>
      </c>
      <c r="J55" s="62" t="n">
        <v>0.3</v>
      </c>
      <c r="K55" s="48" t="n">
        <v>7120034</v>
      </c>
      <c r="L55" s="62" t="n">
        <v>0.018</v>
      </c>
      <c r="M55" s="49" t="n">
        <v>0.97</v>
      </c>
      <c r="N55" s="62" t="n">
        <v>0.2083</v>
      </c>
      <c r="O55" s="62" t="n">
        <v>0.12</v>
      </c>
      <c r="P55" s="62" t="n">
        <v>0.085</v>
      </c>
      <c r="Q55" s="62" t="n">
        <v>0.85</v>
      </c>
      <c r="R55" s="63" t="n">
        <v>0.002</v>
      </c>
      <c r="S55" s="55" t="n">
        <v>0</v>
      </c>
      <c r="T55" s="62" t="n">
        <v>0.0335</v>
      </c>
      <c r="U55" s="62" t="n">
        <v>0.02</v>
      </c>
      <c r="V55" s="62" t="n">
        <v>0.0093</v>
      </c>
      <c r="W55" s="48" t="n">
        <v>28000</v>
      </c>
      <c r="X55" s="48" t="n">
        <v>142000</v>
      </c>
      <c r="Y55" s="62" t="n">
        <v>0.045</v>
      </c>
      <c r="Z55" s="62" t="n">
        <v>0.05</v>
      </c>
      <c r="AA55" s="62" t="n">
        <v>0.03</v>
      </c>
      <c r="AB55" s="48" t="n">
        <v>1</v>
      </c>
      <c r="AC55" s="48" t="n">
        <v>0</v>
      </c>
      <c r="AD55" s="48" t="n">
        <v>4150</v>
      </c>
    </row>
    <row r="56" customFormat="false" ht="14.25" hidden="false" customHeight="false" outlineLevel="0" collapsed="false">
      <c r="A56" s="61" t="n">
        <v>1896</v>
      </c>
      <c r="B56" s="49" t="n">
        <v>0.68</v>
      </c>
      <c r="C56" s="62" t="n">
        <v>0.019</v>
      </c>
      <c r="D56" s="48" t="n">
        <v>0</v>
      </c>
      <c r="E56" s="48" t="n">
        <v>65000</v>
      </c>
      <c r="F56" s="48" t="n">
        <v>22000</v>
      </c>
      <c r="G56" s="48" t="n">
        <v>8000</v>
      </c>
      <c r="H56" s="48" t="n">
        <v>5000</v>
      </c>
      <c r="I56" s="62" t="n">
        <v>0.2</v>
      </c>
      <c r="J56" s="62" t="n">
        <v>0.3</v>
      </c>
      <c r="K56" s="48" t="n">
        <v>7182394</v>
      </c>
      <c r="L56" s="62" t="n">
        <v>0.015</v>
      </c>
      <c r="M56" s="49" t="n">
        <v>0.98</v>
      </c>
      <c r="N56" s="62" t="n">
        <v>0.2067</v>
      </c>
      <c r="O56" s="62" t="n">
        <v>0.12</v>
      </c>
      <c r="P56" s="62" t="n">
        <v>0.074</v>
      </c>
      <c r="Q56" s="62" t="n">
        <v>0.85</v>
      </c>
      <c r="R56" s="63" t="n">
        <v>0.002</v>
      </c>
      <c r="S56" s="55" t="n">
        <v>0</v>
      </c>
      <c r="T56" s="62" t="n">
        <v>0.034</v>
      </c>
      <c r="U56" s="62" t="n">
        <v>0.02</v>
      </c>
      <c r="V56" s="62" t="n">
        <v>0.0093</v>
      </c>
      <c r="W56" s="48" t="n">
        <v>28400</v>
      </c>
      <c r="X56" s="48" t="n">
        <v>144000</v>
      </c>
      <c r="Y56" s="62" t="n">
        <v>0.0445</v>
      </c>
      <c r="Z56" s="62" t="n">
        <v>0.05</v>
      </c>
      <c r="AA56" s="62" t="n">
        <v>0.03</v>
      </c>
      <c r="AB56" s="48" t="n">
        <v>1</v>
      </c>
      <c r="AC56" s="48" t="n">
        <v>0</v>
      </c>
      <c r="AD56" s="48" t="n">
        <v>4280</v>
      </c>
    </row>
    <row r="57" customFormat="false" ht="14.25" hidden="false" customHeight="false" outlineLevel="0" collapsed="false">
      <c r="A57" s="61" t="n">
        <v>1897</v>
      </c>
      <c r="B57" s="49" t="n">
        <v>0.7</v>
      </c>
      <c r="C57" s="62" t="n">
        <v>0.019</v>
      </c>
      <c r="D57" s="48" t="n">
        <v>0</v>
      </c>
      <c r="E57" s="48" t="n">
        <v>65000</v>
      </c>
      <c r="F57" s="48" t="n">
        <v>22000</v>
      </c>
      <c r="G57" s="48" t="n">
        <v>8000</v>
      </c>
      <c r="H57" s="48" t="n">
        <v>5000</v>
      </c>
      <c r="I57" s="62" t="n">
        <v>0.2</v>
      </c>
      <c r="J57" s="62" t="n">
        <v>0.3</v>
      </c>
      <c r="K57" s="48" t="n">
        <v>7245761</v>
      </c>
      <c r="L57" s="62" t="n">
        <v>0.015</v>
      </c>
      <c r="M57" s="49" t="n">
        <v>1</v>
      </c>
      <c r="N57" s="62" t="n">
        <v>0.205</v>
      </c>
      <c r="O57" s="62" t="n">
        <v>0.12</v>
      </c>
      <c r="P57" s="62" t="n">
        <v>0.074</v>
      </c>
      <c r="Q57" s="62" t="n">
        <v>0.85</v>
      </c>
      <c r="R57" s="63" t="n">
        <v>0.002</v>
      </c>
      <c r="S57" s="55" t="n">
        <v>0</v>
      </c>
      <c r="T57" s="62" t="n">
        <v>0.0345</v>
      </c>
      <c r="U57" s="62" t="n">
        <v>0.02</v>
      </c>
      <c r="V57" s="62" t="n">
        <v>0.0092</v>
      </c>
      <c r="W57" s="48" t="n">
        <v>28800</v>
      </c>
      <c r="X57" s="48" t="n">
        <v>146000</v>
      </c>
      <c r="Y57" s="62" t="n">
        <v>0.044</v>
      </c>
      <c r="Z57" s="62" t="n">
        <v>0.05</v>
      </c>
      <c r="AA57" s="62" t="n">
        <v>0.03</v>
      </c>
      <c r="AB57" s="48" t="n">
        <v>1</v>
      </c>
      <c r="AC57" s="48" t="n">
        <v>0</v>
      </c>
      <c r="AD57" s="48" t="n">
        <v>4410</v>
      </c>
    </row>
    <row r="58" customFormat="false" ht="14.25" hidden="false" customHeight="false" outlineLevel="0" collapsed="false">
      <c r="A58" s="61" t="n">
        <v>1898</v>
      </c>
      <c r="B58" s="49" t="n">
        <v>0.72</v>
      </c>
      <c r="C58" s="62" t="n">
        <v>0.019</v>
      </c>
      <c r="D58" s="48" t="n">
        <v>0</v>
      </c>
      <c r="E58" s="48" t="n">
        <v>65000</v>
      </c>
      <c r="F58" s="48" t="n">
        <v>22000</v>
      </c>
      <c r="G58" s="48" t="n">
        <v>8000</v>
      </c>
      <c r="H58" s="48" t="n">
        <v>5000</v>
      </c>
      <c r="I58" s="62" t="n">
        <v>0.2</v>
      </c>
      <c r="J58" s="62" t="n">
        <v>0.3</v>
      </c>
      <c r="K58" s="48" t="n">
        <v>7309135</v>
      </c>
      <c r="L58" s="62" t="n">
        <v>0.015</v>
      </c>
      <c r="M58" s="49" t="n">
        <v>1</v>
      </c>
      <c r="N58" s="62" t="n">
        <v>0.2033</v>
      </c>
      <c r="O58" s="62" t="n">
        <v>0.12</v>
      </c>
      <c r="P58" s="62" t="n">
        <v>0.074</v>
      </c>
      <c r="Q58" s="62" t="n">
        <v>0.85</v>
      </c>
      <c r="R58" s="63" t="n">
        <v>0.002</v>
      </c>
      <c r="S58" s="55" t="n">
        <v>0</v>
      </c>
      <c r="T58" s="62" t="n">
        <v>0.035</v>
      </c>
      <c r="U58" s="62" t="n">
        <v>0.02</v>
      </c>
      <c r="V58" s="62" t="n">
        <v>0.0091</v>
      </c>
      <c r="W58" s="48" t="n">
        <v>29200</v>
      </c>
      <c r="X58" s="48" t="n">
        <v>147000</v>
      </c>
      <c r="Y58" s="62" t="n">
        <v>0.0435</v>
      </c>
      <c r="Z58" s="62" t="n">
        <v>0.05</v>
      </c>
      <c r="AA58" s="62" t="n">
        <v>0.03</v>
      </c>
      <c r="AB58" s="48" t="n">
        <v>1</v>
      </c>
      <c r="AC58" s="48" t="n">
        <v>0</v>
      </c>
      <c r="AD58" s="48" t="n">
        <v>4540</v>
      </c>
    </row>
    <row r="59" customFormat="false" ht="14.25" hidden="false" customHeight="false" outlineLevel="0" collapsed="false">
      <c r="A59" s="61" t="n">
        <v>1899</v>
      </c>
      <c r="B59" s="49" t="n">
        <v>0.74</v>
      </c>
      <c r="C59" s="62" t="n">
        <v>0.019</v>
      </c>
      <c r="D59" s="48" t="n">
        <v>0</v>
      </c>
      <c r="E59" s="48" t="n">
        <v>65000</v>
      </c>
      <c r="F59" s="48" t="n">
        <v>22000</v>
      </c>
      <c r="G59" s="48" t="n">
        <v>8000</v>
      </c>
      <c r="H59" s="48" t="n">
        <v>5000</v>
      </c>
      <c r="I59" s="62" t="n">
        <v>0.2</v>
      </c>
      <c r="J59" s="62" t="n">
        <v>0.3</v>
      </c>
      <c r="K59" s="48" t="n">
        <v>7371515</v>
      </c>
      <c r="L59" s="62" t="n">
        <v>0.015</v>
      </c>
      <c r="M59" s="49" t="n">
        <v>1</v>
      </c>
      <c r="N59" s="62" t="n">
        <v>0.2017</v>
      </c>
      <c r="O59" s="62" t="n">
        <v>0.12</v>
      </c>
      <c r="P59" s="62" t="n">
        <v>0.074</v>
      </c>
      <c r="Q59" s="62" t="n">
        <v>0.85</v>
      </c>
      <c r="R59" s="63" t="n">
        <v>0.002</v>
      </c>
      <c r="S59" s="55" t="n">
        <v>0</v>
      </c>
      <c r="T59" s="62" t="n">
        <v>0.0355</v>
      </c>
      <c r="U59" s="62" t="n">
        <v>0.02</v>
      </c>
      <c r="V59" s="62" t="n">
        <v>0.0091</v>
      </c>
      <c r="W59" s="48" t="n">
        <v>29600</v>
      </c>
      <c r="X59" s="48" t="n">
        <v>148000</v>
      </c>
      <c r="Y59" s="62" t="n">
        <v>0.043</v>
      </c>
      <c r="Z59" s="62" t="n">
        <v>0.05</v>
      </c>
      <c r="AA59" s="62" t="n">
        <v>0.03</v>
      </c>
      <c r="AB59" s="48" t="n">
        <v>1</v>
      </c>
      <c r="AC59" s="48" t="n">
        <v>0</v>
      </c>
      <c r="AD59" s="48" t="n">
        <v>4670</v>
      </c>
    </row>
    <row r="60" customFormat="false" ht="14.25" hidden="false" customHeight="false" outlineLevel="0" collapsed="false">
      <c r="A60" s="61" t="n">
        <v>1900</v>
      </c>
      <c r="B60" s="49" t="n">
        <v>0.76</v>
      </c>
      <c r="C60" s="62" t="n">
        <v>0.019</v>
      </c>
      <c r="D60" s="48" t="n">
        <v>0</v>
      </c>
      <c r="E60" s="48" t="n">
        <v>90000</v>
      </c>
      <c r="F60" s="48" t="n">
        <v>28000</v>
      </c>
      <c r="G60" s="48" t="n">
        <v>14000</v>
      </c>
      <c r="H60" s="48" t="n">
        <v>9000</v>
      </c>
      <c r="I60" s="62" t="n">
        <v>0.2</v>
      </c>
      <c r="J60" s="62" t="n">
        <v>0.3</v>
      </c>
      <c r="K60" s="48" t="n">
        <v>7433903</v>
      </c>
      <c r="L60" s="62" t="n">
        <v>0.015</v>
      </c>
      <c r="M60" s="49" t="n">
        <v>1</v>
      </c>
      <c r="N60" s="62" t="n">
        <v>0.2</v>
      </c>
      <c r="O60" s="62" t="n">
        <v>0.12</v>
      </c>
      <c r="P60" s="62" t="n">
        <v>0.074</v>
      </c>
      <c r="Q60" s="62" t="n">
        <v>0.85</v>
      </c>
      <c r="R60" s="63" t="n">
        <v>0.002</v>
      </c>
      <c r="S60" s="55" t="n">
        <v>0</v>
      </c>
      <c r="T60" s="62" t="n">
        <v>0.036</v>
      </c>
      <c r="U60" s="62" t="n">
        <v>0.02</v>
      </c>
      <c r="V60" s="62" t="n">
        <v>0.009</v>
      </c>
      <c r="W60" s="48" t="n">
        <v>30000</v>
      </c>
      <c r="X60" s="48" t="n">
        <v>150000</v>
      </c>
      <c r="Y60" s="62" t="n">
        <v>0.0425</v>
      </c>
      <c r="Z60" s="62" t="n">
        <v>0.05</v>
      </c>
      <c r="AA60" s="62" t="n">
        <v>0.03</v>
      </c>
      <c r="AB60" s="48" t="n">
        <v>1</v>
      </c>
      <c r="AC60" s="48" t="n">
        <v>0</v>
      </c>
      <c r="AD60" s="48" t="n">
        <v>4800</v>
      </c>
    </row>
    <row r="61" customFormat="false" ht="14.25" hidden="false" customHeight="false" outlineLevel="0" collapsed="false">
      <c r="A61" s="61" t="n">
        <v>1901</v>
      </c>
      <c r="B61" s="49" t="n">
        <v>0.772</v>
      </c>
      <c r="C61" s="62" t="n">
        <v>0.019</v>
      </c>
      <c r="D61" s="48" t="n">
        <v>0</v>
      </c>
      <c r="E61" s="48" t="n">
        <v>90000</v>
      </c>
      <c r="F61" s="48" t="n">
        <v>28000</v>
      </c>
      <c r="G61" s="48" t="n">
        <v>14000</v>
      </c>
      <c r="H61" s="48" t="n">
        <v>9000</v>
      </c>
      <c r="I61" s="62" t="n">
        <v>0.2</v>
      </c>
      <c r="J61" s="62" t="n">
        <v>0.3</v>
      </c>
      <c r="K61" s="48" t="n">
        <v>7497297</v>
      </c>
      <c r="L61" s="62" t="n">
        <v>0.015</v>
      </c>
      <c r="M61" s="49" t="n">
        <v>1</v>
      </c>
      <c r="N61" s="62" t="n">
        <v>0.1986</v>
      </c>
      <c r="O61" s="62" t="n">
        <v>0.12</v>
      </c>
      <c r="P61" s="62" t="n">
        <v>0.074</v>
      </c>
      <c r="Q61" s="62" t="n">
        <v>0.85</v>
      </c>
      <c r="R61" s="63" t="n">
        <v>0.002</v>
      </c>
      <c r="S61" s="55" t="n">
        <v>4</v>
      </c>
      <c r="T61" s="62" t="n">
        <v>0.0363</v>
      </c>
      <c r="U61" s="62" t="n">
        <v>0.02</v>
      </c>
      <c r="V61" s="62" t="n">
        <v>0.0089</v>
      </c>
      <c r="W61" s="48" t="n">
        <v>30400</v>
      </c>
      <c r="X61" s="48" t="n">
        <v>152000</v>
      </c>
      <c r="Y61" s="62" t="n">
        <v>0.042</v>
      </c>
      <c r="Z61" s="62" t="n">
        <v>0.05</v>
      </c>
      <c r="AA61" s="62" t="n">
        <v>0.03</v>
      </c>
      <c r="AB61" s="48" t="n">
        <v>1</v>
      </c>
      <c r="AC61" s="48" t="n">
        <v>0</v>
      </c>
      <c r="AD61" s="48" t="n">
        <v>5046</v>
      </c>
    </row>
    <row r="62" customFormat="false" ht="14.25" hidden="false" customHeight="false" outlineLevel="0" collapsed="false">
      <c r="A62" s="61" t="n">
        <v>1902</v>
      </c>
      <c r="B62" s="49" t="n">
        <v>0.784</v>
      </c>
      <c r="C62" s="62" t="n">
        <v>0.019</v>
      </c>
      <c r="D62" s="48" t="n">
        <v>0</v>
      </c>
      <c r="E62" s="48" t="n">
        <v>90000</v>
      </c>
      <c r="F62" s="48" t="n">
        <v>28000</v>
      </c>
      <c r="G62" s="48" t="n">
        <v>14000</v>
      </c>
      <c r="H62" s="48" t="n">
        <v>9000</v>
      </c>
      <c r="I62" s="62" t="n">
        <v>0.2</v>
      </c>
      <c r="J62" s="62" t="n">
        <v>0.3</v>
      </c>
      <c r="K62" s="48" t="n">
        <v>7560698</v>
      </c>
      <c r="L62" s="62" t="n">
        <v>0.015</v>
      </c>
      <c r="M62" s="49" t="n">
        <v>1</v>
      </c>
      <c r="N62" s="62" t="n">
        <v>0.1972</v>
      </c>
      <c r="O62" s="62" t="n">
        <v>0.12</v>
      </c>
      <c r="P62" s="62" t="n">
        <v>0.074</v>
      </c>
      <c r="Q62" s="62" t="n">
        <v>0.85</v>
      </c>
      <c r="R62" s="63" t="n">
        <v>0.002</v>
      </c>
      <c r="S62" s="55" t="n">
        <v>6</v>
      </c>
      <c r="T62" s="62" t="n">
        <v>0.0366</v>
      </c>
      <c r="U62" s="62" t="n">
        <v>0.02</v>
      </c>
      <c r="V62" s="62" t="n">
        <v>0.0088</v>
      </c>
      <c r="W62" s="48" t="n">
        <v>30800</v>
      </c>
      <c r="X62" s="48" t="n">
        <v>155000</v>
      </c>
      <c r="Y62" s="62" t="n">
        <v>0.0415</v>
      </c>
      <c r="Z62" s="62" t="n">
        <v>0.05</v>
      </c>
      <c r="AA62" s="62" t="n">
        <v>0.03</v>
      </c>
      <c r="AB62" s="48" t="n">
        <v>1</v>
      </c>
      <c r="AC62" s="48" t="n">
        <v>0</v>
      </c>
      <c r="AD62" s="48" t="n">
        <v>5292</v>
      </c>
    </row>
    <row r="63" customFormat="false" ht="14.25" hidden="false" customHeight="false" outlineLevel="0" collapsed="false">
      <c r="A63" s="61" t="n">
        <v>1903</v>
      </c>
      <c r="B63" s="49" t="n">
        <v>0.796</v>
      </c>
      <c r="C63" s="62" t="n">
        <v>0.019</v>
      </c>
      <c r="D63" s="48" t="n">
        <v>0</v>
      </c>
      <c r="E63" s="48" t="n">
        <v>90000</v>
      </c>
      <c r="F63" s="48" t="n">
        <v>28000</v>
      </c>
      <c r="G63" s="48" t="n">
        <v>14000</v>
      </c>
      <c r="H63" s="48" t="n">
        <v>9000</v>
      </c>
      <c r="I63" s="62" t="n">
        <v>0.2</v>
      </c>
      <c r="J63" s="62" t="n">
        <v>0.3</v>
      </c>
      <c r="K63" s="48" t="n">
        <v>7623107</v>
      </c>
      <c r="L63" s="62" t="n">
        <v>0.015</v>
      </c>
      <c r="M63" s="49" t="n">
        <v>1</v>
      </c>
      <c r="N63" s="62" t="n">
        <v>0.1959</v>
      </c>
      <c r="O63" s="62" t="n">
        <v>0.12</v>
      </c>
      <c r="P63" s="62" t="n">
        <v>0.074</v>
      </c>
      <c r="Q63" s="62" t="n">
        <v>0.85</v>
      </c>
      <c r="R63" s="63" t="n">
        <v>0.002</v>
      </c>
      <c r="S63" s="55" t="n">
        <v>8</v>
      </c>
      <c r="T63" s="62" t="n">
        <v>0.0369</v>
      </c>
      <c r="U63" s="62" t="n">
        <v>0.02</v>
      </c>
      <c r="V63" s="62" t="n">
        <v>0.0088</v>
      </c>
      <c r="W63" s="48" t="n">
        <v>31200</v>
      </c>
      <c r="X63" s="48" t="n">
        <v>157000</v>
      </c>
      <c r="Y63" s="62" t="n">
        <v>0.041</v>
      </c>
      <c r="Z63" s="62" t="n">
        <v>0.05</v>
      </c>
      <c r="AA63" s="62" t="n">
        <v>0.03</v>
      </c>
      <c r="AB63" s="48" t="n">
        <v>1</v>
      </c>
      <c r="AC63" s="48" t="n">
        <v>0</v>
      </c>
      <c r="AD63" s="48" t="n">
        <v>5538</v>
      </c>
    </row>
    <row r="64" customFormat="false" ht="14.25" hidden="false" customHeight="false" outlineLevel="0" collapsed="false">
      <c r="A64" s="61" t="n">
        <v>1904</v>
      </c>
      <c r="B64" s="49" t="n">
        <v>0.808</v>
      </c>
      <c r="C64" s="62" t="n">
        <v>0.019</v>
      </c>
      <c r="D64" s="48" t="n">
        <v>0</v>
      </c>
      <c r="E64" s="48" t="n">
        <v>90000</v>
      </c>
      <c r="F64" s="48" t="n">
        <v>28000</v>
      </c>
      <c r="G64" s="48" t="n">
        <v>14000</v>
      </c>
      <c r="H64" s="48" t="n">
        <v>9000</v>
      </c>
      <c r="I64" s="62" t="n">
        <v>0.2</v>
      </c>
      <c r="J64" s="62" t="n">
        <v>0.3</v>
      </c>
      <c r="K64" s="48" t="n">
        <v>7912523</v>
      </c>
      <c r="L64" s="62" t="n">
        <v>0.015</v>
      </c>
      <c r="M64" s="49" t="n">
        <v>1</v>
      </c>
      <c r="N64" s="62" t="n">
        <v>0.1945</v>
      </c>
      <c r="O64" s="62" t="n">
        <v>0.12</v>
      </c>
      <c r="P64" s="62" t="n">
        <v>0.074</v>
      </c>
      <c r="Q64" s="62" t="n">
        <v>0.85</v>
      </c>
      <c r="R64" s="63" t="n">
        <v>0.002</v>
      </c>
      <c r="S64" s="55" t="n">
        <v>9</v>
      </c>
      <c r="T64" s="62" t="n">
        <v>0.0372</v>
      </c>
      <c r="U64" s="62" t="n">
        <v>0.02</v>
      </c>
      <c r="V64" s="62" t="n">
        <v>0.0087</v>
      </c>
      <c r="W64" s="48" t="n">
        <v>31600</v>
      </c>
      <c r="X64" s="48" t="n">
        <v>159000</v>
      </c>
      <c r="Y64" s="62" t="n">
        <v>0.0405</v>
      </c>
      <c r="Z64" s="62" t="n">
        <v>0.05</v>
      </c>
      <c r="AA64" s="62" t="n">
        <v>0.03</v>
      </c>
      <c r="AB64" s="48" t="n">
        <v>1</v>
      </c>
      <c r="AC64" s="48" t="n">
        <v>0</v>
      </c>
      <c r="AD64" s="48" t="n">
        <v>5785</v>
      </c>
    </row>
    <row r="65" customFormat="false" ht="14.25" hidden="false" customHeight="false" outlineLevel="0" collapsed="false">
      <c r="A65" s="61" t="n">
        <v>1905</v>
      </c>
      <c r="B65" s="49" t="n">
        <v>0.82</v>
      </c>
      <c r="C65" s="62" t="n">
        <v>0.019</v>
      </c>
      <c r="D65" s="48" t="n">
        <v>0</v>
      </c>
      <c r="E65" s="48" t="n">
        <v>90000</v>
      </c>
      <c r="F65" s="48" t="n">
        <v>28000</v>
      </c>
      <c r="G65" s="48" t="n">
        <v>14000</v>
      </c>
      <c r="H65" s="48" t="n">
        <v>9000</v>
      </c>
      <c r="I65" s="62" t="n">
        <v>0.2</v>
      </c>
      <c r="J65" s="62" t="n">
        <v>0.3</v>
      </c>
      <c r="K65" s="48" t="n">
        <v>8094908</v>
      </c>
      <c r="L65" s="62" t="n">
        <v>0.015</v>
      </c>
      <c r="M65" s="49" t="n">
        <v>1</v>
      </c>
      <c r="N65" s="62" t="n">
        <v>0.1931</v>
      </c>
      <c r="O65" s="62" t="n">
        <v>0.12</v>
      </c>
      <c r="P65" s="62" t="n">
        <v>0.074</v>
      </c>
      <c r="Q65" s="62" t="n">
        <v>0.85</v>
      </c>
      <c r="R65" s="63" t="n">
        <v>0.002</v>
      </c>
      <c r="S65" s="55" t="n">
        <v>10</v>
      </c>
      <c r="T65" s="62" t="n">
        <v>0.0375</v>
      </c>
      <c r="U65" s="62" t="n">
        <v>0.02</v>
      </c>
      <c r="V65" s="62" t="n">
        <v>0.0086</v>
      </c>
      <c r="W65" s="48" t="n">
        <v>32000</v>
      </c>
      <c r="X65" s="48" t="n">
        <v>162000</v>
      </c>
      <c r="Y65" s="62" t="n">
        <v>0.04</v>
      </c>
      <c r="Z65" s="62" t="n">
        <v>0.05</v>
      </c>
      <c r="AA65" s="62" t="n">
        <v>0.03</v>
      </c>
      <c r="AB65" s="48" t="n">
        <v>1</v>
      </c>
      <c r="AC65" s="48" t="n">
        <v>0</v>
      </c>
      <c r="AD65" s="48" t="n">
        <v>6031</v>
      </c>
    </row>
    <row r="66" customFormat="false" ht="14.25" hidden="false" customHeight="false" outlineLevel="0" collapsed="false">
      <c r="A66" s="61" t="n">
        <v>1906</v>
      </c>
      <c r="B66" s="49" t="n">
        <v>0.844</v>
      </c>
      <c r="C66" s="62" t="n">
        <v>0.019</v>
      </c>
      <c r="D66" s="48" t="n">
        <v>0</v>
      </c>
      <c r="E66" s="48" t="n">
        <v>90000</v>
      </c>
      <c r="F66" s="48" t="n">
        <v>28000</v>
      </c>
      <c r="G66" s="48" t="n">
        <v>14000</v>
      </c>
      <c r="H66" s="48" t="n">
        <v>9000</v>
      </c>
      <c r="I66" s="62" t="n">
        <v>0.2</v>
      </c>
      <c r="J66" s="62" t="n">
        <v>0.3</v>
      </c>
      <c r="K66" s="48" t="n">
        <v>8277337</v>
      </c>
      <c r="L66" s="62" t="n">
        <v>0.015</v>
      </c>
      <c r="M66" s="49" t="n">
        <v>1</v>
      </c>
      <c r="N66" s="62" t="n">
        <v>0.1917</v>
      </c>
      <c r="O66" s="62" t="n">
        <v>0.12</v>
      </c>
      <c r="P66" s="62" t="n">
        <v>0.074</v>
      </c>
      <c r="Q66" s="62" t="n">
        <v>0.85</v>
      </c>
      <c r="R66" s="63" t="n">
        <v>0.002</v>
      </c>
      <c r="S66" s="55" t="n">
        <v>10.8</v>
      </c>
      <c r="T66" s="62" t="n">
        <v>0.0378</v>
      </c>
      <c r="U66" s="62" t="n">
        <v>0.02</v>
      </c>
      <c r="V66" s="62" t="n">
        <v>0.0085</v>
      </c>
      <c r="W66" s="48" t="n">
        <v>32500</v>
      </c>
      <c r="X66" s="48" t="n">
        <v>164000</v>
      </c>
      <c r="Y66" s="62" t="n">
        <v>0.0411</v>
      </c>
      <c r="Z66" s="62" t="n">
        <v>0.05</v>
      </c>
      <c r="AA66" s="62" t="n">
        <v>0.03</v>
      </c>
      <c r="AB66" s="48" t="n">
        <v>1</v>
      </c>
      <c r="AC66" s="48" t="n">
        <v>0</v>
      </c>
      <c r="AD66" s="48" t="n">
        <v>6277</v>
      </c>
    </row>
    <row r="67" customFormat="false" ht="14.25" hidden="false" customHeight="false" outlineLevel="0" collapsed="false">
      <c r="A67" s="61" t="n">
        <v>1907</v>
      </c>
      <c r="B67" s="49" t="n">
        <v>0.868</v>
      </c>
      <c r="C67" s="62" t="n">
        <v>0.019</v>
      </c>
      <c r="D67" s="48" t="n">
        <v>0</v>
      </c>
      <c r="E67" s="48" t="n">
        <v>90000</v>
      </c>
      <c r="F67" s="48" t="n">
        <v>28000</v>
      </c>
      <c r="G67" s="48" t="n">
        <v>25000</v>
      </c>
      <c r="H67" s="48" t="n">
        <v>9000</v>
      </c>
      <c r="I67" s="62" t="n">
        <v>0.2</v>
      </c>
      <c r="J67" s="62" t="n">
        <v>0.3</v>
      </c>
      <c r="K67" s="48" t="n">
        <v>8459809</v>
      </c>
      <c r="L67" s="62" t="n">
        <v>0.015</v>
      </c>
      <c r="M67" s="49" t="n">
        <v>0.985</v>
      </c>
      <c r="N67" s="62" t="n">
        <v>0.1903</v>
      </c>
      <c r="O67" s="62" t="n">
        <v>0.12</v>
      </c>
      <c r="P67" s="62" t="n">
        <v>0.074</v>
      </c>
      <c r="Q67" s="62" t="n">
        <v>0.85</v>
      </c>
      <c r="R67" s="63" t="n">
        <v>0.002</v>
      </c>
      <c r="S67" s="55" t="n">
        <v>11.6</v>
      </c>
      <c r="T67" s="62" t="n">
        <v>0.0382</v>
      </c>
      <c r="U67" s="62" t="n">
        <v>0.02</v>
      </c>
      <c r="V67" s="62" t="n">
        <v>0.0085</v>
      </c>
      <c r="W67" s="48" t="n">
        <v>33000</v>
      </c>
      <c r="X67" s="48" t="n">
        <v>166000</v>
      </c>
      <c r="Y67" s="62" t="n">
        <v>0.0422</v>
      </c>
      <c r="Z67" s="62" t="n">
        <v>0.05</v>
      </c>
      <c r="AA67" s="62" t="n">
        <v>0.03</v>
      </c>
      <c r="AB67" s="48" t="n">
        <v>1</v>
      </c>
      <c r="AC67" s="48" t="n">
        <v>0</v>
      </c>
      <c r="AD67" s="48" t="n">
        <v>6523</v>
      </c>
    </row>
    <row r="68" customFormat="false" ht="14.25" hidden="false" customHeight="false" outlineLevel="0" collapsed="false">
      <c r="A68" s="61" t="n">
        <v>1908</v>
      </c>
      <c r="B68" s="49" t="n">
        <v>0.892</v>
      </c>
      <c r="C68" s="62" t="n">
        <v>0.019</v>
      </c>
      <c r="D68" s="48" t="n">
        <v>0</v>
      </c>
      <c r="E68" s="48" t="n">
        <v>90000</v>
      </c>
      <c r="F68" s="48" t="n">
        <v>28000</v>
      </c>
      <c r="G68" s="48" t="n">
        <v>25000</v>
      </c>
      <c r="H68" s="48" t="n">
        <v>9000</v>
      </c>
      <c r="I68" s="62" t="n">
        <v>0.2</v>
      </c>
      <c r="J68" s="62" t="n">
        <v>0.3</v>
      </c>
      <c r="K68" s="48" t="n">
        <v>8642325</v>
      </c>
      <c r="L68" s="62" t="n">
        <v>0.015</v>
      </c>
      <c r="M68" s="49" t="n">
        <v>0.95</v>
      </c>
      <c r="N68" s="62" t="n">
        <v>0.189</v>
      </c>
      <c r="O68" s="62" t="n">
        <v>0.12</v>
      </c>
      <c r="P68" s="62" t="n">
        <v>0.074</v>
      </c>
      <c r="Q68" s="62" t="n">
        <v>0.85</v>
      </c>
      <c r="R68" s="63" t="n">
        <v>0.002</v>
      </c>
      <c r="S68" s="55" t="n">
        <v>12.4</v>
      </c>
      <c r="T68" s="62" t="n">
        <v>0.0385</v>
      </c>
      <c r="U68" s="62" t="n">
        <v>0.02</v>
      </c>
      <c r="V68" s="62" t="n">
        <v>0.0084</v>
      </c>
      <c r="W68" s="48" t="n">
        <v>33500</v>
      </c>
      <c r="X68" s="48" t="n">
        <v>168000</v>
      </c>
      <c r="Y68" s="62" t="n">
        <v>0.0433</v>
      </c>
      <c r="Z68" s="62" t="n">
        <v>0.05</v>
      </c>
      <c r="AA68" s="62" t="n">
        <v>0.03</v>
      </c>
      <c r="AB68" s="48" t="n">
        <v>1</v>
      </c>
      <c r="AC68" s="48" t="n">
        <v>0</v>
      </c>
      <c r="AD68" s="48" t="n">
        <v>6769</v>
      </c>
    </row>
    <row r="69" customFormat="false" ht="14.25" hidden="false" customHeight="false" outlineLevel="0" collapsed="false">
      <c r="A69" s="61" t="n">
        <v>1909</v>
      </c>
      <c r="B69" s="49" t="n">
        <v>0.916</v>
      </c>
      <c r="C69" s="62" t="n">
        <v>0.019</v>
      </c>
      <c r="D69" s="48" t="n">
        <v>0</v>
      </c>
      <c r="E69" s="48" t="n">
        <v>90000</v>
      </c>
      <c r="F69" s="48" t="n">
        <v>28000</v>
      </c>
      <c r="G69" s="48" t="n">
        <v>25000</v>
      </c>
      <c r="H69" s="48" t="n">
        <v>9000</v>
      </c>
      <c r="I69" s="62" t="n">
        <v>0.2</v>
      </c>
      <c r="J69" s="62" t="n">
        <v>0.3</v>
      </c>
      <c r="K69" s="48" t="n">
        <v>8824887</v>
      </c>
      <c r="L69" s="62" t="n">
        <v>0.015</v>
      </c>
      <c r="M69" s="49" t="n">
        <v>1</v>
      </c>
      <c r="N69" s="62" t="n">
        <v>0.1876</v>
      </c>
      <c r="O69" s="62" t="n">
        <v>0.12</v>
      </c>
      <c r="P69" s="62" t="n">
        <v>0.074</v>
      </c>
      <c r="Q69" s="62" t="n">
        <v>0.85</v>
      </c>
      <c r="R69" s="63" t="n">
        <v>0.002</v>
      </c>
      <c r="S69" s="55" t="n">
        <v>13.2</v>
      </c>
      <c r="T69" s="62" t="n">
        <v>0.0388</v>
      </c>
      <c r="U69" s="62" t="n">
        <v>0.02</v>
      </c>
      <c r="V69" s="62" t="n">
        <v>0.0083</v>
      </c>
      <c r="W69" s="48" t="n">
        <v>34000</v>
      </c>
      <c r="X69" s="48" t="n">
        <v>171000</v>
      </c>
      <c r="Y69" s="62" t="n">
        <v>0.0444</v>
      </c>
      <c r="Z69" s="62" t="n">
        <v>0.05</v>
      </c>
      <c r="AA69" s="62" t="n">
        <v>0.03</v>
      </c>
      <c r="AB69" s="48" t="n">
        <v>1</v>
      </c>
      <c r="AC69" s="48" t="n">
        <v>0</v>
      </c>
      <c r="AD69" s="48" t="n">
        <v>7015</v>
      </c>
    </row>
    <row r="70" customFormat="false" ht="14.25" hidden="false" customHeight="false" outlineLevel="0" collapsed="false">
      <c r="A70" s="61" t="n">
        <v>1910</v>
      </c>
      <c r="B70" s="49" t="n">
        <v>0.94</v>
      </c>
      <c r="C70" s="62" t="n">
        <v>0.019</v>
      </c>
      <c r="D70" s="48" t="n">
        <v>0</v>
      </c>
      <c r="E70" s="48" t="n">
        <v>90000</v>
      </c>
      <c r="F70" s="48" t="n">
        <v>28000</v>
      </c>
      <c r="G70" s="48" t="n">
        <v>25000</v>
      </c>
      <c r="H70" s="48" t="n">
        <v>9000</v>
      </c>
      <c r="I70" s="62" t="n">
        <v>0.2</v>
      </c>
      <c r="J70" s="62" t="n">
        <v>0.3</v>
      </c>
      <c r="K70" s="48" t="n">
        <v>9007495</v>
      </c>
      <c r="L70" s="62" t="n">
        <v>0.015</v>
      </c>
      <c r="M70" s="49" t="n">
        <v>1</v>
      </c>
      <c r="N70" s="62" t="n">
        <v>0.1862</v>
      </c>
      <c r="O70" s="62" t="n">
        <v>0.12</v>
      </c>
      <c r="P70" s="62" t="n">
        <v>0.074</v>
      </c>
      <c r="Q70" s="62" t="n">
        <v>0.85</v>
      </c>
      <c r="R70" s="63" t="n">
        <v>0.002</v>
      </c>
      <c r="S70" s="55" t="n">
        <v>14</v>
      </c>
      <c r="T70" s="62" t="n">
        <v>0.0391</v>
      </c>
      <c r="U70" s="62" t="n">
        <v>0.02</v>
      </c>
      <c r="V70" s="62" t="n">
        <v>0.0082</v>
      </c>
      <c r="W70" s="48" t="n">
        <v>34500</v>
      </c>
      <c r="X70" s="48" t="n">
        <v>173000</v>
      </c>
      <c r="Y70" s="62" t="n">
        <v>0.0456</v>
      </c>
      <c r="Z70" s="62" t="n">
        <v>0.05</v>
      </c>
      <c r="AA70" s="62" t="n">
        <v>0.03</v>
      </c>
      <c r="AB70" s="48" t="n">
        <v>1</v>
      </c>
      <c r="AC70" s="48" t="n">
        <v>0</v>
      </c>
      <c r="AD70" s="48" t="n">
        <v>7262</v>
      </c>
    </row>
    <row r="71" customFormat="false" ht="14.25" hidden="false" customHeight="false" outlineLevel="0" collapsed="false">
      <c r="A71" s="61" t="n">
        <v>1911</v>
      </c>
      <c r="B71" s="49" t="n">
        <v>0.96</v>
      </c>
      <c r="C71" s="62" t="n">
        <v>0.019</v>
      </c>
      <c r="D71" s="48" t="n">
        <v>0</v>
      </c>
      <c r="E71" s="48" t="n">
        <v>90000</v>
      </c>
      <c r="F71" s="48" t="n">
        <v>28000</v>
      </c>
      <c r="G71" s="48" t="n">
        <v>25000</v>
      </c>
      <c r="H71" s="48" t="n">
        <v>9000</v>
      </c>
      <c r="I71" s="62" t="n">
        <v>0.2</v>
      </c>
      <c r="J71" s="62" t="n">
        <v>0.3</v>
      </c>
      <c r="K71" s="48" t="n">
        <v>9190150</v>
      </c>
      <c r="L71" s="62" t="n">
        <v>0.015</v>
      </c>
      <c r="M71" s="49" t="n">
        <v>1</v>
      </c>
      <c r="N71" s="62" t="n">
        <v>0.1848</v>
      </c>
      <c r="O71" s="62" t="n">
        <v>0.12</v>
      </c>
      <c r="P71" s="62" t="n">
        <v>0.074</v>
      </c>
      <c r="Q71" s="62" t="n">
        <v>0.85</v>
      </c>
      <c r="R71" s="63" t="n">
        <v>0.002</v>
      </c>
      <c r="S71" s="55" t="n">
        <v>14.7</v>
      </c>
      <c r="T71" s="62" t="n">
        <v>0.0394</v>
      </c>
      <c r="U71" s="62" t="n">
        <v>0.02</v>
      </c>
      <c r="V71" s="62" t="n">
        <v>0.0082</v>
      </c>
      <c r="W71" s="48" t="n">
        <v>35000</v>
      </c>
      <c r="X71" s="48" t="n">
        <v>175000</v>
      </c>
      <c r="Y71" s="62" t="n">
        <v>0.0467</v>
      </c>
      <c r="Z71" s="62" t="n">
        <v>0.05</v>
      </c>
      <c r="AA71" s="62" t="n">
        <v>0.03</v>
      </c>
      <c r="AB71" s="48" t="n">
        <v>1</v>
      </c>
      <c r="AC71" s="48" t="n">
        <v>0</v>
      </c>
      <c r="AD71" s="48" t="n">
        <v>7508</v>
      </c>
    </row>
    <row r="72" customFormat="false" ht="14.25" hidden="false" customHeight="false" outlineLevel="0" collapsed="false">
      <c r="A72" s="61" t="n">
        <v>1912</v>
      </c>
      <c r="B72" s="49" t="n">
        <v>0.98</v>
      </c>
      <c r="C72" s="62" t="n">
        <v>0.019</v>
      </c>
      <c r="D72" s="48" t="n">
        <v>0</v>
      </c>
      <c r="E72" s="48" t="n">
        <v>90000</v>
      </c>
      <c r="F72" s="48" t="n">
        <v>28000</v>
      </c>
      <c r="G72" s="48" t="n">
        <v>25000</v>
      </c>
      <c r="H72" s="48" t="n">
        <v>9000</v>
      </c>
      <c r="I72" s="62" t="n">
        <v>0.2</v>
      </c>
      <c r="J72" s="62" t="n">
        <v>0.3</v>
      </c>
      <c r="K72" s="48" t="n">
        <v>9372853</v>
      </c>
      <c r="L72" s="62" t="n">
        <v>0.015</v>
      </c>
      <c r="M72" s="49" t="n">
        <v>1</v>
      </c>
      <c r="N72" s="62" t="n">
        <v>0.1834</v>
      </c>
      <c r="O72" s="62" t="n">
        <v>0.12</v>
      </c>
      <c r="P72" s="62" t="n">
        <v>0.074</v>
      </c>
      <c r="Q72" s="62" t="n">
        <v>0.85</v>
      </c>
      <c r="R72" s="63" t="n">
        <v>0.002</v>
      </c>
      <c r="S72" s="55" t="n">
        <v>15.3</v>
      </c>
      <c r="T72" s="62" t="n">
        <v>0.0397</v>
      </c>
      <c r="U72" s="62" t="n">
        <v>0.02</v>
      </c>
      <c r="V72" s="62" t="n">
        <v>0.0081</v>
      </c>
      <c r="W72" s="48" t="n">
        <v>35500</v>
      </c>
      <c r="X72" s="48" t="n">
        <v>178000</v>
      </c>
      <c r="Y72" s="62" t="n">
        <v>0.0478</v>
      </c>
      <c r="Z72" s="62" t="n">
        <v>0.05</v>
      </c>
      <c r="AA72" s="62" t="n">
        <v>0.03</v>
      </c>
      <c r="AB72" s="48" t="n">
        <v>1</v>
      </c>
      <c r="AC72" s="48" t="n">
        <v>0</v>
      </c>
      <c r="AD72" s="48" t="n">
        <v>7754</v>
      </c>
    </row>
    <row r="73" customFormat="false" ht="14.25" hidden="false" customHeight="false" outlineLevel="0" collapsed="false">
      <c r="A73" s="61" t="n">
        <v>1913</v>
      </c>
      <c r="B73" s="49" t="n">
        <v>1</v>
      </c>
      <c r="C73" s="62" t="n">
        <v>0.017</v>
      </c>
      <c r="D73" s="48" t="n">
        <v>0</v>
      </c>
      <c r="E73" s="48" t="n">
        <v>90000</v>
      </c>
      <c r="F73" s="48" t="n">
        <v>28000</v>
      </c>
      <c r="G73" s="48" t="n">
        <v>25000</v>
      </c>
      <c r="H73" s="48" t="n">
        <v>9000</v>
      </c>
      <c r="I73" s="62" t="n">
        <v>0.2</v>
      </c>
      <c r="J73" s="62" t="n">
        <v>0.3</v>
      </c>
      <c r="K73" s="48" t="n">
        <v>9555604</v>
      </c>
      <c r="L73" s="62" t="n">
        <v>0.015</v>
      </c>
      <c r="M73" s="49" t="n">
        <v>1</v>
      </c>
      <c r="N73" s="62" t="n">
        <v>0.1821</v>
      </c>
      <c r="O73" s="62" t="n">
        <v>0.12</v>
      </c>
      <c r="P73" s="62" t="n">
        <v>0.074</v>
      </c>
      <c r="Q73" s="62" t="n">
        <v>0.85</v>
      </c>
      <c r="R73" s="63" t="n">
        <v>0.002</v>
      </c>
      <c r="S73" s="55" t="n">
        <v>16</v>
      </c>
      <c r="T73" s="62" t="n">
        <v>0.04</v>
      </c>
      <c r="U73" s="62" t="n">
        <v>0.02</v>
      </c>
      <c r="V73" s="62" t="n">
        <v>0.008</v>
      </c>
      <c r="W73" s="48" t="n">
        <v>36000</v>
      </c>
      <c r="X73" s="48" t="n">
        <v>180000</v>
      </c>
      <c r="Y73" s="62" t="n">
        <v>0.0489</v>
      </c>
      <c r="Z73" s="62" t="n">
        <v>0.05</v>
      </c>
      <c r="AA73" s="62" t="n">
        <v>0.03</v>
      </c>
      <c r="AB73" s="48" t="n">
        <v>1</v>
      </c>
      <c r="AC73" s="48" t="n">
        <v>0</v>
      </c>
      <c r="AD73" s="48" t="n">
        <v>8000</v>
      </c>
    </row>
    <row r="74" customFormat="false" ht="14.25" hidden="false" customHeight="false" outlineLevel="0" collapsed="false">
      <c r="A74" s="64" t="n">
        <v>1914</v>
      </c>
      <c r="B74" s="49" t="n">
        <v>1.01</v>
      </c>
      <c r="C74" s="62" t="n">
        <v>0.017</v>
      </c>
      <c r="D74" s="48" t="n">
        <v>0</v>
      </c>
      <c r="E74" s="48" t="n">
        <v>35000</v>
      </c>
      <c r="F74" s="48" t="n">
        <v>14000</v>
      </c>
      <c r="G74" s="48" t="n">
        <v>14000</v>
      </c>
      <c r="H74" s="48" t="n">
        <v>7000</v>
      </c>
      <c r="I74" s="62" t="n">
        <v>0.2</v>
      </c>
      <c r="J74" s="62" t="n">
        <v>0.3</v>
      </c>
      <c r="K74" s="48" t="n">
        <v>9738405</v>
      </c>
      <c r="L74" s="62" t="n">
        <v>0.008</v>
      </c>
      <c r="M74" s="49" t="n">
        <v>0.97</v>
      </c>
      <c r="N74" s="62" t="n">
        <v>0.1807</v>
      </c>
      <c r="O74" s="62" t="n">
        <v>0.12</v>
      </c>
      <c r="P74" s="62" t="n">
        <v>0.074</v>
      </c>
      <c r="Q74" s="62" t="n">
        <v>0.85</v>
      </c>
      <c r="R74" s="63" t="n">
        <v>0.002</v>
      </c>
      <c r="S74" s="55" t="n">
        <v>14</v>
      </c>
      <c r="T74" s="62" t="n">
        <v>0.0403</v>
      </c>
      <c r="U74" s="62" t="n">
        <v>0.02</v>
      </c>
      <c r="V74" s="62" t="n">
        <v>0.008</v>
      </c>
      <c r="W74" s="48" t="n">
        <v>40000</v>
      </c>
      <c r="X74" s="48" t="n">
        <v>182000</v>
      </c>
      <c r="Y74" s="62" t="n">
        <v>0.05</v>
      </c>
      <c r="Z74" s="62" t="n">
        <v>0.05</v>
      </c>
      <c r="AA74" s="62" t="n">
        <v>0</v>
      </c>
      <c r="AB74" s="48" t="n">
        <v>1</v>
      </c>
      <c r="AC74" s="48" t="n">
        <v>1</v>
      </c>
      <c r="AD74" s="48" t="n">
        <v>8071</v>
      </c>
    </row>
    <row r="75" customFormat="false" ht="14.25" hidden="false" customHeight="false" outlineLevel="0" collapsed="false">
      <c r="A75" s="64" t="n">
        <v>1915</v>
      </c>
      <c r="B75" s="49" t="n">
        <v>1.04</v>
      </c>
      <c r="C75" s="62" t="n">
        <v>0.017</v>
      </c>
      <c r="D75" s="48" t="n">
        <v>0</v>
      </c>
      <c r="E75" s="48" t="n">
        <v>35000</v>
      </c>
      <c r="F75" s="48" t="n">
        <v>14000</v>
      </c>
      <c r="G75" s="48" t="n">
        <v>14000</v>
      </c>
      <c r="H75" s="48" t="n">
        <v>7000</v>
      </c>
      <c r="I75" s="62" t="n">
        <v>0.2</v>
      </c>
      <c r="J75" s="62" t="n">
        <v>0.3</v>
      </c>
      <c r="K75" s="48" t="n">
        <v>9921256</v>
      </c>
      <c r="L75" s="62" t="n">
        <v>0.008</v>
      </c>
      <c r="M75" s="49" t="n">
        <v>1</v>
      </c>
      <c r="N75" s="62" t="n">
        <v>0.1793</v>
      </c>
      <c r="O75" s="62" t="n">
        <v>0.12</v>
      </c>
      <c r="P75" s="62" t="n">
        <v>0.095</v>
      </c>
      <c r="Q75" s="62" t="n">
        <v>0.85</v>
      </c>
      <c r="R75" s="63" t="n">
        <v>0.002</v>
      </c>
      <c r="S75" s="55" t="n">
        <v>12</v>
      </c>
      <c r="T75" s="62" t="n">
        <v>0.0406</v>
      </c>
      <c r="U75" s="62" t="n">
        <v>0.02</v>
      </c>
      <c r="V75" s="62" t="n">
        <v>0.008</v>
      </c>
      <c r="W75" s="48" t="n">
        <v>41200</v>
      </c>
      <c r="X75" s="48" t="n">
        <v>185000</v>
      </c>
      <c r="Y75" s="62" t="n">
        <v>0.0498</v>
      </c>
      <c r="Z75" s="62" t="n">
        <v>0.05</v>
      </c>
      <c r="AA75" s="62" t="n">
        <v>0</v>
      </c>
      <c r="AB75" s="48" t="n">
        <v>1</v>
      </c>
      <c r="AC75" s="48" t="n">
        <v>1</v>
      </c>
      <c r="AD75" s="48" t="n">
        <v>8143</v>
      </c>
    </row>
    <row r="76" customFormat="false" ht="14.25" hidden="false" customHeight="false" outlineLevel="0" collapsed="false">
      <c r="A76" s="64" t="n">
        <v>1916</v>
      </c>
      <c r="B76" s="49" t="n">
        <v>1.17</v>
      </c>
      <c r="C76" s="62" t="n">
        <v>0.017</v>
      </c>
      <c r="D76" s="48" t="n">
        <v>0</v>
      </c>
      <c r="E76" s="48" t="n">
        <v>35000</v>
      </c>
      <c r="F76" s="48" t="n">
        <v>14000</v>
      </c>
      <c r="G76" s="48" t="n">
        <v>14000</v>
      </c>
      <c r="H76" s="48" t="n">
        <v>7000</v>
      </c>
      <c r="I76" s="62" t="n">
        <v>0.2</v>
      </c>
      <c r="J76" s="62" t="n">
        <v>0.3</v>
      </c>
      <c r="K76" s="48" t="n">
        <v>10104159</v>
      </c>
      <c r="L76" s="62" t="n">
        <v>0.008</v>
      </c>
      <c r="M76" s="49" t="n">
        <v>1</v>
      </c>
      <c r="N76" s="62" t="n">
        <v>0.1779</v>
      </c>
      <c r="O76" s="62" t="n">
        <v>0.12</v>
      </c>
      <c r="P76" s="62" t="n">
        <v>0.095</v>
      </c>
      <c r="Q76" s="62" t="n">
        <v>0.85</v>
      </c>
      <c r="R76" s="63" t="n">
        <v>0.002</v>
      </c>
      <c r="S76" s="55" t="n">
        <v>12.7</v>
      </c>
      <c r="T76" s="62" t="n">
        <v>0.0409</v>
      </c>
      <c r="U76" s="62" t="n">
        <v>0.02</v>
      </c>
      <c r="V76" s="62" t="n">
        <v>0.008</v>
      </c>
      <c r="W76" s="48" t="n">
        <v>42500</v>
      </c>
      <c r="X76" s="48" t="n">
        <v>188000</v>
      </c>
      <c r="Y76" s="62" t="n">
        <v>0.0496</v>
      </c>
      <c r="Z76" s="62" t="n">
        <v>0.05</v>
      </c>
      <c r="AA76" s="62" t="n">
        <v>0</v>
      </c>
      <c r="AB76" s="48" t="n">
        <v>1</v>
      </c>
      <c r="AC76" s="48" t="n">
        <v>1</v>
      </c>
      <c r="AD76" s="48" t="n">
        <v>8214</v>
      </c>
    </row>
    <row r="77" customFormat="false" ht="14.25" hidden="false" customHeight="false" outlineLevel="0" collapsed="false">
      <c r="A77" s="64" t="n">
        <v>1917</v>
      </c>
      <c r="B77" s="49" t="n">
        <v>1.42</v>
      </c>
      <c r="C77" s="62" t="n">
        <v>0.015</v>
      </c>
      <c r="D77" s="48" t="n">
        <v>0</v>
      </c>
      <c r="E77" s="48" t="n">
        <v>35000</v>
      </c>
      <c r="F77" s="48" t="n">
        <v>14000</v>
      </c>
      <c r="G77" s="48" t="n">
        <v>14000</v>
      </c>
      <c r="H77" s="48" t="n">
        <v>7000</v>
      </c>
      <c r="I77" s="62" t="n">
        <v>0.2</v>
      </c>
      <c r="J77" s="62" t="n">
        <v>0.3</v>
      </c>
      <c r="K77" s="48" t="n">
        <v>10287114</v>
      </c>
      <c r="L77" s="62" t="n">
        <v>0.008</v>
      </c>
      <c r="M77" s="49" t="n">
        <v>1</v>
      </c>
      <c r="N77" s="62" t="n">
        <v>0.1766</v>
      </c>
      <c r="O77" s="62" t="n">
        <v>0.12</v>
      </c>
      <c r="P77" s="62" t="n">
        <v>0.095</v>
      </c>
      <c r="Q77" s="62" t="n">
        <v>0.85</v>
      </c>
      <c r="R77" s="63" t="n">
        <v>0.002</v>
      </c>
      <c r="S77" s="55" t="n">
        <v>13.3</v>
      </c>
      <c r="T77" s="62" t="n">
        <v>0.0411</v>
      </c>
      <c r="U77" s="62" t="n">
        <v>0.02</v>
      </c>
      <c r="V77" s="62" t="n">
        <v>0.008</v>
      </c>
      <c r="W77" s="48" t="n">
        <v>43800</v>
      </c>
      <c r="X77" s="48" t="n">
        <v>190000</v>
      </c>
      <c r="Y77" s="62" t="n">
        <v>0.0493</v>
      </c>
      <c r="Z77" s="62" t="n">
        <v>0.05</v>
      </c>
      <c r="AA77" s="62" t="n">
        <v>0</v>
      </c>
      <c r="AB77" s="48" t="n">
        <v>1</v>
      </c>
      <c r="AC77" s="48" t="n">
        <v>1</v>
      </c>
      <c r="AD77" s="48" t="n">
        <v>8286</v>
      </c>
    </row>
    <row r="78" customFormat="false" ht="14.25" hidden="false" customHeight="false" outlineLevel="0" collapsed="false">
      <c r="A78" s="64" t="n">
        <v>1918</v>
      </c>
      <c r="B78" s="49" t="n">
        <v>1.66</v>
      </c>
      <c r="C78" s="62" t="n">
        <v>0.005</v>
      </c>
      <c r="D78" s="48" t="n">
        <v>0</v>
      </c>
      <c r="E78" s="48" t="n">
        <v>35000</v>
      </c>
      <c r="F78" s="48" t="n">
        <v>14000</v>
      </c>
      <c r="G78" s="48" t="n">
        <v>14000</v>
      </c>
      <c r="H78" s="48" t="n">
        <v>7000</v>
      </c>
      <c r="I78" s="62" t="n">
        <v>0.2</v>
      </c>
      <c r="J78" s="62" t="n">
        <v>0.3</v>
      </c>
      <c r="K78" s="48" t="n">
        <v>10470122</v>
      </c>
      <c r="L78" s="62" t="n">
        <v>0.008</v>
      </c>
      <c r="M78" s="49" t="n">
        <v>1</v>
      </c>
      <c r="N78" s="62" t="n">
        <v>0.1752</v>
      </c>
      <c r="O78" s="62" t="n">
        <v>0.12</v>
      </c>
      <c r="P78" s="62" t="n">
        <v>0.095</v>
      </c>
      <c r="Q78" s="62" t="n">
        <v>0.85</v>
      </c>
      <c r="R78" s="63" t="n">
        <v>0.002</v>
      </c>
      <c r="S78" s="55" t="n">
        <v>14</v>
      </c>
      <c r="T78" s="62" t="n">
        <v>0.0414</v>
      </c>
      <c r="U78" s="62" t="n">
        <v>0.02</v>
      </c>
      <c r="V78" s="62" t="n">
        <v>0.008</v>
      </c>
      <c r="W78" s="48" t="n">
        <v>45000</v>
      </c>
      <c r="X78" s="48" t="n">
        <v>192000</v>
      </c>
      <c r="Y78" s="62" t="n">
        <v>0.0491</v>
      </c>
      <c r="Z78" s="62" t="n">
        <v>0.05</v>
      </c>
      <c r="AA78" s="62" t="n">
        <v>0</v>
      </c>
      <c r="AB78" s="48" t="n">
        <v>1</v>
      </c>
      <c r="AC78" s="48" t="n">
        <v>1</v>
      </c>
      <c r="AD78" s="48" t="n">
        <v>8357</v>
      </c>
    </row>
    <row r="79" customFormat="false" ht="14.25" hidden="false" customHeight="false" outlineLevel="0" collapsed="false">
      <c r="A79" s="64" t="n">
        <v>1919</v>
      </c>
      <c r="B79" s="49" t="n">
        <v>1.83</v>
      </c>
      <c r="C79" s="62" t="n">
        <v>0.015</v>
      </c>
      <c r="D79" s="48" t="n">
        <v>0</v>
      </c>
      <c r="E79" s="48" t="n">
        <v>110000</v>
      </c>
      <c r="F79" s="48" t="n">
        <v>30000</v>
      </c>
      <c r="G79" s="48" t="n">
        <v>30000</v>
      </c>
      <c r="H79" s="48" t="n">
        <v>20000</v>
      </c>
      <c r="I79" s="62" t="n">
        <v>0.2</v>
      </c>
      <c r="J79" s="62" t="n">
        <v>0.3</v>
      </c>
      <c r="K79" s="48" t="n">
        <v>10666184</v>
      </c>
      <c r="L79" s="62" t="n">
        <v>0.008</v>
      </c>
      <c r="M79" s="49" t="n">
        <v>1</v>
      </c>
      <c r="N79" s="62" t="n">
        <v>0.1738</v>
      </c>
      <c r="O79" s="62" t="n">
        <v>0.12</v>
      </c>
      <c r="P79" s="62" t="n">
        <v>0.095</v>
      </c>
      <c r="Q79" s="62" t="n">
        <v>0.85</v>
      </c>
      <c r="R79" s="63" t="n">
        <v>0.002</v>
      </c>
      <c r="S79" s="55" t="n">
        <v>17</v>
      </c>
      <c r="T79" s="62" t="n">
        <v>0.0417</v>
      </c>
      <c r="U79" s="62" t="n">
        <v>0.02</v>
      </c>
      <c r="V79" s="62" t="n">
        <v>0.008</v>
      </c>
      <c r="W79" s="48" t="n">
        <v>45000</v>
      </c>
      <c r="X79" s="48" t="n">
        <v>195000</v>
      </c>
      <c r="Y79" s="62" t="n">
        <v>0.0489</v>
      </c>
      <c r="Z79" s="62" t="n">
        <v>0.05</v>
      </c>
      <c r="AA79" s="62" t="n">
        <v>0</v>
      </c>
      <c r="AB79" s="48" t="n">
        <v>1</v>
      </c>
      <c r="AC79" s="48" t="n">
        <v>1</v>
      </c>
      <c r="AD79" s="48" t="n">
        <v>8429</v>
      </c>
    </row>
    <row r="80" customFormat="false" ht="14.25" hidden="false" customHeight="false" outlineLevel="0" collapsed="false">
      <c r="A80" s="64" t="n">
        <v>1920</v>
      </c>
      <c r="B80" s="49" t="n">
        <v>2.05</v>
      </c>
      <c r="C80" s="62" t="n">
        <v>0.015</v>
      </c>
      <c r="D80" s="48" t="n">
        <v>0</v>
      </c>
      <c r="E80" s="48" t="n">
        <v>110000</v>
      </c>
      <c r="F80" s="48" t="n">
        <v>30000</v>
      </c>
      <c r="G80" s="48" t="n">
        <v>30000</v>
      </c>
      <c r="H80" s="48" t="n">
        <v>20000</v>
      </c>
      <c r="I80" s="62" t="n">
        <v>0.2</v>
      </c>
      <c r="J80" s="62" t="n">
        <v>0.3</v>
      </c>
      <c r="K80" s="48" t="n">
        <v>10862301</v>
      </c>
      <c r="L80" s="62" t="n">
        <v>0.008</v>
      </c>
      <c r="M80" s="49" t="n">
        <v>1</v>
      </c>
      <c r="N80" s="62" t="n">
        <v>0.1724</v>
      </c>
      <c r="O80" s="62" t="n">
        <v>0.12</v>
      </c>
      <c r="P80" s="62" t="n">
        <v>0.095</v>
      </c>
      <c r="Q80" s="62" t="n">
        <v>0.85</v>
      </c>
      <c r="R80" s="63" t="n">
        <v>0.002</v>
      </c>
      <c r="S80" s="55" t="n">
        <v>20</v>
      </c>
      <c r="T80" s="62" t="n">
        <v>0.042</v>
      </c>
      <c r="U80" s="62" t="n">
        <v>0.02</v>
      </c>
      <c r="V80" s="62" t="n">
        <v>0.008</v>
      </c>
      <c r="W80" s="48" t="n">
        <v>45000</v>
      </c>
      <c r="X80" s="48" t="n">
        <v>198000</v>
      </c>
      <c r="Y80" s="62" t="n">
        <v>0.0487</v>
      </c>
      <c r="Z80" s="62" t="n">
        <v>0.05</v>
      </c>
      <c r="AA80" s="62" t="n">
        <v>0</v>
      </c>
      <c r="AB80" s="48" t="n">
        <v>1</v>
      </c>
      <c r="AC80" s="48" t="n">
        <v>1</v>
      </c>
      <c r="AD80" s="48" t="n">
        <v>8500</v>
      </c>
    </row>
    <row r="81" customFormat="false" ht="14.25" hidden="false" customHeight="false" outlineLevel="0" collapsed="false">
      <c r="A81" s="64" t="n">
        <v>1921</v>
      </c>
      <c r="B81" s="49" t="n">
        <v>1.7</v>
      </c>
      <c r="C81" s="62" t="n">
        <v>0.015</v>
      </c>
      <c r="D81" s="48" t="n">
        <v>0</v>
      </c>
      <c r="E81" s="48" t="n">
        <v>110000</v>
      </c>
      <c r="F81" s="48" t="n">
        <v>30000</v>
      </c>
      <c r="G81" s="48" t="n">
        <v>30000</v>
      </c>
      <c r="H81" s="48" t="n">
        <v>20000</v>
      </c>
      <c r="I81" s="62" t="n">
        <v>0.2</v>
      </c>
      <c r="J81" s="62" t="n">
        <v>0.3</v>
      </c>
      <c r="K81" s="48" t="n">
        <v>11058475</v>
      </c>
      <c r="L81" s="62" t="n">
        <v>0.017</v>
      </c>
      <c r="M81" s="49" t="n">
        <v>0.93</v>
      </c>
      <c r="N81" s="62" t="n">
        <v>0.171</v>
      </c>
      <c r="O81" s="62" t="n">
        <v>0.12</v>
      </c>
      <c r="P81" s="62" t="n">
        <v>0.08</v>
      </c>
      <c r="Q81" s="62" t="n">
        <v>0.85</v>
      </c>
      <c r="R81" s="63" t="n">
        <v>0.002</v>
      </c>
      <c r="S81" s="55" t="n">
        <v>21.2</v>
      </c>
      <c r="T81" s="62" t="n">
        <v>0.0423</v>
      </c>
      <c r="U81" s="62" t="n">
        <v>0.02</v>
      </c>
      <c r="V81" s="62" t="n">
        <v>0.008</v>
      </c>
      <c r="W81" s="48" t="n">
        <v>42500</v>
      </c>
      <c r="X81" s="48" t="n">
        <v>200000</v>
      </c>
      <c r="Y81" s="62" t="n">
        <v>0.0484</v>
      </c>
      <c r="Z81" s="62" t="n">
        <v>0.05</v>
      </c>
      <c r="AA81" s="62" t="n">
        <v>0</v>
      </c>
      <c r="AB81" s="48" t="n">
        <v>1</v>
      </c>
      <c r="AC81" s="48" t="n">
        <v>1</v>
      </c>
      <c r="AD81" s="48" t="n">
        <v>8700</v>
      </c>
    </row>
    <row r="82" customFormat="false" ht="14.25" hidden="false" customHeight="false" outlineLevel="0" collapsed="false">
      <c r="A82" s="64" t="n">
        <v>1922</v>
      </c>
      <c r="B82" s="49" t="n">
        <v>1.58</v>
      </c>
      <c r="C82" s="62" t="n">
        <v>0.015</v>
      </c>
      <c r="D82" s="48" t="n">
        <v>0</v>
      </c>
      <c r="E82" s="48" t="n">
        <v>110000</v>
      </c>
      <c r="F82" s="48" t="n">
        <v>30000</v>
      </c>
      <c r="G82" s="48" t="n">
        <v>30000</v>
      </c>
      <c r="H82" s="48" t="n">
        <v>20000</v>
      </c>
      <c r="I82" s="62" t="n">
        <v>0.2</v>
      </c>
      <c r="J82" s="62" t="n">
        <v>0.3</v>
      </c>
      <c r="K82" s="48" t="n">
        <v>11253705</v>
      </c>
      <c r="L82" s="62" t="n">
        <v>0.017</v>
      </c>
      <c r="M82" s="49" t="n">
        <v>0.97</v>
      </c>
      <c r="N82" s="62" t="n">
        <v>0.1697</v>
      </c>
      <c r="O82" s="62" t="n">
        <v>0.12</v>
      </c>
      <c r="P82" s="62" t="n">
        <v>0.08</v>
      </c>
      <c r="Q82" s="62" t="n">
        <v>0.85</v>
      </c>
      <c r="R82" s="63" t="n">
        <v>0.002</v>
      </c>
      <c r="S82" s="55" t="n">
        <v>22.4</v>
      </c>
      <c r="T82" s="62" t="n">
        <v>0.0427</v>
      </c>
      <c r="U82" s="62" t="n">
        <v>0.02</v>
      </c>
      <c r="V82" s="62" t="n">
        <v>0.008</v>
      </c>
      <c r="W82" s="48" t="n">
        <v>40000</v>
      </c>
      <c r="X82" s="48" t="n">
        <v>202000</v>
      </c>
      <c r="Y82" s="62" t="n">
        <v>0.0482</v>
      </c>
      <c r="Z82" s="62" t="n">
        <v>0.05</v>
      </c>
      <c r="AA82" s="62" t="n">
        <v>0</v>
      </c>
      <c r="AB82" s="48" t="n">
        <v>1</v>
      </c>
      <c r="AC82" s="48" t="n">
        <v>1</v>
      </c>
      <c r="AD82" s="48" t="n">
        <v>8900</v>
      </c>
    </row>
    <row r="83" customFormat="false" ht="14.25" hidden="false" customHeight="false" outlineLevel="0" collapsed="false">
      <c r="A83" s="61" t="n">
        <v>1923</v>
      </c>
      <c r="B83" s="49" t="n">
        <v>1.62</v>
      </c>
      <c r="C83" s="62" t="n">
        <v>0.015</v>
      </c>
      <c r="D83" s="48" t="n">
        <v>0</v>
      </c>
      <c r="E83" s="48" t="n">
        <v>110000</v>
      </c>
      <c r="F83" s="48" t="n">
        <v>30000</v>
      </c>
      <c r="G83" s="48" t="n">
        <v>30000</v>
      </c>
      <c r="H83" s="48" t="n">
        <v>20000</v>
      </c>
      <c r="I83" s="62" t="n">
        <v>0.2</v>
      </c>
      <c r="J83" s="62" t="n">
        <v>0.3</v>
      </c>
      <c r="K83" s="48" t="n">
        <v>11449994</v>
      </c>
      <c r="L83" s="62" t="n">
        <v>0.017</v>
      </c>
      <c r="M83" s="49" t="n">
        <v>1</v>
      </c>
      <c r="N83" s="62" t="n">
        <v>0.1683</v>
      </c>
      <c r="O83" s="62" t="n">
        <v>0.12</v>
      </c>
      <c r="P83" s="62" t="n">
        <v>0.08</v>
      </c>
      <c r="Q83" s="62" t="n">
        <v>0.85</v>
      </c>
      <c r="R83" s="63" t="n">
        <v>0.002</v>
      </c>
      <c r="S83" s="55" t="n">
        <v>23.6</v>
      </c>
      <c r="T83" s="62" t="n">
        <v>0.043</v>
      </c>
      <c r="U83" s="62" t="n">
        <v>0.02</v>
      </c>
      <c r="V83" s="62" t="n">
        <v>0.008</v>
      </c>
      <c r="W83" s="48" t="n">
        <v>39300</v>
      </c>
      <c r="X83" s="48" t="n">
        <v>205000</v>
      </c>
      <c r="Y83" s="62" t="n">
        <v>0.048</v>
      </c>
      <c r="Z83" s="62" t="n">
        <v>0.033</v>
      </c>
      <c r="AA83" s="62" t="n">
        <v>0.016</v>
      </c>
      <c r="AB83" s="48" t="n">
        <v>1</v>
      </c>
      <c r="AC83" s="48" t="n">
        <v>0</v>
      </c>
      <c r="AD83" s="48" t="n">
        <v>9100</v>
      </c>
    </row>
    <row r="84" customFormat="false" ht="14.25" hidden="false" customHeight="false" outlineLevel="0" collapsed="false">
      <c r="A84" s="61" t="n">
        <v>1924</v>
      </c>
      <c r="B84" s="49" t="n">
        <v>1.62</v>
      </c>
      <c r="C84" s="62" t="n">
        <v>0.015</v>
      </c>
      <c r="D84" s="48" t="n">
        <v>0</v>
      </c>
      <c r="E84" s="48" t="n">
        <v>110000</v>
      </c>
      <c r="F84" s="48" t="n">
        <v>30000</v>
      </c>
      <c r="G84" s="48" t="n">
        <v>30000</v>
      </c>
      <c r="H84" s="48" t="n">
        <v>20000</v>
      </c>
      <c r="I84" s="62" t="n">
        <v>0.2</v>
      </c>
      <c r="J84" s="62" t="n">
        <v>0.3</v>
      </c>
      <c r="K84" s="48" t="n">
        <v>11646342</v>
      </c>
      <c r="L84" s="62" t="n">
        <v>0.017</v>
      </c>
      <c r="M84" s="49" t="n">
        <v>1</v>
      </c>
      <c r="N84" s="62" t="n">
        <v>0.1669</v>
      </c>
      <c r="O84" s="62" t="n">
        <v>0.12</v>
      </c>
      <c r="P84" s="62" t="n">
        <v>0.08</v>
      </c>
      <c r="Q84" s="62" t="n">
        <v>0.85</v>
      </c>
      <c r="R84" s="63" t="n">
        <v>0.002</v>
      </c>
      <c r="S84" s="55" t="n">
        <v>24.8</v>
      </c>
      <c r="T84" s="62" t="n">
        <v>0.0433</v>
      </c>
      <c r="U84" s="62" t="n">
        <v>0.02</v>
      </c>
      <c r="V84" s="62" t="n">
        <v>0.008</v>
      </c>
      <c r="W84" s="48" t="n">
        <v>38700</v>
      </c>
      <c r="X84" s="48" t="n">
        <v>208000</v>
      </c>
      <c r="Y84" s="62" t="n">
        <v>0.0482</v>
      </c>
      <c r="Z84" s="62" t="n">
        <v>0.033</v>
      </c>
      <c r="AA84" s="62" t="n">
        <v>0.016</v>
      </c>
      <c r="AB84" s="48" t="n">
        <v>1</v>
      </c>
      <c r="AC84" s="48" t="n">
        <v>0</v>
      </c>
      <c r="AD84" s="48" t="n">
        <v>9300</v>
      </c>
    </row>
    <row r="85" customFormat="false" ht="14.25" hidden="false" customHeight="false" outlineLevel="0" collapsed="false">
      <c r="A85" s="61" t="n">
        <v>1925</v>
      </c>
      <c r="B85" s="49" t="n">
        <v>1.65</v>
      </c>
      <c r="C85" s="62" t="n">
        <v>0.015</v>
      </c>
      <c r="D85" s="48" t="n">
        <v>0</v>
      </c>
      <c r="E85" s="48" t="n">
        <v>110000</v>
      </c>
      <c r="F85" s="48" t="n">
        <v>30000</v>
      </c>
      <c r="G85" s="48" t="n">
        <v>30000</v>
      </c>
      <c r="H85" s="48" t="n">
        <v>20000</v>
      </c>
      <c r="I85" s="62" t="n">
        <v>0.2</v>
      </c>
      <c r="J85" s="62" t="n">
        <v>0.3</v>
      </c>
      <c r="K85" s="48" t="n">
        <v>11842750</v>
      </c>
      <c r="L85" s="62" t="n">
        <v>0.017</v>
      </c>
      <c r="M85" s="49" t="n">
        <v>1</v>
      </c>
      <c r="N85" s="62" t="n">
        <v>0.1655</v>
      </c>
      <c r="O85" s="62" t="n">
        <v>0.12</v>
      </c>
      <c r="P85" s="62" t="n">
        <v>0.08</v>
      </c>
      <c r="Q85" s="62" t="n">
        <v>0.85</v>
      </c>
      <c r="R85" s="63" t="n">
        <v>0.002</v>
      </c>
      <c r="S85" s="55" t="n">
        <v>26</v>
      </c>
      <c r="T85" s="62" t="n">
        <v>0.0437</v>
      </c>
      <c r="U85" s="62" t="n">
        <v>0.02</v>
      </c>
      <c r="V85" s="62" t="n">
        <v>0.008</v>
      </c>
      <c r="W85" s="48" t="n">
        <v>38000</v>
      </c>
      <c r="X85" s="48" t="n">
        <v>210000</v>
      </c>
      <c r="Y85" s="62" t="n">
        <v>0.0484</v>
      </c>
      <c r="Z85" s="62" t="n">
        <v>0.033</v>
      </c>
      <c r="AA85" s="62" t="n">
        <v>0.016</v>
      </c>
      <c r="AB85" s="48" t="n">
        <v>1</v>
      </c>
      <c r="AC85" s="48" t="n">
        <v>0</v>
      </c>
      <c r="AD85" s="48" t="n">
        <v>9500</v>
      </c>
    </row>
    <row r="86" customFormat="false" ht="14.25" hidden="false" customHeight="false" outlineLevel="0" collapsed="false">
      <c r="A86" s="61" t="n">
        <v>1926</v>
      </c>
      <c r="B86" s="49" t="n">
        <v>1.62</v>
      </c>
      <c r="C86" s="62" t="n">
        <v>0.015</v>
      </c>
      <c r="D86" s="48" t="n">
        <v>0</v>
      </c>
      <c r="E86" s="48" t="n">
        <v>110000</v>
      </c>
      <c r="F86" s="48" t="n">
        <v>30000</v>
      </c>
      <c r="G86" s="48" t="n">
        <v>30000</v>
      </c>
      <c r="H86" s="48" t="n">
        <v>20000</v>
      </c>
      <c r="I86" s="62" t="n">
        <v>0.2</v>
      </c>
      <c r="J86" s="62" t="n">
        <v>0.3</v>
      </c>
      <c r="K86" s="48" t="n">
        <v>12039219</v>
      </c>
      <c r="L86" s="62" t="n">
        <v>0.017</v>
      </c>
      <c r="M86" s="49" t="n">
        <v>1</v>
      </c>
      <c r="N86" s="62" t="n">
        <v>0.1641</v>
      </c>
      <c r="O86" s="62" t="n">
        <v>0.12</v>
      </c>
      <c r="P86" s="62" t="n">
        <v>0.08</v>
      </c>
      <c r="Q86" s="62" t="n">
        <v>0.85</v>
      </c>
      <c r="R86" s="63" t="n">
        <v>0.002</v>
      </c>
      <c r="S86" s="55" t="n">
        <v>27</v>
      </c>
      <c r="T86" s="62" t="n">
        <v>0.044</v>
      </c>
      <c r="U86" s="62" t="n">
        <v>0.02</v>
      </c>
      <c r="V86" s="62" t="n">
        <v>0.008</v>
      </c>
      <c r="W86" s="48" t="n">
        <v>38500</v>
      </c>
      <c r="X86" s="48" t="n">
        <v>212000</v>
      </c>
      <c r="Y86" s="62" t="n">
        <v>0.0487</v>
      </c>
      <c r="Z86" s="62" t="n">
        <v>0.033</v>
      </c>
      <c r="AA86" s="62" t="n">
        <v>0.016</v>
      </c>
      <c r="AB86" s="48" t="n">
        <v>1</v>
      </c>
      <c r="AC86" s="48" t="n">
        <v>0</v>
      </c>
      <c r="AD86" s="48" t="n">
        <v>9700</v>
      </c>
    </row>
    <row r="87" customFormat="false" ht="14.25" hidden="false" customHeight="false" outlineLevel="0" collapsed="false">
      <c r="A87" s="61" t="n">
        <v>1927</v>
      </c>
      <c r="B87" s="49" t="n">
        <v>1.58</v>
      </c>
      <c r="C87" s="62" t="n">
        <v>0.015</v>
      </c>
      <c r="D87" s="48" t="n">
        <v>0</v>
      </c>
      <c r="E87" s="48" t="n">
        <v>110000</v>
      </c>
      <c r="F87" s="48" t="n">
        <v>30000</v>
      </c>
      <c r="G87" s="48" t="n">
        <v>30000</v>
      </c>
      <c r="H87" s="48" t="n">
        <v>20000</v>
      </c>
      <c r="I87" s="62" t="n">
        <v>0.2</v>
      </c>
      <c r="J87" s="62" t="n">
        <v>0.3</v>
      </c>
      <c r="K87" s="48" t="n">
        <v>12235751</v>
      </c>
      <c r="L87" s="62" t="n">
        <v>0.017</v>
      </c>
      <c r="M87" s="49" t="n">
        <v>1</v>
      </c>
      <c r="N87" s="62" t="n">
        <v>0.1628</v>
      </c>
      <c r="O87" s="62" t="n">
        <v>0.12</v>
      </c>
      <c r="P87" s="62" t="n">
        <v>0.085</v>
      </c>
      <c r="Q87" s="62" t="n">
        <v>0.85</v>
      </c>
      <c r="R87" s="63" t="n">
        <v>0.002</v>
      </c>
      <c r="S87" s="55" t="n">
        <v>28</v>
      </c>
      <c r="T87" s="62" t="n">
        <v>0.0443</v>
      </c>
      <c r="U87" s="62" t="n">
        <v>0.02</v>
      </c>
      <c r="V87" s="62" t="n">
        <v>0.008</v>
      </c>
      <c r="W87" s="48" t="n">
        <v>39000</v>
      </c>
      <c r="X87" s="48" t="n">
        <v>215000</v>
      </c>
      <c r="Y87" s="62" t="n">
        <v>0.0489</v>
      </c>
      <c r="Z87" s="62" t="n">
        <v>0.033</v>
      </c>
      <c r="AA87" s="62" t="n">
        <v>0.016</v>
      </c>
      <c r="AB87" s="48" t="n">
        <v>1</v>
      </c>
      <c r="AC87" s="48" t="n">
        <v>0</v>
      </c>
      <c r="AD87" s="48" t="n">
        <v>9900</v>
      </c>
    </row>
    <row r="88" customFormat="false" ht="14.25" hidden="false" customHeight="false" outlineLevel="0" collapsed="false">
      <c r="A88" s="61" t="n">
        <v>1928</v>
      </c>
      <c r="B88" s="49" t="n">
        <v>1.6</v>
      </c>
      <c r="C88" s="62" t="n">
        <v>0.015</v>
      </c>
      <c r="D88" s="48" t="n">
        <v>0</v>
      </c>
      <c r="E88" s="48" t="n">
        <v>110000</v>
      </c>
      <c r="F88" s="48" t="n">
        <v>30000</v>
      </c>
      <c r="G88" s="48" t="n">
        <v>30000</v>
      </c>
      <c r="H88" s="48" t="n">
        <v>20000</v>
      </c>
      <c r="I88" s="62" t="n">
        <v>0.2</v>
      </c>
      <c r="J88" s="62" t="n">
        <v>0.3</v>
      </c>
      <c r="K88" s="48" t="n">
        <v>12432347</v>
      </c>
      <c r="L88" s="62" t="n">
        <v>0.017</v>
      </c>
      <c r="M88" s="49" t="n">
        <v>1</v>
      </c>
      <c r="N88" s="62" t="n">
        <v>0.1614</v>
      </c>
      <c r="O88" s="62" t="n">
        <v>0.12</v>
      </c>
      <c r="P88" s="62" t="n">
        <v>0.085</v>
      </c>
      <c r="Q88" s="62" t="n">
        <v>0.85</v>
      </c>
      <c r="R88" s="63" t="n">
        <v>0.002</v>
      </c>
      <c r="S88" s="55" t="n">
        <v>29</v>
      </c>
      <c r="T88" s="62" t="n">
        <v>0.0447</v>
      </c>
      <c r="U88" s="62" t="n">
        <v>0.02</v>
      </c>
      <c r="V88" s="62" t="n">
        <v>0.008</v>
      </c>
      <c r="W88" s="48" t="n">
        <v>39500</v>
      </c>
      <c r="X88" s="48" t="n">
        <v>218000</v>
      </c>
      <c r="Y88" s="62" t="n">
        <v>0.0491</v>
      </c>
      <c r="Z88" s="62" t="n">
        <v>0.033</v>
      </c>
      <c r="AA88" s="62" t="n">
        <v>0.016</v>
      </c>
      <c r="AB88" s="48" t="n">
        <v>1</v>
      </c>
      <c r="AC88" s="48" t="n">
        <v>0</v>
      </c>
      <c r="AD88" s="48" t="n">
        <v>10100</v>
      </c>
    </row>
    <row r="89" customFormat="false" ht="14.25" hidden="false" customHeight="false" outlineLevel="0" collapsed="false">
      <c r="A89" s="61" t="n">
        <v>1929</v>
      </c>
      <c r="B89" s="49" t="n">
        <v>1.6</v>
      </c>
      <c r="C89" s="62" t="n">
        <v>0.015</v>
      </c>
      <c r="D89" s="48" t="n">
        <v>0</v>
      </c>
      <c r="E89" s="48" t="n">
        <v>110000</v>
      </c>
      <c r="F89" s="48" t="n">
        <v>30000</v>
      </c>
      <c r="G89" s="48" t="n">
        <v>30000</v>
      </c>
      <c r="H89" s="48" t="n">
        <v>20000</v>
      </c>
      <c r="I89" s="62" t="n">
        <v>0.2</v>
      </c>
      <c r="J89" s="62" t="n">
        <v>0.3</v>
      </c>
      <c r="K89" s="48" t="n">
        <v>12628007</v>
      </c>
      <c r="L89" s="62" t="n">
        <v>0.017</v>
      </c>
      <c r="M89" s="49" t="n">
        <v>1</v>
      </c>
      <c r="N89" s="62" t="n">
        <v>0.16</v>
      </c>
      <c r="O89" s="62" t="n">
        <v>0.12</v>
      </c>
      <c r="P89" s="62" t="n">
        <v>0.085</v>
      </c>
      <c r="Q89" s="62" t="n">
        <v>0.85</v>
      </c>
      <c r="R89" s="63" t="n">
        <v>0.002</v>
      </c>
      <c r="S89" s="55" t="n">
        <v>30</v>
      </c>
      <c r="T89" s="62" t="n">
        <v>0.045</v>
      </c>
      <c r="U89" s="62" t="n">
        <v>0.02</v>
      </c>
      <c r="V89" s="62" t="n">
        <v>0.008</v>
      </c>
      <c r="W89" s="48" t="n">
        <v>40000</v>
      </c>
      <c r="X89" s="48" t="n">
        <v>220000</v>
      </c>
      <c r="Y89" s="62" t="n">
        <v>0.0493</v>
      </c>
      <c r="Z89" s="62" t="n">
        <v>0.033</v>
      </c>
      <c r="AA89" s="62" t="n">
        <v>0.016</v>
      </c>
      <c r="AB89" s="48" t="n">
        <v>1</v>
      </c>
      <c r="AC89" s="48" t="n">
        <v>0</v>
      </c>
      <c r="AD89" s="48" t="n">
        <v>10300</v>
      </c>
    </row>
    <row r="90" customFormat="false" ht="14.25" hidden="false" customHeight="false" outlineLevel="0" collapsed="false">
      <c r="A90" s="61" t="n">
        <v>1930</v>
      </c>
      <c r="B90" s="49" t="n">
        <v>1.53</v>
      </c>
      <c r="C90" s="62" t="n">
        <v>0.012</v>
      </c>
      <c r="D90" s="48" t="n">
        <v>0</v>
      </c>
      <c r="E90" s="48" t="n">
        <v>30000</v>
      </c>
      <c r="F90" s="48" t="n">
        <v>12000</v>
      </c>
      <c r="G90" s="48" t="n">
        <v>12000</v>
      </c>
      <c r="H90" s="48" t="n">
        <v>8000</v>
      </c>
      <c r="I90" s="62" t="n">
        <v>0.2</v>
      </c>
      <c r="J90" s="62" t="n">
        <v>0.3</v>
      </c>
      <c r="K90" s="48" t="n">
        <v>12824733</v>
      </c>
      <c r="L90" s="62" t="n">
        <v>0</v>
      </c>
      <c r="M90" s="49" t="n">
        <v>0.94</v>
      </c>
      <c r="N90" s="62" t="n">
        <v>0.15</v>
      </c>
      <c r="O90" s="62" t="n">
        <v>0.12</v>
      </c>
      <c r="P90" s="62" t="n">
        <v>0.085</v>
      </c>
      <c r="Q90" s="62" t="n">
        <v>0.85</v>
      </c>
      <c r="R90" s="63" t="n">
        <v>0.002</v>
      </c>
      <c r="S90" s="55" t="n">
        <v>27.5</v>
      </c>
      <c r="T90" s="62" t="n">
        <v>0.0457</v>
      </c>
      <c r="U90" s="62" t="n">
        <v>0.024</v>
      </c>
      <c r="V90" s="62" t="n">
        <v>0.008</v>
      </c>
      <c r="W90" s="48" t="n">
        <v>40700</v>
      </c>
      <c r="X90" s="48" t="n">
        <v>220000</v>
      </c>
      <c r="Y90" s="62" t="n">
        <v>0.0496</v>
      </c>
      <c r="Z90" s="62" t="n">
        <v>0.033</v>
      </c>
      <c r="AA90" s="62" t="n">
        <v>0.016</v>
      </c>
      <c r="AB90" s="48" t="n">
        <v>1</v>
      </c>
      <c r="AC90" s="48" t="n">
        <v>0</v>
      </c>
      <c r="AD90" s="48" t="n">
        <v>10833</v>
      </c>
    </row>
    <row r="91" customFormat="false" ht="14.25" hidden="false" customHeight="false" outlineLevel="0" collapsed="false">
      <c r="A91" s="61" t="n">
        <v>1931</v>
      </c>
      <c r="B91" s="49" t="n">
        <v>1.37</v>
      </c>
      <c r="C91" s="62" t="n">
        <v>0.012</v>
      </c>
      <c r="D91" s="48" t="n">
        <v>0</v>
      </c>
      <c r="E91" s="48" t="n">
        <v>30000</v>
      </c>
      <c r="F91" s="48" t="n">
        <v>12000</v>
      </c>
      <c r="G91" s="48" t="n">
        <v>12000</v>
      </c>
      <c r="H91" s="48" t="n">
        <v>8000</v>
      </c>
      <c r="I91" s="62" t="n">
        <v>0.2</v>
      </c>
      <c r="J91" s="62" t="n">
        <v>0.3</v>
      </c>
      <c r="K91" s="48" t="n">
        <v>13021526</v>
      </c>
      <c r="L91" s="62" t="n">
        <v>0</v>
      </c>
      <c r="M91" s="49" t="n">
        <v>0.89</v>
      </c>
      <c r="N91" s="62" t="n">
        <v>0.14</v>
      </c>
      <c r="O91" s="62" t="n">
        <v>0.12</v>
      </c>
      <c r="P91" s="62" t="n">
        <v>0.085</v>
      </c>
      <c r="Q91" s="62" t="n">
        <v>0.82</v>
      </c>
      <c r="R91" s="63" t="n">
        <v>0.002</v>
      </c>
      <c r="S91" s="55" t="n">
        <v>25</v>
      </c>
      <c r="T91" s="62" t="n">
        <v>0.0463</v>
      </c>
      <c r="U91" s="62" t="n">
        <v>0.026</v>
      </c>
      <c r="V91" s="62" t="n">
        <v>0.008</v>
      </c>
      <c r="W91" s="48" t="n">
        <v>41300</v>
      </c>
      <c r="X91" s="48" t="n">
        <v>220000</v>
      </c>
      <c r="Y91" s="62" t="n">
        <v>0.0498</v>
      </c>
      <c r="Z91" s="62" t="n">
        <v>0.033</v>
      </c>
      <c r="AA91" s="62" t="n">
        <v>0</v>
      </c>
      <c r="AB91" s="48" t="n">
        <v>0</v>
      </c>
      <c r="AC91" s="48" t="n">
        <v>0</v>
      </c>
      <c r="AD91" s="48" t="n">
        <v>11367</v>
      </c>
    </row>
    <row r="92" customFormat="false" ht="14.25" hidden="false" customHeight="false" outlineLevel="0" collapsed="false">
      <c r="A92" s="61" t="n">
        <v>1932</v>
      </c>
      <c r="B92" s="49" t="n">
        <v>1.22</v>
      </c>
      <c r="C92" s="62" t="n">
        <v>0.012</v>
      </c>
      <c r="D92" s="48" t="n">
        <v>0</v>
      </c>
      <c r="E92" s="48" t="n">
        <v>30000</v>
      </c>
      <c r="F92" s="48" t="n">
        <v>12000</v>
      </c>
      <c r="G92" s="48" t="n">
        <v>12000</v>
      </c>
      <c r="H92" s="48" t="n">
        <v>8000</v>
      </c>
      <c r="I92" s="62" t="n">
        <v>0.2</v>
      </c>
      <c r="J92" s="62" t="n">
        <v>0.3</v>
      </c>
      <c r="K92" s="48" t="n">
        <v>13218388</v>
      </c>
      <c r="L92" s="62" t="n">
        <v>0</v>
      </c>
      <c r="M92" s="49" t="n">
        <v>0.86</v>
      </c>
      <c r="N92" s="62" t="n">
        <v>0.13</v>
      </c>
      <c r="O92" s="62" t="n">
        <v>0.12</v>
      </c>
      <c r="P92" s="62" t="n">
        <v>0.085</v>
      </c>
      <c r="Q92" s="62" t="n">
        <v>0.8</v>
      </c>
      <c r="R92" s="63" t="n">
        <v>0.002</v>
      </c>
      <c r="S92" s="55" t="n">
        <v>22</v>
      </c>
      <c r="T92" s="62" t="n">
        <v>0.047</v>
      </c>
      <c r="U92" s="62" t="n">
        <v>0.026</v>
      </c>
      <c r="V92" s="62" t="n">
        <v>0.008</v>
      </c>
      <c r="W92" s="48" t="n">
        <v>42000</v>
      </c>
      <c r="X92" s="48" t="n">
        <v>220000</v>
      </c>
      <c r="Y92" s="62" t="n">
        <v>0.05</v>
      </c>
      <c r="Z92" s="62" t="n">
        <v>0.033</v>
      </c>
      <c r="AA92" s="62" t="n">
        <v>0</v>
      </c>
      <c r="AB92" s="48" t="n">
        <v>0</v>
      </c>
      <c r="AC92" s="48" t="n">
        <v>0</v>
      </c>
      <c r="AD92" s="48"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X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s>
  <sheetData>
    <row r="1" customFormat="false" ht="18.55" hidden="false" customHeight="false" outlineLevel="0" collapsed="false">
      <c r="A1" s="19" t="s">
        <v>1201</v>
      </c>
    </row>
    <row r="2" customFormat="false" ht="14.25" hidden="false" customHeight="false" outlineLevel="0" collapsed="false">
      <c r="A2" s="3" t="s">
        <v>1202</v>
      </c>
    </row>
    <row r="3" customFormat="false" ht="14.25" hidden="false" customHeight="false" outlineLevel="0" collapsed="false">
      <c r="A3" s="20" t="s">
        <v>1166</v>
      </c>
    </row>
    <row r="4" customFormat="false" ht="14.25" hidden="false" customHeight="false" outlineLevel="0" collapsed="false">
      <c r="B4" s="58" t="s">
        <v>1203</v>
      </c>
      <c r="C4" s="58"/>
      <c r="D4" s="58"/>
      <c r="E4" s="58" t="s">
        <v>1204</v>
      </c>
      <c r="F4" s="58"/>
      <c r="G4" s="58"/>
      <c r="H4" s="58"/>
      <c r="I4" s="58"/>
      <c r="J4" s="58"/>
      <c r="K4" s="58"/>
      <c r="L4" s="58" t="s">
        <v>1203</v>
      </c>
      <c r="M4" s="58"/>
      <c r="N4" s="58" t="s">
        <v>1205</v>
      </c>
      <c r="O4" s="58"/>
      <c r="P4" s="58"/>
      <c r="Q4" s="58"/>
      <c r="R4" s="58"/>
      <c r="S4" s="58"/>
      <c r="T4" s="58" t="s">
        <v>636</v>
      </c>
      <c r="U4" s="58"/>
      <c r="V4" s="58" t="s">
        <v>1206</v>
      </c>
      <c r="W4" s="58"/>
      <c r="X4" s="58"/>
    </row>
    <row r="5" customFormat="false" ht="54" hidden="false" customHeight="true" outlineLevel="0" collapsed="false">
      <c r="A5" s="60" t="s">
        <v>103</v>
      </c>
      <c r="B5" s="7" t="s">
        <v>1207</v>
      </c>
      <c r="C5" s="7" t="s">
        <v>1208</v>
      </c>
      <c r="D5" s="7" t="s">
        <v>1173</v>
      </c>
      <c r="E5" s="7" t="s">
        <v>1175</v>
      </c>
      <c r="F5" s="7" t="s">
        <v>1176</v>
      </c>
      <c r="G5" s="7" t="s">
        <v>1177</v>
      </c>
      <c r="H5" s="7" t="s">
        <v>1178</v>
      </c>
      <c r="I5" s="7" t="s">
        <v>1209</v>
      </c>
      <c r="J5" s="7" t="s">
        <v>1210</v>
      </c>
      <c r="K5" s="7" t="s">
        <v>1211</v>
      </c>
      <c r="L5" s="7" t="s">
        <v>1212</v>
      </c>
      <c r="M5" s="7" t="s">
        <v>1213</v>
      </c>
      <c r="N5" s="7" t="s">
        <v>1214</v>
      </c>
      <c r="O5" s="7" t="s">
        <v>1215</v>
      </c>
      <c r="P5" s="7" t="s">
        <v>1216</v>
      </c>
      <c r="Q5" s="7" t="s">
        <v>1217</v>
      </c>
      <c r="R5" s="7" t="s">
        <v>1218</v>
      </c>
      <c r="S5" s="7" t="s">
        <v>1219</v>
      </c>
      <c r="T5" s="7" t="s">
        <v>1220</v>
      </c>
      <c r="U5" s="7" t="s">
        <v>1181</v>
      </c>
      <c r="V5" s="7" t="s">
        <v>1221</v>
      </c>
      <c r="W5" s="7" t="s">
        <v>1222</v>
      </c>
      <c r="X5" s="7" t="s">
        <v>1223</v>
      </c>
    </row>
    <row r="6" customFormat="false" ht="14.25" hidden="false" customHeight="false" outlineLevel="0" collapsed="false">
      <c r="A6" s="61" t="n">
        <v>1846</v>
      </c>
      <c r="B6" s="50" t="n">
        <f aca="false">pop_1846</f>
        <v>170000</v>
      </c>
      <c r="C6" s="65" t="n">
        <f aca="false">Paths!D6</f>
        <v>0</v>
      </c>
      <c r="D6" s="50" t="n">
        <f aca="false">B6*Paths!C6</f>
        <v>2550</v>
      </c>
      <c r="E6" s="50" t="n">
        <f aca="false">Paths!E6*IF($A6&gt;=1896,mig_scale,1)</f>
        <v>2000</v>
      </c>
      <c r="F6" s="50" t="n">
        <f aca="false">Paths!F6*IF($A6&gt;=1896,mig_scale,1)</f>
        <v>0</v>
      </c>
      <c r="G6" s="50" t="n">
        <f aca="false">Paths!G6*IF($A6&gt;=1896,mig_scale,1)</f>
        <v>0</v>
      </c>
      <c r="H6" s="50" t="n">
        <f aca="false">Paths!H6*IF($A6&gt;=1896,mig_scale,1)</f>
        <v>0</v>
      </c>
      <c r="I6" s="50" t="n">
        <f aca="false">E6*Paths!I6+(F6+G6+H6)*dep_asia</f>
        <v>400</v>
      </c>
      <c r="J6" s="65" t="n">
        <f aca="false">Labour!AL6</f>
        <v>0</v>
      </c>
      <c r="K6" s="50" t="n">
        <f aca="false">SUM(E6:H6)-I6+J6</f>
        <v>1600</v>
      </c>
      <c r="L6" s="50" t="n">
        <f aca="false">B6+C6+D6+K6</f>
        <v>174150</v>
      </c>
      <c r="M6" s="66" t="n">
        <f aca="false">IF(B6&gt;0,L6/B6-1,0)</f>
        <v>0.0244117647058824</v>
      </c>
      <c r="N6" s="50" t="n">
        <f aca="false">0</f>
        <v>0</v>
      </c>
      <c r="O6" s="50" t="n">
        <f aca="false">0</f>
        <v>0</v>
      </c>
      <c r="P6" s="50" t="n">
        <f aca="false">0</f>
        <v>0</v>
      </c>
      <c r="Q6" s="50" t="n">
        <f aca="false">0</f>
        <v>0</v>
      </c>
      <c r="R6" s="50" t="n">
        <f aca="false">0</f>
        <v>0</v>
      </c>
      <c r="S6" s="66" t="n">
        <f aca="false">(N6+O6+P6+Q6+R6)/L6</f>
        <v>0</v>
      </c>
      <c r="T6" s="50" t="n">
        <f aca="false">SUM(E6:H6)*Paths!J6</f>
        <v>400</v>
      </c>
      <c r="U6" s="65" t="n">
        <f aca="false">Paths!K6</f>
        <v>0</v>
      </c>
      <c r="V6" s="50" t="n">
        <f aca="false">IF(Gulf!E6=1,Gulf!B6,0)</f>
        <v>0</v>
      </c>
      <c r="W6" s="50" t="n">
        <f aca="false">L6+V6</f>
        <v>174150</v>
      </c>
      <c r="X6" s="50" t="n">
        <f aca="false">W6+Labour!L6</f>
        <v>174150</v>
      </c>
    </row>
    <row r="7" customFormat="false" ht="14.25" hidden="false" customHeight="false" outlineLevel="0" collapsed="false">
      <c r="A7" s="61" t="n">
        <v>1847</v>
      </c>
      <c r="B7" s="50" t="n">
        <f aca="false">L6</f>
        <v>174150</v>
      </c>
      <c r="C7" s="65" t="n">
        <f aca="false">Paths!D7</f>
        <v>0</v>
      </c>
      <c r="D7" s="50" t="n">
        <f aca="false">B7*Paths!C7</f>
        <v>2612.25</v>
      </c>
      <c r="E7" s="50" t="n">
        <f aca="false">Paths!E7*IF($A7&gt;=1896,mig_scale,1)</f>
        <v>3000</v>
      </c>
      <c r="F7" s="50" t="n">
        <f aca="false">Paths!F7*IF($A7&gt;=1896,mig_scale,1)</f>
        <v>0</v>
      </c>
      <c r="G7" s="50" t="n">
        <f aca="false">Paths!G7*IF($A7&gt;=1896,mig_scale,1)</f>
        <v>0</v>
      </c>
      <c r="H7" s="50" t="n">
        <f aca="false">Paths!H7*IF($A7&gt;=1896,mig_scale,1)</f>
        <v>0</v>
      </c>
      <c r="I7" s="50" t="n">
        <f aca="false">E7*Paths!I7+(F7+G7+H7)*dep_asia</f>
        <v>600</v>
      </c>
      <c r="J7" s="65" t="n">
        <f aca="false">Labour!AL7</f>
        <v>0</v>
      </c>
      <c r="K7" s="50" t="n">
        <f aca="false">SUM(E7:H7)-I7+J7</f>
        <v>2400</v>
      </c>
      <c r="L7" s="50" t="n">
        <f aca="false">B7+C7+D7+K7</f>
        <v>179162.25</v>
      </c>
      <c r="M7" s="66" t="n">
        <f aca="false">IF(B7&gt;0,L7/B7-1,0)</f>
        <v>0.0287812230835487</v>
      </c>
      <c r="N7" s="50" t="n">
        <f aca="false">N6*(1+Paths!C7)+F7*(1-dep_asia)</f>
        <v>0</v>
      </c>
      <c r="O7" s="50" t="n">
        <f aca="false">O6*(1+Paths!C7)+G7*(1-dep_asia)</f>
        <v>0</v>
      </c>
      <c r="P7" s="50" t="n">
        <f aca="false">P6*(1+Paths!C7)+H7*(1-dep_asia)</f>
        <v>0</v>
      </c>
      <c r="Q7" s="50" t="n">
        <f aca="false">Q6*(1+Paths!C7)+Labour!AK7*gw_asian</f>
        <v>0</v>
      </c>
      <c r="R7" s="50" t="n">
        <f aca="false">R6*(1+Paths!C7)+Labour!AF7*family_mult</f>
        <v>0</v>
      </c>
      <c r="S7" s="66" t="n">
        <f aca="false">(N7+O7+P7+Q7+R7)/L7</f>
        <v>0</v>
      </c>
      <c r="T7" s="50" t="n">
        <f aca="false">SUM(E7:H7)*Paths!J7</f>
        <v>600</v>
      </c>
      <c r="U7" s="65" t="n">
        <f aca="false">Paths!K7</f>
        <v>0</v>
      </c>
      <c r="V7" s="50" t="n">
        <f aca="false">IF(Gulf!E7=1,Gulf!B7,0)</f>
        <v>0</v>
      </c>
      <c r="W7" s="50" t="n">
        <f aca="false">L7+V7</f>
        <v>179162.25</v>
      </c>
      <c r="X7" s="50" t="n">
        <f aca="false">W7+Labour!L7</f>
        <v>179162.25</v>
      </c>
    </row>
    <row r="8" customFormat="false" ht="14.25" hidden="false" customHeight="false" outlineLevel="0" collapsed="false">
      <c r="A8" s="61" t="n">
        <v>1848</v>
      </c>
      <c r="B8" s="50" t="n">
        <f aca="false">L7</f>
        <v>179162.25</v>
      </c>
      <c r="C8" s="65" t="n">
        <f aca="false">Paths!D8</f>
        <v>0</v>
      </c>
      <c r="D8" s="50" t="n">
        <f aca="false">B8*Paths!C8</f>
        <v>1433.298</v>
      </c>
      <c r="E8" s="50" t="n">
        <f aca="false">Paths!E8*IF($A8&gt;=1896,mig_scale,1)</f>
        <v>15000</v>
      </c>
      <c r="F8" s="50" t="n">
        <f aca="false">Paths!F8*IF($A8&gt;=1896,mig_scale,1)</f>
        <v>0</v>
      </c>
      <c r="G8" s="50" t="n">
        <f aca="false">Paths!G8*IF($A8&gt;=1896,mig_scale,1)</f>
        <v>0</v>
      </c>
      <c r="H8" s="50" t="n">
        <f aca="false">Paths!H8*IF($A8&gt;=1896,mig_scale,1)</f>
        <v>0</v>
      </c>
      <c r="I8" s="50" t="n">
        <f aca="false">E8*Paths!I8+(F8+G8+H8)*dep_asia</f>
        <v>3000</v>
      </c>
      <c r="J8" s="65" t="n">
        <f aca="false">Labour!AL8</f>
        <v>0</v>
      </c>
      <c r="K8" s="50" t="n">
        <f aca="false">SUM(E8:H8)-I8+J8</f>
        <v>12000</v>
      </c>
      <c r="L8" s="50" t="n">
        <f aca="false">B8+C8+D8+K8</f>
        <v>192595.548</v>
      </c>
      <c r="M8" s="66" t="n">
        <f aca="false">IF(B8&gt;0,L8/B8-1,0)</f>
        <v>0.0749783952813721</v>
      </c>
      <c r="N8" s="50" t="n">
        <f aca="false">N7*(1+Paths!C8)+F8*(1-dep_asia)</f>
        <v>0</v>
      </c>
      <c r="O8" s="50" t="n">
        <f aca="false">O7*(1+Paths!C8)+G8*(1-dep_asia)</f>
        <v>0</v>
      </c>
      <c r="P8" s="50" t="n">
        <f aca="false">P7*(1+Paths!C8)+H8*(1-dep_asia)</f>
        <v>0</v>
      </c>
      <c r="Q8" s="50" t="n">
        <f aca="false">Q7*(1+Paths!C8)+Labour!AK8*gw_asian</f>
        <v>0</v>
      </c>
      <c r="R8" s="50" t="n">
        <f aca="false">R7*(1+Paths!C8)+Labour!AF8*family_mult</f>
        <v>0</v>
      </c>
      <c r="S8" s="66" t="n">
        <f aca="false">(N8+O8+P8+Q8+R8)/L8</f>
        <v>0</v>
      </c>
      <c r="T8" s="50" t="n">
        <f aca="false">SUM(E8:H8)*Paths!J8</f>
        <v>3000</v>
      </c>
      <c r="U8" s="65" t="n">
        <f aca="false">Paths!K8</f>
        <v>0</v>
      </c>
      <c r="V8" s="50" t="n">
        <f aca="false">IF(Gulf!E8=1,Gulf!B8,0)</f>
        <v>0</v>
      </c>
      <c r="W8" s="50" t="n">
        <f aca="false">L8+V8</f>
        <v>192595.548</v>
      </c>
      <c r="X8" s="50" t="n">
        <f aca="false">W8+Labour!L8</f>
        <v>192595.548</v>
      </c>
    </row>
    <row r="9" customFormat="false" ht="14.25" hidden="false" customHeight="false" outlineLevel="0" collapsed="false">
      <c r="A9" s="61" t="n">
        <v>1849</v>
      </c>
      <c r="B9" s="50" t="n">
        <f aca="false">L8</f>
        <v>192595.548</v>
      </c>
      <c r="C9" s="65" t="n">
        <f aca="false">Paths!D9</f>
        <v>0</v>
      </c>
      <c r="D9" s="50" t="n">
        <f aca="false">B9*Paths!C9</f>
        <v>1540.764384</v>
      </c>
      <c r="E9" s="50" t="n">
        <f aca="false">Paths!E9*IF($A9&gt;=1896,mig_scale,1)</f>
        <v>60000</v>
      </c>
      <c r="F9" s="50" t="n">
        <f aca="false">Paths!F9*IF($A9&gt;=1896,mig_scale,1)</f>
        <v>300</v>
      </c>
      <c r="G9" s="50" t="n">
        <f aca="false">Paths!G9*IF($A9&gt;=1896,mig_scale,1)</f>
        <v>0</v>
      </c>
      <c r="H9" s="50" t="n">
        <f aca="false">Paths!H9*IF($A9&gt;=1896,mig_scale,1)</f>
        <v>0</v>
      </c>
      <c r="I9" s="50" t="n">
        <f aca="false">E9*Paths!I9+(F9+G9+H9)*dep_asia</f>
        <v>21084</v>
      </c>
      <c r="J9" s="65" t="n">
        <f aca="false">Labour!AL9</f>
        <v>0</v>
      </c>
      <c r="K9" s="50" t="n">
        <f aca="false">SUM(E9:H9)-I9+J9</f>
        <v>39216</v>
      </c>
      <c r="L9" s="50" t="n">
        <f aca="false">B9+C9+D9+K9</f>
        <v>233352.312384</v>
      </c>
      <c r="M9" s="66" t="n">
        <f aca="false">IF(B9&gt;0,L9/B9-1,0)</f>
        <v>0.211618413858663</v>
      </c>
      <c r="N9" s="50" t="n">
        <f aca="false">N8*(1+Paths!C9)+F9*(1-dep_asia)</f>
        <v>216</v>
      </c>
      <c r="O9" s="50" t="n">
        <f aca="false">O8*(1+Paths!C9)+G9*(1-dep_asia)</f>
        <v>0</v>
      </c>
      <c r="P9" s="50" t="n">
        <f aca="false">P8*(1+Paths!C9)+H9*(1-dep_asia)</f>
        <v>0</v>
      </c>
      <c r="Q9" s="50" t="n">
        <f aca="false">Q8*(1+Paths!C9)+Labour!AK9*gw_asian</f>
        <v>0</v>
      </c>
      <c r="R9" s="50" t="n">
        <f aca="false">R8*(1+Paths!C9)+Labour!AF9*family_mult</f>
        <v>0</v>
      </c>
      <c r="S9" s="66" t="n">
        <f aca="false">(N9+O9+P9+Q9+R9)/L9</f>
        <v>0.000925638995359749</v>
      </c>
      <c r="T9" s="50" t="n">
        <f aca="false">SUM(E9:H9)*Paths!J9</f>
        <v>12060</v>
      </c>
      <c r="U9" s="65" t="n">
        <f aca="false">Paths!K9</f>
        <v>0</v>
      </c>
      <c r="V9" s="50" t="n">
        <f aca="false">IF(Gulf!E9=1,Gulf!B9,0)</f>
        <v>0</v>
      </c>
      <c r="W9" s="50" t="n">
        <f aca="false">L9+V9</f>
        <v>233352.312384</v>
      </c>
      <c r="X9" s="50" t="n">
        <f aca="false">W9+Labour!L9</f>
        <v>233352.312384</v>
      </c>
    </row>
    <row r="10" customFormat="false" ht="14.25" hidden="false" customHeight="false" outlineLevel="0" collapsed="false">
      <c r="A10" s="61" t="n">
        <v>1850</v>
      </c>
      <c r="B10" s="50" t="n">
        <f aca="false">L9</f>
        <v>233352.312384</v>
      </c>
      <c r="C10" s="65" t="n">
        <f aca="false">Paths!D10</f>
        <v>0</v>
      </c>
      <c r="D10" s="50" t="n">
        <f aca="false">B10*Paths!C10</f>
        <v>1866.818499072</v>
      </c>
      <c r="E10" s="50" t="n">
        <f aca="false">Paths!E10*IF($A10&gt;=1896,mig_scale,1)</f>
        <v>50000</v>
      </c>
      <c r="F10" s="50" t="n">
        <f aca="false">Paths!F10*IF($A10&gt;=1896,mig_scale,1)</f>
        <v>4000</v>
      </c>
      <c r="G10" s="50" t="n">
        <f aca="false">Paths!G10*IF($A10&gt;=1896,mig_scale,1)</f>
        <v>0</v>
      </c>
      <c r="H10" s="50" t="n">
        <f aca="false">Paths!H10*IF($A10&gt;=1896,mig_scale,1)</f>
        <v>0</v>
      </c>
      <c r="I10" s="50" t="n">
        <f aca="false">E10*Paths!I10+(F10+G10+H10)*dep_asia</f>
        <v>18620</v>
      </c>
      <c r="J10" s="65" t="n">
        <f aca="false">Labour!AL10</f>
        <v>0</v>
      </c>
      <c r="K10" s="50" t="n">
        <f aca="false">SUM(E10:H10)-I10+J10</f>
        <v>35380</v>
      </c>
      <c r="L10" s="50" t="n">
        <f aca="false">B10+C10+D10+K10</f>
        <v>270599.130883072</v>
      </c>
      <c r="M10" s="66" t="n">
        <f aca="false">IF(B10&gt;0,L10/B10-1,0)</f>
        <v>0.159616239147351</v>
      </c>
      <c r="N10" s="50" t="n">
        <f aca="false">N9*(1+Paths!C10)+F10*(1-dep_asia)</f>
        <v>3097.728</v>
      </c>
      <c r="O10" s="50" t="n">
        <f aca="false">O9*(1+Paths!C10)+G10*(1-dep_asia)</f>
        <v>0</v>
      </c>
      <c r="P10" s="50" t="n">
        <f aca="false">P9*(1+Paths!C10)+H10*(1-dep_asia)</f>
        <v>0</v>
      </c>
      <c r="Q10" s="50" t="n">
        <f aca="false">Q9*(1+Paths!C10)+Labour!AK10*gw_asian</f>
        <v>0</v>
      </c>
      <c r="R10" s="50" t="n">
        <f aca="false">R9*(1+Paths!C10)+Labour!AF10*family_mult</f>
        <v>0</v>
      </c>
      <c r="S10" s="66" t="n">
        <f aca="false">(N10+O10+P10+Q10+R10)/L10</f>
        <v>0.0114476642622276</v>
      </c>
      <c r="T10" s="50" t="n">
        <f aca="false">SUM(E10:H10)*Paths!J10</f>
        <v>10800</v>
      </c>
      <c r="U10" s="65" t="n">
        <f aca="false">Paths!K10</f>
        <v>0</v>
      </c>
      <c r="V10" s="50" t="n">
        <f aca="false">IF(Gulf!E10=1,Gulf!B10,0)</f>
        <v>0</v>
      </c>
      <c r="W10" s="50" t="n">
        <f aca="false">L10+V10</f>
        <v>270599.130883072</v>
      </c>
      <c r="X10" s="50" t="n">
        <f aca="false">W10+Labour!L10</f>
        <v>270599.130883072</v>
      </c>
    </row>
    <row r="11" customFormat="false" ht="14.25" hidden="false" customHeight="false" outlineLevel="0" collapsed="false">
      <c r="A11" s="61" t="n">
        <v>1851</v>
      </c>
      <c r="B11" s="50" t="n">
        <f aca="false">L10</f>
        <v>270599.130883072</v>
      </c>
      <c r="C11" s="65" t="n">
        <f aca="false">Paths!D11</f>
        <v>0</v>
      </c>
      <c r="D11" s="50" t="n">
        <f aca="false">B11*Paths!C11</f>
        <v>2164.79304706458</v>
      </c>
      <c r="E11" s="50" t="n">
        <f aca="false">Paths!E11*IF($A11&gt;=1896,mig_scale,1)</f>
        <v>40000</v>
      </c>
      <c r="F11" s="50" t="n">
        <f aca="false">Paths!F11*IF($A11&gt;=1896,mig_scale,1)</f>
        <v>3000</v>
      </c>
      <c r="G11" s="50" t="n">
        <f aca="false">Paths!G11*IF($A11&gt;=1896,mig_scale,1)</f>
        <v>0</v>
      </c>
      <c r="H11" s="50" t="n">
        <f aca="false">Paths!H11*IF($A11&gt;=1896,mig_scale,1)</f>
        <v>0</v>
      </c>
      <c r="I11" s="50" t="n">
        <f aca="false">E11*Paths!I11+(F11+G11+H11)*dep_asia</f>
        <v>14840</v>
      </c>
      <c r="J11" s="65" t="n">
        <f aca="false">Labour!AL11</f>
        <v>0</v>
      </c>
      <c r="K11" s="50" t="n">
        <f aca="false">SUM(E11:H11)-I11+J11</f>
        <v>28160</v>
      </c>
      <c r="L11" s="50" t="n">
        <f aca="false">B11+C11+D11+K11</f>
        <v>300923.923930137</v>
      </c>
      <c r="M11" s="66" t="n">
        <f aca="false">IF(B11&gt;0,L11/B11-1,0)</f>
        <v>0.112065374889057</v>
      </c>
      <c r="N11" s="50" t="n">
        <f aca="false">N10*(1+Paths!C11)+F11*(1-dep_asia)</f>
        <v>5282.509824</v>
      </c>
      <c r="O11" s="50" t="n">
        <f aca="false">O10*(1+Paths!C11)+G11*(1-dep_asia)</f>
        <v>0</v>
      </c>
      <c r="P11" s="50" t="n">
        <f aca="false">P10*(1+Paths!C11)+H11*(1-dep_asia)</f>
        <v>0</v>
      </c>
      <c r="Q11" s="50" t="n">
        <f aca="false">Q10*(1+Paths!C11)+Labour!AK11*gw_asian</f>
        <v>0</v>
      </c>
      <c r="R11" s="50" t="n">
        <f aca="false">R10*(1+Paths!C11)+Labour!AF11*family_mult</f>
        <v>0</v>
      </c>
      <c r="S11" s="66" t="n">
        <f aca="false">(N11+O11+P11+Q11+R11)/L11</f>
        <v>0.0175543032770848</v>
      </c>
      <c r="T11" s="50" t="n">
        <f aca="false">SUM(E11:H11)*Paths!J11</f>
        <v>8600</v>
      </c>
      <c r="U11" s="65" t="n">
        <f aca="false">Paths!K11</f>
        <v>0</v>
      </c>
      <c r="V11" s="50" t="n">
        <f aca="false">IF(Gulf!E11=1,Gulf!B11,0)</f>
        <v>0</v>
      </c>
      <c r="W11" s="50" t="n">
        <f aca="false">L11+V11</f>
        <v>300923.923930137</v>
      </c>
      <c r="X11" s="50" t="n">
        <f aca="false">W11+Labour!L11</f>
        <v>300923.923930137</v>
      </c>
    </row>
    <row r="12" customFormat="false" ht="14.25" hidden="false" customHeight="false" outlineLevel="0" collapsed="false">
      <c r="A12" s="61" t="n">
        <v>1852</v>
      </c>
      <c r="B12" s="50" t="n">
        <f aca="false">L11</f>
        <v>300923.923930137</v>
      </c>
      <c r="C12" s="65" t="n">
        <f aca="false">Paths!D12</f>
        <v>0</v>
      </c>
      <c r="D12" s="50" t="n">
        <f aca="false">B12*Paths!C12</f>
        <v>2407.39139144109</v>
      </c>
      <c r="E12" s="50" t="n">
        <f aca="false">Paths!E12*IF($A12&gt;=1896,mig_scale,1)</f>
        <v>55000</v>
      </c>
      <c r="F12" s="50" t="n">
        <f aca="false">Paths!F12*IF($A12&gt;=1896,mig_scale,1)</f>
        <v>20000</v>
      </c>
      <c r="G12" s="50" t="n">
        <f aca="false">Paths!G12*IF($A12&gt;=1896,mig_scale,1)</f>
        <v>0</v>
      </c>
      <c r="H12" s="50" t="n">
        <f aca="false">Paths!H12*IF($A12&gt;=1896,mig_scale,1)</f>
        <v>0</v>
      </c>
      <c r="I12" s="50" t="n">
        <f aca="false">E12*Paths!I12+(F12+G12+H12)*dep_asia</f>
        <v>24850</v>
      </c>
      <c r="J12" s="65" t="n">
        <f aca="false">Labour!AL12</f>
        <v>0</v>
      </c>
      <c r="K12" s="50" t="n">
        <f aca="false">SUM(E12:H12)-I12+J12</f>
        <v>50150</v>
      </c>
      <c r="L12" s="50" t="n">
        <f aca="false">B12+C12+D12+K12</f>
        <v>353481.315321578</v>
      </c>
      <c r="M12" s="66" t="n">
        <f aca="false">IF(B12&gt;0,L12/B12-1,0)</f>
        <v>0.174653416401825</v>
      </c>
      <c r="N12" s="50" t="n">
        <f aca="false">N11*(1+Paths!C12)+F12*(1-dep_asia)</f>
        <v>19724.769902592</v>
      </c>
      <c r="O12" s="50" t="n">
        <f aca="false">O11*(1+Paths!C12)+G12*(1-dep_asia)</f>
        <v>0</v>
      </c>
      <c r="P12" s="50" t="n">
        <f aca="false">P11*(1+Paths!C12)+H12*(1-dep_asia)</f>
        <v>0</v>
      </c>
      <c r="Q12" s="50" t="n">
        <f aca="false">Q11*(1+Paths!C12)+Labour!AK12*gw_asian</f>
        <v>0</v>
      </c>
      <c r="R12" s="50" t="n">
        <f aca="false">R11*(1+Paths!C12)+Labour!AF12*family_mult</f>
        <v>0</v>
      </c>
      <c r="S12" s="66" t="n">
        <f aca="false">(N12+O12+P12+Q12+R12)/L12</f>
        <v>0.0558014498861064</v>
      </c>
      <c r="T12" s="50" t="n">
        <f aca="false">SUM(E12:H12)*Paths!J12</f>
        <v>30000</v>
      </c>
      <c r="U12" s="65" t="n">
        <f aca="false">Paths!K12</f>
        <v>0</v>
      </c>
      <c r="V12" s="50" t="n">
        <f aca="false">IF(Gulf!E12=1,Gulf!B12,0)</f>
        <v>0</v>
      </c>
      <c r="W12" s="50" t="n">
        <f aca="false">L12+V12</f>
        <v>353481.315321578</v>
      </c>
      <c r="X12" s="50" t="n">
        <f aca="false">W12+Labour!L12</f>
        <v>353481.315321578</v>
      </c>
    </row>
    <row r="13" customFormat="false" ht="14.25" hidden="false" customHeight="false" outlineLevel="0" collapsed="false">
      <c r="A13" s="61" t="n">
        <v>1853</v>
      </c>
      <c r="B13" s="50" t="n">
        <f aca="false">L12</f>
        <v>353481.315321578</v>
      </c>
      <c r="C13" s="65" t="n">
        <f aca="false">Paths!D13</f>
        <v>0</v>
      </c>
      <c r="D13" s="50" t="n">
        <f aca="false">B13*Paths!C13</f>
        <v>2827.85052257262</v>
      </c>
      <c r="E13" s="50" t="n">
        <f aca="false">Paths!E13*IF($A13&gt;=1896,mig_scale,1)</f>
        <v>40000</v>
      </c>
      <c r="F13" s="50" t="n">
        <f aca="false">Paths!F13*IF($A13&gt;=1896,mig_scale,1)</f>
        <v>6000</v>
      </c>
      <c r="G13" s="50" t="n">
        <f aca="false">Paths!G13*IF($A13&gt;=1896,mig_scale,1)</f>
        <v>0</v>
      </c>
      <c r="H13" s="50" t="n">
        <f aca="false">Paths!H13*IF($A13&gt;=1896,mig_scale,1)</f>
        <v>0</v>
      </c>
      <c r="I13" s="50" t="n">
        <f aca="false">E13*Paths!I13+(F13+G13+H13)*dep_asia</f>
        <v>15680</v>
      </c>
      <c r="J13" s="65" t="n">
        <f aca="false">Labour!AL13</f>
        <v>0</v>
      </c>
      <c r="K13" s="50" t="n">
        <f aca="false">SUM(E13:H13)-I13+J13</f>
        <v>30320</v>
      </c>
      <c r="L13" s="50" t="n">
        <f aca="false">B13+C13+D13+K13</f>
        <v>386629.16584415</v>
      </c>
      <c r="M13" s="66" t="n">
        <f aca="false">IF(B13&gt;0,L13/B13-1,0)</f>
        <v>0.0937753965649262</v>
      </c>
      <c r="N13" s="50" t="n">
        <f aca="false">N12*(1+Paths!C13)+F13*(1-dep_asia)</f>
        <v>24202.5680618127</v>
      </c>
      <c r="O13" s="50" t="n">
        <f aca="false">O12*(1+Paths!C13)+G13*(1-dep_asia)</f>
        <v>0</v>
      </c>
      <c r="P13" s="50" t="n">
        <f aca="false">P12*(1+Paths!C13)+H13*(1-dep_asia)</f>
        <v>0</v>
      </c>
      <c r="Q13" s="50" t="n">
        <f aca="false">Q12*(1+Paths!C13)+Labour!AK13*gw_asian</f>
        <v>0</v>
      </c>
      <c r="R13" s="50" t="n">
        <f aca="false">R12*(1+Paths!C13)+Labour!AF13*family_mult</f>
        <v>0</v>
      </c>
      <c r="S13" s="66" t="n">
        <f aca="false">(N13+O13+P13+Q13+R13)/L13</f>
        <v>0.0625989195847909</v>
      </c>
      <c r="T13" s="50" t="n">
        <f aca="false">SUM(E13:H13)*Paths!J13</f>
        <v>18400</v>
      </c>
      <c r="U13" s="65" t="n">
        <f aca="false">Paths!K13</f>
        <v>0</v>
      </c>
      <c r="V13" s="50" t="n">
        <f aca="false">IF(Gulf!E13=1,Gulf!B13,0)</f>
        <v>0</v>
      </c>
      <c r="W13" s="50" t="n">
        <f aca="false">L13+V13</f>
        <v>386629.16584415</v>
      </c>
      <c r="X13" s="50" t="n">
        <f aca="false">W13+Labour!L13</f>
        <v>386629.16584415</v>
      </c>
    </row>
    <row r="14" customFormat="false" ht="14.25" hidden="false" customHeight="false" outlineLevel="0" collapsed="false">
      <c r="A14" s="61" t="n">
        <v>1854</v>
      </c>
      <c r="B14" s="50" t="n">
        <f aca="false">L13</f>
        <v>386629.16584415</v>
      </c>
      <c r="C14" s="65" t="n">
        <f aca="false">Paths!D14</f>
        <v>0</v>
      </c>
      <c r="D14" s="50" t="n">
        <f aca="false">B14*Paths!C14</f>
        <v>3093.0333267532</v>
      </c>
      <c r="E14" s="50" t="n">
        <f aca="false">Paths!E14*IF($A14&gt;=1896,mig_scale,1)</f>
        <v>35000</v>
      </c>
      <c r="F14" s="50" t="n">
        <f aca="false">Paths!F14*IF($A14&gt;=1896,mig_scale,1)</f>
        <v>6000</v>
      </c>
      <c r="G14" s="50" t="n">
        <f aca="false">Paths!G14*IF($A14&gt;=1896,mig_scale,1)</f>
        <v>0</v>
      </c>
      <c r="H14" s="50" t="n">
        <f aca="false">Paths!H14*IF($A14&gt;=1896,mig_scale,1)</f>
        <v>0</v>
      </c>
      <c r="I14" s="50" t="n">
        <f aca="false">E14*Paths!I14+(F14+G14+H14)*dep_asia</f>
        <v>13930</v>
      </c>
      <c r="J14" s="65" t="n">
        <f aca="false">Labour!AL14</f>
        <v>0</v>
      </c>
      <c r="K14" s="50" t="n">
        <f aca="false">SUM(E14:H14)-I14+J14</f>
        <v>27070</v>
      </c>
      <c r="L14" s="50" t="n">
        <f aca="false">B14+C14+D14+K14</f>
        <v>416792.199170904</v>
      </c>
      <c r="M14" s="66" t="n">
        <f aca="false">IF(B14&gt;0,L14/B14-1,0)</f>
        <v>0.0780154111263087</v>
      </c>
      <c r="N14" s="50" t="n">
        <f aca="false">N13*(1+Paths!C14)+F14*(1-dep_asia)</f>
        <v>28716.1886063072</v>
      </c>
      <c r="O14" s="50" t="n">
        <f aca="false">O13*(1+Paths!C14)+G14*(1-dep_asia)</f>
        <v>0</v>
      </c>
      <c r="P14" s="50" t="n">
        <f aca="false">P13*(1+Paths!C14)+H14*(1-dep_asia)</f>
        <v>0</v>
      </c>
      <c r="Q14" s="50" t="n">
        <f aca="false">Q13*(1+Paths!C14)+Labour!AK14*gw_asian</f>
        <v>0</v>
      </c>
      <c r="R14" s="50" t="n">
        <f aca="false">R13*(1+Paths!C14)+Labour!AF14*family_mult</f>
        <v>0</v>
      </c>
      <c r="S14" s="66" t="n">
        <f aca="false">(N14+O14+P14+Q14+R14)/L14</f>
        <v>0.0688980951741189</v>
      </c>
      <c r="T14" s="50" t="n">
        <f aca="false">SUM(E14:H14)*Paths!J14</f>
        <v>16400</v>
      </c>
      <c r="U14" s="65" t="n">
        <f aca="false">Paths!K14</f>
        <v>0</v>
      </c>
      <c r="V14" s="50" t="n">
        <f aca="false">IF(Gulf!E14=1,Gulf!B14,0)</f>
        <v>0</v>
      </c>
      <c r="W14" s="50" t="n">
        <f aca="false">L14+V14</f>
        <v>416792.199170904</v>
      </c>
      <c r="X14" s="50" t="n">
        <f aca="false">W14+Labour!L14</f>
        <v>416792.199170904</v>
      </c>
    </row>
    <row r="15" customFormat="false" ht="14.25" hidden="false" customHeight="false" outlineLevel="0" collapsed="false">
      <c r="A15" s="61" t="n">
        <v>1855</v>
      </c>
      <c r="B15" s="50" t="n">
        <f aca="false">L14</f>
        <v>416792.199170904</v>
      </c>
      <c r="C15" s="65" t="n">
        <f aca="false">Paths!D15</f>
        <v>0</v>
      </c>
      <c r="D15" s="50" t="n">
        <f aca="false">B15*Paths!C15</f>
        <v>3334.33759336723</v>
      </c>
      <c r="E15" s="50" t="n">
        <f aca="false">Paths!E15*IF($A15&gt;=1896,mig_scale,1)</f>
        <v>30000</v>
      </c>
      <c r="F15" s="50" t="n">
        <f aca="false">Paths!F15*IF($A15&gt;=1896,mig_scale,1)</f>
        <v>6000</v>
      </c>
      <c r="G15" s="50" t="n">
        <f aca="false">Paths!G15*IF($A15&gt;=1896,mig_scale,1)</f>
        <v>0</v>
      </c>
      <c r="H15" s="50" t="n">
        <f aca="false">Paths!H15*IF($A15&gt;=1896,mig_scale,1)</f>
        <v>0</v>
      </c>
      <c r="I15" s="50" t="n">
        <f aca="false">E15*Paths!I15+(F15+G15+H15)*dep_asia</f>
        <v>12180</v>
      </c>
      <c r="J15" s="65" t="n">
        <f aca="false">Labour!AL15</f>
        <v>0</v>
      </c>
      <c r="K15" s="50" t="n">
        <f aca="false">SUM(E15:H15)-I15+J15</f>
        <v>23820</v>
      </c>
      <c r="L15" s="50" t="n">
        <f aca="false">B15+C15+D15+K15</f>
        <v>443946.536764271</v>
      </c>
      <c r="M15" s="66" t="n">
        <f aca="false">IF(B15&gt;0,L15/B15-1,0)</f>
        <v>0.0651507817262018</v>
      </c>
      <c r="N15" s="50" t="n">
        <f aca="false">N14*(1+Paths!C15)+F15*(1-dep_asia)</f>
        <v>33265.9181151577</v>
      </c>
      <c r="O15" s="50" t="n">
        <f aca="false">O14*(1+Paths!C15)+G15*(1-dep_asia)</f>
        <v>0</v>
      </c>
      <c r="P15" s="50" t="n">
        <f aca="false">P14*(1+Paths!C15)+H15*(1-dep_asia)</f>
        <v>0</v>
      </c>
      <c r="Q15" s="50" t="n">
        <f aca="false">Q14*(1+Paths!C15)+Labour!AK15*gw_asian</f>
        <v>0</v>
      </c>
      <c r="R15" s="50" t="n">
        <f aca="false">R14*(1+Paths!C15)+Labour!AF15*family_mult</f>
        <v>0</v>
      </c>
      <c r="S15" s="66" t="n">
        <f aca="false">(N15+O15+P15+Q15+R15)/L15</f>
        <v>0.0749322617935443</v>
      </c>
      <c r="T15" s="50" t="n">
        <f aca="false">SUM(E15:H15)*Paths!J15</f>
        <v>14400</v>
      </c>
      <c r="U15" s="65" t="n">
        <f aca="false">Paths!K15</f>
        <v>0</v>
      </c>
      <c r="V15" s="50" t="n">
        <f aca="false">IF(Gulf!E15=1,Gulf!B15,0)</f>
        <v>0</v>
      </c>
      <c r="W15" s="50" t="n">
        <f aca="false">L15+V15</f>
        <v>443946.536764271</v>
      </c>
      <c r="X15" s="50" t="n">
        <f aca="false">W15+Labour!L15</f>
        <v>443946.536764271</v>
      </c>
    </row>
    <row r="16" customFormat="false" ht="14.25" hidden="false" customHeight="false" outlineLevel="0" collapsed="false">
      <c r="A16" s="61" t="n">
        <v>1856</v>
      </c>
      <c r="B16" s="50" t="n">
        <f aca="false">L15</f>
        <v>443946.536764271</v>
      </c>
      <c r="C16" s="65" t="n">
        <f aca="false">Paths!D16</f>
        <v>72000</v>
      </c>
      <c r="D16" s="50" t="n">
        <f aca="false">B16*Paths!C16</f>
        <v>4883.41190440698</v>
      </c>
      <c r="E16" s="50" t="n">
        <f aca="false">Paths!E16*IF($A16&gt;=1896,mig_scale,1)</f>
        <v>30000</v>
      </c>
      <c r="F16" s="50" t="n">
        <f aca="false">Paths!F16*IF($A16&gt;=1896,mig_scale,1)</f>
        <v>6000</v>
      </c>
      <c r="G16" s="50" t="n">
        <f aca="false">Paths!G16*IF($A16&gt;=1896,mig_scale,1)</f>
        <v>0</v>
      </c>
      <c r="H16" s="50" t="n">
        <f aca="false">Paths!H16*IF($A16&gt;=1896,mig_scale,1)</f>
        <v>0</v>
      </c>
      <c r="I16" s="50" t="n">
        <f aca="false">E16*Paths!I16+(F16+G16+H16)*dep_asia</f>
        <v>7680</v>
      </c>
      <c r="J16" s="65" t="n">
        <f aca="false">Labour!AL16</f>
        <v>0</v>
      </c>
      <c r="K16" s="50" t="n">
        <f aca="false">SUM(E16:H16)-I16+J16</f>
        <v>28320</v>
      </c>
      <c r="L16" s="50" t="n">
        <f aca="false">B16+C16+D16+K16</f>
        <v>549149.948668678</v>
      </c>
      <c r="M16" s="66" t="n">
        <f aca="false">IF(B16&gt;0,L16/B16-1,0)</f>
        <v>0.236973155982222</v>
      </c>
      <c r="N16" s="50" t="n">
        <f aca="false">N15*(1+Paths!C16)+F16*(1-dep_asia)</f>
        <v>37951.8432144244</v>
      </c>
      <c r="O16" s="50" t="n">
        <f aca="false">O15*(1+Paths!C16)+G16*(1-dep_asia)</f>
        <v>0</v>
      </c>
      <c r="P16" s="50" t="n">
        <f aca="false">P15*(1+Paths!C16)+H16*(1-dep_asia)</f>
        <v>0</v>
      </c>
      <c r="Q16" s="50" t="n">
        <f aca="false">Q15*(1+Paths!C16)+Labour!AK16*gw_asian</f>
        <v>0</v>
      </c>
      <c r="R16" s="50" t="n">
        <f aca="false">R15*(1+Paths!C16)+Labour!AF16*family_mult</f>
        <v>0</v>
      </c>
      <c r="S16" s="66" t="n">
        <f aca="false">(N16+O16+P16+Q16+R16)/L16</f>
        <v>0.0691101643666403</v>
      </c>
      <c r="T16" s="50" t="n">
        <f aca="false">SUM(E16:H16)*Paths!J16</f>
        <v>14400</v>
      </c>
      <c r="U16" s="65" t="n">
        <f aca="false">Paths!K16</f>
        <v>0</v>
      </c>
      <c r="V16" s="50" t="n">
        <f aca="false">IF(Gulf!E16=1,Gulf!B16,0)</f>
        <v>0</v>
      </c>
      <c r="W16" s="50" t="n">
        <f aca="false">L16+V16</f>
        <v>549149.948668678</v>
      </c>
      <c r="X16" s="50" t="n">
        <f aca="false">W16+Labour!L16</f>
        <v>549149.948668678</v>
      </c>
    </row>
    <row r="17" customFormat="false" ht="14.25" hidden="false" customHeight="false" outlineLevel="0" collapsed="false">
      <c r="A17" s="61" t="n">
        <v>1857</v>
      </c>
      <c r="B17" s="50" t="n">
        <f aca="false">L16</f>
        <v>549149.948668678</v>
      </c>
      <c r="C17" s="65" t="n">
        <f aca="false">Paths!D17</f>
        <v>0</v>
      </c>
      <c r="D17" s="50" t="n">
        <f aca="false">B17*Paths!C17</f>
        <v>6040.64943535545</v>
      </c>
      <c r="E17" s="50" t="n">
        <f aca="false">Paths!E17*IF($A17&gt;=1896,mig_scale,1)</f>
        <v>30000</v>
      </c>
      <c r="F17" s="50" t="n">
        <f aca="false">Paths!F17*IF($A17&gt;=1896,mig_scale,1)</f>
        <v>6000</v>
      </c>
      <c r="G17" s="50" t="n">
        <f aca="false">Paths!G17*IF($A17&gt;=1896,mig_scale,1)</f>
        <v>0</v>
      </c>
      <c r="H17" s="50" t="n">
        <f aca="false">Paths!H17*IF($A17&gt;=1896,mig_scale,1)</f>
        <v>0</v>
      </c>
      <c r="I17" s="50" t="n">
        <f aca="false">E17*Paths!I17+(F17+G17+H17)*dep_asia</f>
        <v>7680</v>
      </c>
      <c r="J17" s="65" t="n">
        <f aca="false">Labour!AL17</f>
        <v>0</v>
      </c>
      <c r="K17" s="50" t="n">
        <f aca="false">SUM(E17:H17)-I17+J17</f>
        <v>28320</v>
      </c>
      <c r="L17" s="50" t="n">
        <f aca="false">B17+C17+D17+K17</f>
        <v>583510.598104033</v>
      </c>
      <c r="M17" s="66" t="n">
        <f aca="false">IF(B17&gt;0,L17/B17-1,0)</f>
        <v>0.062570613943709</v>
      </c>
      <c r="N17" s="50" t="n">
        <f aca="false">N16*(1+Paths!C17)+F17*(1-dep_asia)</f>
        <v>42689.3134897831</v>
      </c>
      <c r="O17" s="50" t="n">
        <f aca="false">O16*(1+Paths!C17)+G17*(1-dep_asia)</f>
        <v>0</v>
      </c>
      <c r="P17" s="50" t="n">
        <f aca="false">P16*(1+Paths!C17)+H17*(1-dep_asia)</f>
        <v>0</v>
      </c>
      <c r="Q17" s="50" t="n">
        <f aca="false">Q16*(1+Paths!C17)+Labour!AK17*gw_asian</f>
        <v>0</v>
      </c>
      <c r="R17" s="50" t="n">
        <f aca="false">R16*(1+Paths!C17)+Labour!AF17*family_mult</f>
        <v>0</v>
      </c>
      <c r="S17" s="66" t="n">
        <f aca="false">(N17+O17+P17+Q17+R17)/L17</f>
        <v>0.0731594483947523</v>
      </c>
      <c r="T17" s="50" t="n">
        <f aca="false">SUM(E17:H17)*Paths!J17</f>
        <v>14400</v>
      </c>
      <c r="U17" s="65" t="n">
        <f aca="false">Paths!K17</f>
        <v>0</v>
      </c>
      <c r="V17" s="50" t="n">
        <f aca="false">IF(Gulf!E17=1,Gulf!B17,0)</f>
        <v>0</v>
      </c>
      <c r="W17" s="50" t="n">
        <f aca="false">L17+V17</f>
        <v>583510.598104033</v>
      </c>
      <c r="X17" s="50" t="n">
        <f aca="false">W17+Labour!L17</f>
        <v>583510.598104033</v>
      </c>
    </row>
    <row r="18" customFormat="false" ht="14.25" hidden="false" customHeight="false" outlineLevel="0" collapsed="false">
      <c r="A18" s="61" t="n">
        <v>1858</v>
      </c>
      <c r="B18" s="50" t="n">
        <f aca="false">L17</f>
        <v>583510.598104033</v>
      </c>
      <c r="C18" s="65" t="n">
        <f aca="false">Paths!D18</f>
        <v>0</v>
      </c>
      <c r="D18" s="50" t="n">
        <f aca="false">B18*Paths!C18</f>
        <v>6418.61657914437</v>
      </c>
      <c r="E18" s="50" t="n">
        <f aca="false">Paths!E18*IF($A18&gt;=1896,mig_scale,1)</f>
        <v>30000</v>
      </c>
      <c r="F18" s="50" t="n">
        <f aca="false">Paths!F18*IF($A18&gt;=1896,mig_scale,1)</f>
        <v>6000</v>
      </c>
      <c r="G18" s="50" t="n">
        <f aca="false">Paths!G18*IF($A18&gt;=1896,mig_scale,1)</f>
        <v>0</v>
      </c>
      <c r="H18" s="50" t="n">
        <f aca="false">Paths!H18*IF($A18&gt;=1896,mig_scale,1)</f>
        <v>0</v>
      </c>
      <c r="I18" s="50" t="n">
        <f aca="false">E18*Paths!I18+(F18+G18+H18)*dep_asia</f>
        <v>7680</v>
      </c>
      <c r="J18" s="65" t="n">
        <f aca="false">Labour!AL18</f>
        <v>0</v>
      </c>
      <c r="K18" s="50" t="n">
        <f aca="false">SUM(E18:H18)-I18+J18</f>
        <v>28320</v>
      </c>
      <c r="L18" s="50" t="n">
        <f aca="false">B18+C18+D18+K18</f>
        <v>618249.214683178</v>
      </c>
      <c r="M18" s="66" t="n">
        <f aca="false">IF(B18&gt;0,L18/B18-1,0)</f>
        <v>0.0595338228508935</v>
      </c>
      <c r="N18" s="50" t="n">
        <f aca="false">N17*(1+Paths!C18)+F18*(1-dep_asia)</f>
        <v>47478.8959381707</v>
      </c>
      <c r="O18" s="50" t="n">
        <f aca="false">O17*(1+Paths!C18)+G18*(1-dep_asia)</f>
        <v>0</v>
      </c>
      <c r="P18" s="50" t="n">
        <f aca="false">P17*(1+Paths!C18)+H18*(1-dep_asia)</f>
        <v>0</v>
      </c>
      <c r="Q18" s="50" t="n">
        <f aca="false">Q17*(1+Paths!C18)+Labour!AK18*gw_asian</f>
        <v>0</v>
      </c>
      <c r="R18" s="50" t="n">
        <f aca="false">R17*(1+Paths!C18)+Labour!AF18*family_mult</f>
        <v>0</v>
      </c>
      <c r="S18" s="66" t="n">
        <f aca="false">(N18+O18+P18+Q18+R18)/L18</f>
        <v>0.0767957238126074</v>
      </c>
      <c r="T18" s="50" t="n">
        <f aca="false">SUM(E18:H18)*Paths!J18</f>
        <v>14400</v>
      </c>
      <c r="U18" s="65" t="n">
        <f aca="false">Paths!K18</f>
        <v>0</v>
      </c>
      <c r="V18" s="50" t="n">
        <f aca="false">IF(Gulf!E18=1,Gulf!B18,0)</f>
        <v>0</v>
      </c>
      <c r="W18" s="50" t="n">
        <f aca="false">L18+V18</f>
        <v>618249.214683178</v>
      </c>
      <c r="X18" s="50" t="n">
        <f aca="false">W18+Labour!L18</f>
        <v>618249.214683178</v>
      </c>
    </row>
    <row r="19" customFormat="false" ht="14.25" hidden="false" customHeight="false" outlineLevel="0" collapsed="false">
      <c r="A19" s="61" t="n">
        <v>1859</v>
      </c>
      <c r="B19" s="50" t="n">
        <f aca="false">L18</f>
        <v>618249.214683178</v>
      </c>
      <c r="C19" s="65" t="n">
        <f aca="false">Paths!D19</f>
        <v>0</v>
      </c>
      <c r="D19" s="50" t="n">
        <f aca="false">B19*Paths!C19</f>
        <v>6800.74136151495</v>
      </c>
      <c r="E19" s="50" t="n">
        <f aca="false">Paths!E19*IF($A19&gt;=1896,mig_scale,1)</f>
        <v>30000</v>
      </c>
      <c r="F19" s="50" t="n">
        <f aca="false">Paths!F19*IF($A19&gt;=1896,mig_scale,1)</f>
        <v>6000</v>
      </c>
      <c r="G19" s="50" t="n">
        <f aca="false">Paths!G19*IF($A19&gt;=1896,mig_scale,1)</f>
        <v>0</v>
      </c>
      <c r="H19" s="50" t="n">
        <f aca="false">Paths!H19*IF($A19&gt;=1896,mig_scale,1)</f>
        <v>0</v>
      </c>
      <c r="I19" s="50" t="n">
        <f aca="false">E19*Paths!I19+(F19+G19+H19)*dep_asia</f>
        <v>7680</v>
      </c>
      <c r="J19" s="65" t="n">
        <f aca="false">Labour!AL19</f>
        <v>0</v>
      </c>
      <c r="K19" s="50" t="n">
        <f aca="false">SUM(E19:H19)-I19+J19</f>
        <v>28320</v>
      </c>
      <c r="L19" s="50" t="n">
        <f aca="false">B19+C19+D19+K19</f>
        <v>653369.956044692</v>
      </c>
      <c r="M19" s="66" t="n">
        <f aca="false">IF(B19&gt;0,L19/B19-1,0)</f>
        <v>0.0568067706798667</v>
      </c>
      <c r="N19" s="50" t="n">
        <f aca="false">N18*(1+Paths!C19)+F19*(1-dep_asia)</f>
        <v>52321.1637934906</v>
      </c>
      <c r="O19" s="50" t="n">
        <f aca="false">O18*(1+Paths!C19)+G19*(1-dep_asia)</f>
        <v>0</v>
      </c>
      <c r="P19" s="50" t="n">
        <f aca="false">P18*(1+Paths!C19)+H19*(1-dep_asia)</f>
        <v>0</v>
      </c>
      <c r="Q19" s="50" t="n">
        <f aca="false">Q18*(1+Paths!C19)+Labour!AK19*gw_asian</f>
        <v>0</v>
      </c>
      <c r="R19" s="50" t="n">
        <f aca="false">R18*(1+Paths!C19)+Labour!AF19*family_mult</f>
        <v>0</v>
      </c>
      <c r="S19" s="66" t="n">
        <f aca="false">(N19+O19+P19+Q19+R19)/L19</f>
        <v>0.0800789251318309</v>
      </c>
      <c r="T19" s="50" t="n">
        <f aca="false">SUM(E19:H19)*Paths!J19</f>
        <v>14400</v>
      </c>
      <c r="U19" s="65" t="n">
        <f aca="false">Paths!K19</f>
        <v>0</v>
      </c>
      <c r="V19" s="50" t="n">
        <f aca="false">IF(Gulf!E19=1,Gulf!B19,0)</f>
        <v>0</v>
      </c>
      <c r="W19" s="50" t="n">
        <f aca="false">L19+V19</f>
        <v>653369.956044692</v>
      </c>
      <c r="X19" s="50" t="n">
        <f aca="false">W19+Labour!L19</f>
        <v>653369.956044692</v>
      </c>
    </row>
    <row r="20" customFormat="false" ht="14.25" hidden="false" customHeight="false" outlineLevel="0" collapsed="false">
      <c r="A20" s="61" t="n">
        <v>1860</v>
      </c>
      <c r="B20" s="50" t="n">
        <f aca="false">L19</f>
        <v>653369.956044692</v>
      </c>
      <c r="C20" s="65" t="n">
        <f aca="false">Paths!D20</f>
        <v>0</v>
      </c>
      <c r="D20" s="50" t="n">
        <f aca="false">B20*Paths!C20</f>
        <v>7187.06951649162</v>
      </c>
      <c r="E20" s="50" t="n">
        <f aca="false">Paths!E20*IF($A20&gt;=1896,mig_scale,1)</f>
        <v>30000</v>
      </c>
      <c r="F20" s="50" t="n">
        <f aca="false">Paths!F20*IF($A20&gt;=1896,mig_scale,1)</f>
        <v>8000</v>
      </c>
      <c r="G20" s="50" t="n">
        <f aca="false">Paths!G20*IF($A20&gt;=1896,mig_scale,1)</f>
        <v>0</v>
      </c>
      <c r="H20" s="50" t="n">
        <f aca="false">Paths!H20*IF($A20&gt;=1896,mig_scale,1)</f>
        <v>0</v>
      </c>
      <c r="I20" s="50" t="n">
        <f aca="false">E20*Paths!I20+(F20+G20+H20)*dep_asia</f>
        <v>8240</v>
      </c>
      <c r="J20" s="65" t="n">
        <f aca="false">Labour!AL20</f>
        <v>0</v>
      </c>
      <c r="K20" s="50" t="n">
        <f aca="false">SUM(E20:H20)-I20+J20</f>
        <v>29760</v>
      </c>
      <c r="L20" s="50" t="n">
        <f aca="false">B20+C20+D20+K20</f>
        <v>690317.025561184</v>
      </c>
      <c r="M20" s="66" t="n">
        <f aca="false">IF(B20&gt;0,L20/B20-1,0)</f>
        <v>0.0565484671810719</v>
      </c>
      <c r="N20" s="50" t="n">
        <f aca="false">N19*(1+Paths!C20)+F20*(1-dep_asia)</f>
        <v>58656.696595219</v>
      </c>
      <c r="O20" s="50" t="n">
        <f aca="false">O19*(1+Paths!C20)+G20*(1-dep_asia)</f>
        <v>0</v>
      </c>
      <c r="P20" s="50" t="n">
        <f aca="false">P19*(1+Paths!C20)+H20*(1-dep_asia)</f>
        <v>0</v>
      </c>
      <c r="Q20" s="50" t="n">
        <f aca="false">Q19*(1+Paths!C20)+Labour!AK20*gw_asian</f>
        <v>0</v>
      </c>
      <c r="R20" s="50" t="n">
        <f aca="false">R19*(1+Paths!C20)+Labour!AF20*family_mult</f>
        <v>0</v>
      </c>
      <c r="S20" s="66" t="n">
        <f aca="false">(N20+O20+P20+Q20+R20)/L20</f>
        <v>0.0849706648152489</v>
      </c>
      <c r="T20" s="50" t="n">
        <f aca="false">SUM(E20:H20)*Paths!J20</f>
        <v>15200</v>
      </c>
      <c r="U20" s="65" t="n">
        <f aca="false">Paths!K20</f>
        <v>0</v>
      </c>
      <c r="V20" s="50" t="n">
        <f aca="false">IF(Gulf!E20=1,Gulf!B20,0)</f>
        <v>0</v>
      </c>
      <c r="W20" s="50" t="n">
        <f aca="false">L20+V20</f>
        <v>690317.025561184</v>
      </c>
      <c r="X20" s="50" t="n">
        <f aca="false">W20+Labour!L20</f>
        <v>690317.025561184</v>
      </c>
    </row>
    <row r="21" customFormat="false" ht="14.25" hidden="false" customHeight="false" outlineLevel="0" collapsed="false">
      <c r="A21" s="64" t="n">
        <v>1861</v>
      </c>
      <c r="B21" s="50" t="n">
        <f aca="false">L20</f>
        <v>690317.025561184</v>
      </c>
      <c r="C21" s="65" t="n">
        <f aca="false">Paths!D21</f>
        <v>0</v>
      </c>
      <c r="D21" s="50" t="n">
        <f aca="false">B21*Paths!C21</f>
        <v>7593.48728117302</v>
      </c>
      <c r="E21" s="50" t="n">
        <f aca="false">Paths!E21*IF($A21&gt;=1896,mig_scale,1)</f>
        <v>35000</v>
      </c>
      <c r="F21" s="50" t="n">
        <f aca="false">Paths!F21*IF($A21&gt;=1896,mig_scale,1)</f>
        <v>8000</v>
      </c>
      <c r="G21" s="50" t="n">
        <f aca="false">Paths!G21*IF($A21&gt;=1896,mig_scale,1)</f>
        <v>0</v>
      </c>
      <c r="H21" s="50" t="n">
        <f aca="false">Paths!H21*IF($A21&gt;=1896,mig_scale,1)</f>
        <v>0</v>
      </c>
      <c r="I21" s="50" t="n">
        <f aca="false">E21*Paths!I21+(F21+G21+H21)*dep_asia</f>
        <v>9240</v>
      </c>
      <c r="J21" s="65" t="n">
        <f aca="false">Labour!AL21</f>
        <v>0</v>
      </c>
      <c r="K21" s="50" t="n">
        <f aca="false">SUM(E21:H21)-I21+J21</f>
        <v>33760</v>
      </c>
      <c r="L21" s="50" t="n">
        <f aca="false">B21+C21+D21+K21</f>
        <v>731670.512842357</v>
      </c>
      <c r="M21" s="66" t="n">
        <f aca="false">IF(B21&gt;0,L21/B21-1,0)</f>
        <v>0.0599050664403868</v>
      </c>
      <c r="N21" s="50" t="n">
        <f aca="false">N20*(1+Paths!C21)+F21*(1-dep_asia)</f>
        <v>65061.9202577664</v>
      </c>
      <c r="O21" s="50" t="n">
        <f aca="false">O20*(1+Paths!C21)+G21*(1-dep_asia)</f>
        <v>0</v>
      </c>
      <c r="P21" s="50" t="n">
        <f aca="false">P20*(1+Paths!C21)+H21*(1-dep_asia)</f>
        <v>0</v>
      </c>
      <c r="Q21" s="50" t="n">
        <f aca="false">Q20*(1+Paths!C21)+Labour!AK21*gw_asian</f>
        <v>0</v>
      </c>
      <c r="R21" s="50" t="n">
        <f aca="false">R20*(1+Paths!C21)+Labour!AF21*family_mult</f>
        <v>0</v>
      </c>
      <c r="S21" s="66" t="n">
        <f aca="false">(N21+O21+P21+Q21+R21)/L21</f>
        <v>0.0889224304052067</v>
      </c>
      <c r="T21" s="50" t="n">
        <f aca="false">SUM(E21:H21)*Paths!J21</f>
        <v>17200</v>
      </c>
      <c r="U21" s="65" t="n">
        <f aca="false">Paths!K21</f>
        <v>0</v>
      </c>
      <c r="V21" s="50" t="n">
        <f aca="false">IF(Gulf!E21=1,Gulf!B21,0)</f>
        <v>0</v>
      </c>
      <c r="W21" s="50" t="n">
        <f aca="false">L21+V21</f>
        <v>731670.512842357</v>
      </c>
      <c r="X21" s="50" t="n">
        <f aca="false">W21+Labour!L21</f>
        <v>731670.512842357</v>
      </c>
    </row>
    <row r="22" customFormat="false" ht="14.25" hidden="false" customHeight="false" outlineLevel="0" collapsed="false">
      <c r="A22" s="64" t="n">
        <v>1862</v>
      </c>
      <c r="B22" s="50" t="n">
        <f aca="false">L21</f>
        <v>731670.512842357</v>
      </c>
      <c r="C22" s="65" t="n">
        <f aca="false">Paths!D22</f>
        <v>177000</v>
      </c>
      <c r="D22" s="50" t="n">
        <f aca="false">B22*Paths!C22</f>
        <v>10243.387179793</v>
      </c>
      <c r="E22" s="50" t="n">
        <f aca="false">Paths!E22*IF($A22&gt;=1896,mig_scale,1)</f>
        <v>35000</v>
      </c>
      <c r="F22" s="50" t="n">
        <f aca="false">Paths!F22*IF($A22&gt;=1896,mig_scale,1)</f>
        <v>8000</v>
      </c>
      <c r="G22" s="50" t="n">
        <f aca="false">Paths!G22*IF($A22&gt;=1896,mig_scale,1)</f>
        <v>0</v>
      </c>
      <c r="H22" s="50" t="n">
        <f aca="false">Paths!H22*IF($A22&gt;=1896,mig_scale,1)</f>
        <v>0</v>
      </c>
      <c r="I22" s="50" t="n">
        <f aca="false">E22*Paths!I22+(F22+G22+H22)*dep_asia</f>
        <v>9240</v>
      </c>
      <c r="J22" s="65" t="n">
        <f aca="false">Labour!AL22</f>
        <v>0</v>
      </c>
      <c r="K22" s="50" t="n">
        <f aca="false">SUM(E22:H22)-I22+J22</f>
        <v>33760</v>
      </c>
      <c r="L22" s="50" t="n">
        <f aca="false">B22+C22+D22+K22</f>
        <v>952673.90002215</v>
      </c>
      <c r="M22" s="66" t="n">
        <f aca="false">IF(B22&gt;0,L22/B22-1,0)</f>
        <v>0.302053155485589</v>
      </c>
      <c r="N22" s="50" t="n">
        <f aca="false">N21*(1+Paths!C22)+F22*(1-dep_asia)</f>
        <v>71732.7871413751</v>
      </c>
      <c r="O22" s="50" t="n">
        <f aca="false">O21*(1+Paths!C22)+G22*(1-dep_asia)</f>
        <v>0</v>
      </c>
      <c r="P22" s="50" t="n">
        <f aca="false">P21*(1+Paths!C22)+H22*(1-dep_asia)</f>
        <v>0</v>
      </c>
      <c r="Q22" s="50" t="n">
        <f aca="false">Q21*(1+Paths!C22)+Labour!AK22*gw_asian</f>
        <v>0</v>
      </c>
      <c r="R22" s="50" t="n">
        <f aca="false">R21*(1+Paths!C22)+Labour!AF22*family_mult</f>
        <v>0</v>
      </c>
      <c r="S22" s="66" t="n">
        <f aca="false">(N22+O22+P22+Q22+R22)/L22</f>
        <v>0.0752962657418318</v>
      </c>
      <c r="T22" s="50" t="n">
        <f aca="false">SUM(E22:H22)*Paths!J22</f>
        <v>17200</v>
      </c>
      <c r="U22" s="65" t="n">
        <f aca="false">Paths!K22</f>
        <v>0</v>
      </c>
      <c r="V22" s="50" t="n">
        <f aca="false">IF(Gulf!E22=1,Gulf!B22,0)</f>
        <v>0</v>
      </c>
      <c r="W22" s="50" t="n">
        <f aca="false">L22+V22</f>
        <v>952673.90002215</v>
      </c>
      <c r="X22" s="50" t="n">
        <f aca="false">W22+Labour!L22</f>
        <v>952673.90002215</v>
      </c>
    </row>
    <row r="23" customFormat="false" ht="14.25" hidden="false" customHeight="false" outlineLevel="0" collapsed="false">
      <c r="A23" s="64" t="n">
        <v>1863</v>
      </c>
      <c r="B23" s="50" t="n">
        <f aca="false">L22</f>
        <v>952673.90002215</v>
      </c>
      <c r="C23" s="65" t="n">
        <f aca="false">Paths!D23</f>
        <v>85000</v>
      </c>
      <c r="D23" s="50" t="n">
        <f aca="false">B23*Paths!C23</f>
        <v>13337.4346003101</v>
      </c>
      <c r="E23" s="50" t="n">
        <f aca="false">Paths!E23*IF($A23&gt;=1896,mig_scale,1)</f>
        <v>35000</v>
      </c>
      <c r="F23" s="50" t="n">
        <f aca="false">Paths!F23*IF($A23&gt;=1896,mig_scale,1)</f>
        <v>8000</v>
      </c>
      <c r="G23" s="50" t="n">
        <f aca="false">Paths!G23*IF($A23&gt;=1896,mig_scale,1)</f>
        <v>0</v>
      </c>
      <c r="H23" s="50" t="n">
        <f aca="false">Paths!H23*IF($A23&gt;=1896,mig_scale,1)</f>
        <v>0</v>
      </c>
      <c r="I23" s="50" t="n">
        <f aca="false">E23*Paths!I23+(F23+G23+H23)*dep_asia</f>
        <v>9240</v>
      </c>
      <c r="J23" s="65" t="n">
        <f aca="false">Labour!AL23</f>
        <v>0</v>
      </c>
      <c r="K23" s="50" t="n">
        <f aca="false">SUM(E23:H23)-I23+J23</f>
        <v>33760</v>
      </c>
      <c r="L23" s="50" t="n">
        <f aca="false">B23+C23+D23+K23</f>
        <v>1084771.33462246</v>
      </c>
      <c r="M23" s="66" t="n">
        <f aca="false">IF(B23&gt;0,L23/B23-1,0)</f>
        <v>0.138659655310426</v>
      </c>
      <c r="N23" s="50" t="n">
        <f aca="false">N22*(1+Paths!C23)+F23*(1-dep_asia)</f>
        <v>78497.0461613543</v>
      </c>
      <c r="O23" s="50" t="n">
        <f aca="false">O22*(1+Paths!C23)+G23*(1-dep_asia)</f>
        <v>0</v>
      </c>
      <c r="P23" s="50" t="n">
        <f aca="false">P22*(1+Paths!C23)+H23*(1-dep_asia)</f>
        <v>0</v>
      </c>
      <c r="Q23" s="50" t="n">
        <f aca="false">Q22*(1+Paths!C23)+Labour!AK23*gw_asian</f>
        <v>0</v>
      </c>
      <c r="R23" s="50" t="n">
        <f aca="false">R22*(1+Paths!C23)+Labour!AF23*family_mult</f>
        <v>0</v>
      </c>
      <c r="S23" s="66" t="n">
        <f aca="false">(N23+O23+P23+Q23+R23)/L23</f>
        <v>0.0723627585427247</v>
      </c>
      <c r="T23" s="50" t="n">
        <f aca="false">SUM(E23:H23)*Paths!J23</f>
        <v>17200</v>
      </c>
      <c r="U23" s="65" t="n">
        <f aca="false">Paths!K23</f>
        <v>0</v>
      </c>
      <c r="V23" s="50" t="n">
        <f aca="false">IF(Gulf!E23=1,Gulf!B23,0)</f>
        <v>0</v>
      </c>
      <c r="W23" s="50" t="n">
        <f aca="false">L23+V23</f>
        <v>1084771.33462246</v>
      </c>
      <c r="X23" s="50" t="n">
        <f aca="false">W23+Labour!L23</f>
        <v>1084771.33462246</v>
      </c>
    </row>
    <row r="24" customFormat="false" ht="14.25" hidden="false" customHeight="false" outlineLevel="0" collapsed="false">
      <c r="A24" s="64" t="n">
        <v>1864</v>
      </c>
      <c r="B24" s="50" t="n">
        <f aca="false">L23</f>
        <v>1084771.33462246</v>
      </c>
      <c r="C24" s="65" t="n">
        <f aca="false">Paths!D24</f>
        <v>25000</v>
      </c>
      <c r="D24" s="50" t="n">
        <f aca="false">B24*Paths!C24</f>
        <v>15186.7986847144</v>
      </c>
      <c r="E24" s="50" t="n">
        <f aca="false">Paths!E24*IF($A24&gt;=1896,mig_scale,1)</f>
        <v>35000</v>
      </c>
      <c r="F24" s="50" t="n">
        <f aca="false">Paths!F24*IF($A24&gt;=1896,mig_scale,1)</f>
        <v>8000</v>
      </c>
      <c r="G24" s="50" t="n">
        <f aca="false">Paths!G24*IF($A24&gt;=1896,mig_scale,1)</f>
        <v>0</v>
      </c>
      <c r="H24" s="50" t="n">
        <f aca="false">Paths!H24*IF($A24&gt;=1896,mig_scale,1)</f>
        <v>0</v>
      </c>
      <c r="I24" s="50" t="n">
        <f aca="false">E24*Paths!I24+(F24+G24+H24)*dep_asia</f>
        <v>9240</v>
      </c>
      <c r="J24" s="65" t="n">
        <f aca="false">Labour!AL24</f>
        <v>0</v>
      </c>
      <c r="K24" s="50" t="n">
        <f aca="false">SUM(E24:H24)-I24+J24</f>
        <v>33760</v>
      </c>
      <c r="L24" s="50" t="n">
        <f aca="false">B24+C24+D24+K24</f>
        <v>1158718.13330717</v>
      </c>
      <c r="M24" s="66" t="n">
        <f aca="false">IF(B24&gt;0,L24/B24-1,0)</f>
        <v>0.0681680980355648</v>
      </c>
      <c r="N24" s="50" t="n">
        <f aca="false">N23*(1+Paths!C24)+F24*(1-dep_asia)</f>
        <v>85356.0048076133</v>
      </c>
      <c r="O24" s="50" t="n">
        <f aca="false">O23*(1+Paths!C24)+G24*(1-dep_asia)</f>
        <v>0</v>
      </c>
      <c r="P24" s="50" t="n">
        <f aca="false">P23*(1+Paths!C24)+H24*(1-dep_asia)</f>
        <v>0</v>
      </c>
      <c r="Q24" s="50" t="n">
        <f aca="false">Q23*(1+Paths!C24)+Labour!AK24*gw_asian</f>
        <v>0</v>
      </c>
      <c r="R24" s="50" t="n">
        <f aca="false">R23*(1+Paths!C24)+Labour!AF24*family_mult</f>
        <v>0</v>
      </c>
      <c r="S24" s="66" t="n">
        <f aca="false">(N24+O24+P24+Q24+R24)/L24</f>
        <v>0.0736641659037415</v>
      </c>
      <c r="T24" s="50" t="n">
        <f aca="false">SUM(E24:H24)*Paths!J24</f>
        <v>17200</v>
      </c>
      <c r="U24" s="65" t="n">
        <f aca="false">Paths!K24</f>
        <v>0</v>
      </c>
      <c r="V24" s="50" t="n">
        <f aca="false">IF(Gulf!E24=1,Gulf!B24,0)</f>
        <v>0</v>
      </c>
      <c r="W24" s="50" t="n">
        <f aca="false">L24+V24</f>
        <v>1158718.13330717</v>
      </c>
      <c r="X24" s="50" t="n">
        <f aca="false">W24+Labour!L24</f>
        <v>1158718.13330717</v>
      </c>
    </row>
    <row r="25" customFormat="false" ht="14.25" hidden="false" customHeight="false" outlineLevel="0" collapsed="false">
      <c r="A25" s="64" t="n">
        <v>1865</v>
      </c>
      <c r="B25" s="50" t="n">
        <f aca="false">L24</f>
        <v>1158718.13330717</v>
      </c>
      <c r="C25" s="65" t="n">
        <f aca="false">Paths!D25</f>
        <v>10000</v>
      </c>
      <c r="D25" s="50" t="n">
        <f aca="false">B25*Paths!C25</f>
        <v>16222.0538663004</v>
      </c>
      <c r="E25" s="50" t="n">
        <f aca="false">Paths!E25*IF($A25&gt;=1896,mig_scale,1)</f>
        <v>35000</v>
      </c>
      <c r="F25" s="50" t="n">
        <f aca="false">Paths!F25*IF($A25&gt;=1896,mig_scale,1)</f>
        <v>8000</v>
      </c>
      <c r="G25" s="50" t="n">
        <f aca="false">Paths!G25*IF($A25&gt;=1896,mig_scale,1)</f>
        <v>0</v>
      </c>
      <c r="H25" s="50" t="n">
        <f aca="false">Paths!H25*IF($A25&gt;=1896,mig_scale,1)</f>
        <v>0</v>
      </c>
      <c r="I25" s="50" t="n">
        <f aca="false">E25*Paths!I25+(F25+G25+H25)*dep_asia</f>
        <v>9240</v>
      </c>
      <c r="J25" s="65" t="n">
        <f aca="false">Labour!AL25</f>
        <v>0</v>
      </c>
      <c r="K25" s="50" t="n">
        <f aca="false">SUM(E25:H25)-I25+J25</f>
        <v>33760</v>
      </c>
      <c r="L25" s="50" t="n">
        <f aca="false">B25+C25+D25+K25</f>
        <v>1218700.18717348</v>
      </c>
      <c r="M25" s="66" t="n">
        <f aca="false">IF(B25&gt;0,L25/B25-1,0)</f>
        <v>0.0517658713902247</v>
      </c>
      <c r="N25" s="50" t="n">
        <f aca="false">N24*(1+Paths!C25)+F25*(1-dep_asia)</f>
        <v>92310.9888749199</v>
      </c>
      <c r="O25" s="50" t="n">
        <f aca="false">O24*(1+Paths!C25)+G25*(1-dep_asia)</f>
        <v>0</v>
      </c>
      <c r="P25" s="50" t="n">
        <f aca="false">P24*(1+Paths!C25)+H25*(1-dep_asia)</f>
        <v>0</v>
      </c>
      <c r="Q25" s="50" t="n">
        <f aca="false">Q24*(1+Paths!C25)+Labour!AK25*gw_asian</f>
        <v>0</v>
      </c>
      <c r="R25" s="50" t="n">
        <f aca="false">R24*(1+Paths!C25)+Labour!AF25*family_mult</f>
        <v>0</v>
      </c>
      <c r="S25" s="66" t="n">
        <f aca="false">(N25+O25+P25+Q25+R25)/L25</f>
        <v>0.0757454457187016</v>
      </c>
      <c r="T25" s="50" t="n">
        <f aca="false">SUM(E25:H25)*Paths!J25</f>
        <v>17200</v>
      </c>
      <c r="U25" s="65" t="n">
        <f aca="false">Paths!K25</f>
        <v>0</v>
      </c>
      <c r="V25" s="50" t="n">
        <f aca="false">IF(Gulf!E25=1,Gulf!B25,0)</f>
        <v>0</v>
      </c>
      <c r="W25" s="50" t="n">
        <f aca="false">L25+V25</f>
        <v>1218700.18717348</v>
      </c>
      <c r="X25" s="50" t="n">
        <f aca="false">W25+Labour!L25</f>
        <v>1218700.18717348</v>
      </c>
    </row>
    <row r="26" customFormat="false" ht="14.25" hidden="false" customHeight="false" outlineLevel="0" collapsed="false">
      <c r="A26" s="61" t="n">
        <v>1866</v>
      </c>
      <c r="B26" s="50" t="n">
        <f aca="false">L25</f>
        <v>1218700.18717348</v>
      </c>
      <c r="C26" s="65" t="n">
        <f aca="false">Paths!D26</f>
        <v>0</v>
      </c>
      <c r="D26" s="50" t="n">
        <f aca="false">B26*Paths!C26</f>
        <v>17061.8026204287</v>
      </c>
      <c r="E26" s="50" t="n">
        <f aca="false">Paths!E26*IF($A26&gt;=1896,mig_scale,1)</f>
        <v>80000</v>
      </c>
      <c r="F26" s="50" t="n">
        <f aca="false">Paths!F26*IF($A26&gt;=1896,mig_scale,1)</f>
        <v>8000</v>
      </c>
      <c r="G26" s="50" t="n">
        <f aca="false">Paths!G26*IF($A26&gt;=1896,mig_scale,1)</f>
        <v>0</v>
      </c>
      <c r="H26" s="50" t="n">
        <f aca="false">Paths!H26*IF($A26&gt;=1896,mig_scale,1)</f>
        <v>0</v>
      </c>
      <c r="I26" s="50" t="n">
        <f aca="false">E26*Paths!I26+(F26+G26+H26)*dep_asia</f>
        <v>18240</v>
      </c>
      <c r="J26" s="65" t="n">
        <f aca="false">Labour!AL26</f>
        <v>0</v>
      </c>
      <c r="K26" s="50" t="n">
        <f aca="false">SUM(E26:H26)-I26+J26</f>
        <v>69760</v>
      </c>
      <c r="L26" s="50" t="n">
        <f aca="false">B26+C26+D26+K26</f>
        <v>1305521.9897939</v>
      </c>
      <c r="M26" s="66" t="n">
        <f aca="false">IF(B26&gt;0,L26/B26-1,0)</f>
        <v>0.0712413139295514</v>
      </c>
      <c r="N26" s="50" t="n">
        <f aca="false">N25*(1+Paths!C26)+F26*(1-dep_asia)</f>
        <v>99363.3427191688</v>
      </c>
      <c r="O26" s="50" t="n">
        <f aca="false">O25*(1+Paths!C26)+G26*(1-dep_asia)</f>
        <v>0</v>
      </c>
      <c r="P26" s="50" t="n">
        <f aca="false">P25*(1+Paths!C26)+H26*(1-dep_asia)</f>
        <v>0</v>
      </c>
      <c r="Q26" s="50" t="n">
        <f aca="false">Q25*(1+Paths!C26)+Labour!AK26*gw_asian</f>
        <v>0</v>
      </c>
      <c r="R26" s="50" t="n">
        <f aca="false">R25*(1+Paths!C26)+Labour!AF26*family_mult</f>
        <v>0</v>
      </c>
      <c r="S26" s="66" t="n">
        <f aca="false">(N26+O26+P26+Q26+R26)/L26</f>
        <v>0.0761100490807166</v>
      </c>
      <c r="T26" s="50" t="n">
        <f aca="false">SUM(E26:H26)*Paths!J26</f>
        <v>35200</v>
      </c>
      <c r="U26" s="65" t="n">
        <f aca="false">Paths!K26</f>
        <v>0</v>
      </c>
      <c r="V26" s="50" t="n">
        <f aca="false">IF(Gulf!E26=1,Gulf!B26,0)</f>
        <v>0</v>
      </c>
      <c r="W26" s="50" t="n">
        <f aca="false">L26+V26</f>
        <v>1305521.9897939</v>
      </c>
      <c r="X26" s="50" t="n">
        <f aca="false">W26+Labour!L26</f>
        <v>1305521.9897939</v>
      </c>
    </row>
    <row r="27" customFormat="false" ht="14.25" hidden="false" customHeight="false" outlineLevel="0" collapsed="false">
      <c r="A27" s="61" t="n">
        <v>1867</v>
      </c>
      <c r="B27" s="50" t="n">
        <f aca="false">L26</f>
        <v>1305521.9897939</v>
      </c>
      <c r="C27" s="65" t="n">
        <f aca="false">Paths!D27</f>
        <v>50000</v>
      </c>
      <c r="D27" s="50" t="n">
        <f aca="false">B27*Paths!C27</f>
        <v>18277.3078571147</v>
      </c>
      <c r="E27" s="50" t="n">
        <f aca="false">Paths!E27*IF($A27&gt;=1896,mig_scale,1)</f>
        <v>80000</v>
      </c>
      <c r="F27" s="50" t="n">
        <f aca="false">Paths!F27*IF($A27&gt;=1896,mig_scale,1)</f>
        <v>8000</v>
      </c>
      <c r="G27" s="50" t="n">
        <f aca="false">Paths!G27*IF($A27&gt;=1896,mig_scale,1)</f>
        <v>0</v>
      </c>
      <c r="H27" s="50" t="n">
        <f aca="false">Paths!H27*IF($A27&gt;=1896,mig_scale,1)</f>
        <v>0</v>
      </c>
      <c r="I27" s="50" t="n">
        <f aca="false">E27*Paths!I27+(F27+G27+H27)*dep_asia</f>
        <v>18240</v>
      </c>
      <c r="J27" s="65" t="n">
        <f aca="false">Labour!AL27</f>
        <v>0</v>
      </c>
      <c r="K27" s="50" t="n">
        <f aca="false">SUM(E27:H27)-I27+J27</f>
        <v>69760</v>
      </c>
      <c r="L27" s="50" t="n">
        <f aca="false">B27+C27+D27+K27</f>
        <v>1443559.29765102</v>
      </c>
      <c r="M27" s="66" t="n">
        <f aca="false">IF(B27&gt;0,L27/B27-1,0)</f>
        <v>0.105733422291038</v>
      </c>
      <c r="N27" s="50" t="n">
        <f aca="false">N26*(1+Paths!C27)+F27*(1-dep_asia)</f>
        <v>106514.429517237</v>
      </c>
      <c r="O27" s="50" t="n">
        <f aca="false">O26*(1+Paths!C27)+G27*(1-dep_asia)</f>
        <v>0</v>
      </c>
      <c r="P27" s="50" t="n">
        <f aca="false">P26*(1+Paths!C27)+H27*(1-dep_asia)</f>
        <v>0</v>
      </c>
      <c r="Q27" s="50" t="n">
        <f aca="false">Q26*(1+Paths!C27)+Labour!AK27*gw_asian</f>
        <v>0</v>
      </c>
      <c r="R27" s="50" t="n">
        <f aca="false">R26*(1+Paths!C27)+Labour!AF27*family_mult</f>
        <v>0</v>
      </c>
      <c r="S27" s="66" t="n">
        <f aca="false">(N27+O27+P27+Q27+R27)/L27</f>
        <v>0.0737859744941265</v>
      </c>
      <c r="T27" s="50" t="n">
        <f aca="false">SUM(E27:H27)*Paths!J27</f>
        <v>35200</v>
      </c>
      <c r="U27" s="65" t="n">
        <f aca="false">Paths!K27</f>
        <v>0</v>
      </c>
      <c r="V27" s="50" t="n">
        <f aca="false">IF(Gulf!E27=1,Gulf!B27,0)</f>
        <v>0</v>
      </c>
      <c r="W27" s="50" t="n">
        <f aca="false">L27+V27</f>
        <v>1443559.29765102</v>
      </c>
      <c r="X27" s="50" t="n">
        <f aca="false">W27+Labour!L27</f>
        <v>1443559.29765102</v>
      </c>
    </row>
    <row r="28" customFormat="false" ht="14.25" hidden="false" customHeight="false" outlineLevel="0" collapsed="false">
      <c r="A28" s="61" t="n">
        <v>1868</v>
      </c>
      <c r="B28" s="50" t="n">
        <f aca="false">L27</f>
        <v>1443559.29765102</v>
      </c>
      <c r="C28" s="65" t="n">
        <f aca="false">Paths!D28</f>
        <v>0</v>
      </c>
      <c r="D28" s="50" t="n">
        <f aca="false">B28*Paths!C28</f>
        <v>27427.6266553693</v>
      </c>
      <c r="E28" s="50" t="n">
        <f aca="false">Paths!E28*IF($A28&gt;=1896,mig_scale,1)</f>
        <v>80000</v>
      </c>
      <c r="F28" s="50" t="n">
        <f aca="false">Paths!F28*IF($A28&gt;=1896,mig_scale,1)</f>
        <v>15000</v>
      </c>
      <c r="G28" s="50" t="n">
        <f aca="false">Paths!G28*IF($A28&gt;=1896,mig_scale,1)</f>
        <v>0</v>
      </c>
      <c r="H28" s="50" t="n">
        <f aca="false">Paths!H28*IF($A28&gt;=1896,mig_scale,1)</f>
        <v>0</v>
      </c>
      <c r="I28" s="50" t="n">
        <f aca="false">E28*Paths!I28+(F28+G28+H28)*dep_asia</f>
        <v>20200</v>
      </c>
      <c r="J28" s="65" t="n">
        <f aca="false">Labour!AL28</f>
        <v>0</v>
      </c>
      <c r="K28" s="50" t="n">
        <f aca="false">SUM(E28:H28)-I28+J28</f>
        <v>74800</v>
      </c>
      <c r="L28" s="50" t="n">
        <f aca="false">B28+C28+D28+K28</f>
        <v>1545786.92430639</v>
      </c>
      <c r="M28" s="66" t="n">
        <f aca="false">IF(B28&gt;0,L28/B28-1,0)</f>
        <v>0.0708163681406893</v>
      </c>
      <c r="N28" s="50" t="n">
        <f aca="false">N27*(1+Paths!C28)+F28*(1-dep_asia)</f>
        <v>119338.203678065</v>
      </c>
      <c r="O28" s="50" t="n">
        <f aca="false">O27*(1+Paths!C28)+G28*(1-dep_asia)</f>
        <v>0</v>
      </c>
      <c r="P28" s="50" t="n">
        <f aca="false">P27*(1+Paths!C28)+H28*(1-dep_asia)</f>
        <v>0</v>
      </c>
      <c r="Q28" s="50" t="n">
        <f aca="false">Q27*(1+Paths!C28)+Labour!AK28*gw_asian</f>
        <v>0</v>
      </c>
      <c r="R28" s="50" t="n">
        <f aca="false">R27*(1+Paths!C28)+Labour!AF28*family_mult</f>
        <v>0</v>
      </c>
      <c r="S28" s="66" t="n">
        <f aca="false">(N28+O28+P28+Q28+R28)/L28</f>
        <v>0.0772022338923672</v>
      </c>
      <c r="T28" s="50" t="n">
        <f aca="false">SUM(E28:H28)*Paths!J28</f>
        <v>38000</v>
      </c>
      <c r="U28" s="65" t="n">
        <f aca="false">Paths!K28</f>
        <v>0</v>
      </c>
      <c r="V28" s="50" t="n">
        <f aca="false">IF(Gulf!E28=1,Gulf!B28,0)</f>
        <v>0</v>
      </c>
      <c r="W28" s="50" t="n">
        <f aca="false">L28+V28</f>
        <v>1545786.92430639</v>
      </c>
      <c r="X28" s="50" t="n">
        <f aca="false">W28+Labour!L28</f>
        <v>1545786.92430639</v>
      </c>
    </row>
    <row r="29" customFormat="false" ht="14.25" hidden="false" customHeight="false" outlineLevel="0" collapsed="false">
      <c r="A29" s="61" t="n">
        <v>1869</v>
      </c>
      <c r="B29" s="50" t="n">
        <f aca="false">L28</f>
        <v>1545786.92430639</v>
      </c>
      <c r="C29" s="65" t="n">
        <f aca="false">Paths!D29</f>
        <v>0</v>
      </c>
      <c r="D29" s="50" t="n">
        <f aca="false">B29*Paths!C29</f>
        <v>29369.9515618214</v>
      </c>
      <c r="E29" s="50" t="n">
        <f aca="false">Paths!E29*IF($A29&gt;=1896,mig_scale,1)</f>
        <v>80000</v>
      </c>
      <c r="F29" s="50" t="n">
        <f aca="false">Paths!F29*IF($A29&gt;=1896,mig_scale,1)</f>
        <v>25000</v>
      </c>
      <c r="G29" s="50" t="n">
        <f aca="false">Paths!G29*IF($A29&gt;=1896,mig_scale,1)</f>
        <v>200</v>
      </c>
      <c r="H29" s="50" t="n">
        <f aca="false">Paths!H29*IF($A29&gt;=1896,mig_scale,1)</f>
        <v>0</v>
      </c>
      <c r="I29" s="50" t="n">
        <f aca="false">E29*Paths!I29+(F29+G29+H29)*dep_asia</f>
        <v>23056</v>
      </c>
      <c r="J29" s="65" t="n">
        <f aca="false">Labour!AL29</f>
        <v>0</v>
      </c>
      <c r="K29" s="50" t="n">
        <f aca="false">SUM(E29:H29)-I29+J29</f>
        <v>82144</v>
      </c>
      <c r="L29" s="50" t="n">
        <f aca="false">B29+C29+D29+K29</f>
        <v>1657300.87586821</v>
      </c>
      <c r="M29" s="66" t="n">
        <f aca="false">IF(B29&gt;0,L29/B29-1,0)</f>
        <v>0.0721405711281062</v>
      </c>
      <c r="N29" s="50" t="n">
        <f aca="false">N28*(1+Paths!C29)+F29*(1-dep_asia)</f>
        <v>139605.629547948</v>
      </c>
      <c r="O29" s="50" t="n">
        <f aca="false">O28*(1+Paths!C29)+G29*(1-dep_asia)</f>
        <v>144</v>
      </c>
      <c r="P29" s="50" t="n">
        <f aca="false">P28*(1+Paths!C29)+H29*(1-dep_asia)</f>
        <v>0</v>
      </c>
      <c r="Q29" s="50" t="n">
        <f aca="false">Q28*(1+Paths!C29)+Labour!AK29*gw_asian</f>
        <v>0</v>
      </c>
      <c r="R29" s="50" t="n">
        <f aca="false">R28*(1+Paths!C29)+Labour!AF29*family_mult</f>
        <v>0</v>
      </c>
      <c r="S29" s="66" t="n">
        <f aca="false">(N29+O29+P29+Q29+R29)/L29</f>
        <v>0.0843236322280572</v>
      </c>
      <c r="T29" s="50" t="n">
        <f aca="false">SUM(E29:H29)*Paths!J29</f>
        <v>42080</v>
      </c>
      <c r="U29" s="65" t="n">
        <f aca="false">Paths!K29</f>
        <v>0</v>
      </c>
      <c r="V29" s="50" t="n">
        <f aca="false">IF(Gulf!E29=1,Gulf!B29,0)</f>
        <v>0</v>
      </c>
      <c r="W29" s="50" t="n">
        <f aca="false">L29+V29</f>
        <v>1657300.87586821</v>
      </c>
      <c r="X29" s="50" t="n">
        <f aca="false">W29+Labour!L29</f>
        <v>1657300.87586821</v>
      </c>
    </row>
    <row r="30" customFormat="false" ht="14.25" hidden="false" customHeight="false" outlineLevel="0" collapsed="false">
      <c r="A30" s="64" t="n">
        <v>1870</v>
      </c>
      <c r="B30" s="50" t="n">
        <f aca="false">L29</f>
        <v>1657300.87586821</v>
      </c>
      <c r="C30" s="65" t="n">
        <f aca="false">Paths!D30</f>
        <v>0</v>
      </c>
      <c r="D30" s="50" t="n">
        <f aca="false">B30*Paths!C30</f>
        <v>31488.716641496</v>
      </c>
      <c r="E30" s="50" t="n">
        <f aca="false">Paths!E30*IF($A30&gt;=1896,mig_scale,1)</f>
        <v>80000</v>
      </c>
      <c r="F30" s="50" t="n">
        <f aca="false">Paths!F30*IF($A30&gt;=1896,mig_scale,1)</f>
        <v>25000</v>
      </c>
      <c r="G30" s="50" t="n">
        <f aca="false">Paths!G30*IF($A30&gt;=1896,mig_scale,1)</f>
        <v>500</v>
      </c>
      <c r="H30" s="50" t="n">
        <f aca="false">Paths!H30*IF($A30&gt;=1896,mig_scale,1)</f>
        <v>0</v>
      </c>
      <c r="I30" s="50" t="n">
        <f aca="false">E30*Paths!I30+(F30+G30+H30)*dep_asia</f>
        <v>23140</v>
      </c>
      <c r="J30" s="65" t="n">
        <f aca="false">Labour!AL30</f>
        <v>0</v>
      </c>
      <c r="K30" s="50" t="n">
        <f aca="false">SUM(E30:H30)-I30+J30</f>
        <v>82360</v>
      </c>
      <c r="L30" s="50" t="n">
        <f aca="false">B30+C30+D30+K30</f>
        <v>1771149.5925097</v>
      </c>
      <c r="M30" s="66" t="n">
        <f aca="false">IF(B30&gt;0,L30/B30-1,0)</f>
        <v>0.0686952612523384</v>
      </c>
      <c r="N30" s="50" t="n">
        <f aca="false">N29*(1+Paths!C30)+F30*(1-dep_asia)</f>
        <v>160258.136509359</v>
      </c>
      <c r="O30" s="50" t="n">
        <f aca="false">O29*(1+Paths!C30)+G30*(1-dep_asia)</f>
        <v>506.736</v>
      </c>
      <c r="P30" s="50" t="n">
        <f aca="false">P29*(1+Paths!C30)+H30*(1-dep_asia)</f>
        <v>0</v>
      </c>
      <c r="Q30" s="50" t="n">
        <f aca="false">Q29*(1+Paths!C30)+Labour!AK30*gw_asian</f>
        <v>0</v>
      </c>
      <c r="R30" s="50" t="n">
        <f aca="false">R29*(1+Paths!C30)+Labour!AF30*family_mult</f>
        <v>0</v>
      </c>
      <c r="S30" s="66" t="n">
        <f aca="false">(N30+O30+P30+Q30+R30)/L30</f>
        <v>0.0907686584968559</v>
      </c>
      <c r="T30" s="50" t="n">
        <f aca="false">SUM(E30:H30)*Paths!J30</f>
        <v>42200</v>
      </c>
      <c r="U30" s="65" t="n">
        <f aca="false">Paths!K30</f>
        <v>0</v>
      </c>
      <c r="V30" s="50" t="n">
        <f aca="false">IF(Gulf!E30=1,Gulf!B30,0)</f>
        <v>0</v>
      </c>
      <c r="W30" s="50" t="n">
        <f aca="false">L30+V30</f>
        <v>1771149.5925097</v>
      </c>
      <c r="X30" s="50" t="n">
        <f aca="false">W30+Labour!L30</f>
        <v>1771149.5925097</v>
      </c>
    </row>
    <row r="31" customFormat="false" ht="14.25" hidden="false" customHeight="false" outlineLevel="0" collapsed="false">
      <c r="A31" s="64" t="n">
        <v>1871</v>
      </c>
      <c r="B31" s="50" t="n">
        <f aca="false">L30</f>
        <v>1771149.5925097</v>
      </c>
      <c r="C31" s="65" t="n">
        <f aca="false">Paths!D31</f>
        <v>0</v>
      </c>
      <c r="D31" s="50" t="n">
        <f aca="false">B31*Paths!C31</f>
        <v>33651.8422576844</v>
      </c>
      <c r="E31" s="50" t="n">
        <f aca="false">Paths!E31*IF($A31&gt;=1896,mig_scale,1)</f>
        <v>80000</v>
      </c>
      <c r="F31" s="50" t="n">
        <f aca="false">Paths!F31*IF($A31&gt;=1896,mig_scale,1)</f>
        <v>25000</v>
      </c>
      <c r="G31" s="50" t="n">
        <f aca="false">Paths!G31*IF($A31&gt;=1896,mig_scale,1)</f>
        <v>500</v>
      </c>
      <c r="H31" s="50" t="n">
        <f aca="false">Paths!H31*IF($A31&gt;=1896,mig_scale,1)</f>
        <v>0</v>
      </c>
      <c r="I31" s="50" t="n">
        <f aca="false">E31*Paths!I31+(F31+G31+H31)*dep_asia</f>
        <v>23140</v>
      </c>
      <c r="J31" s="65" t="n">
        <f aca="false">Labour!AL31</f>
        <v>0</v>
      </c>
      <c r="K31" s="50" t="n">
        <f aca="false">SUM(E31:H31)-I31+J31</f>
        <v>82360</v>
      </c>
      <c r="L31" s="50" t="n">
        <f aca="false">B31+C31+D31+K31</f>
        <v>1887161.43476739</v>
      </c>
      <c r="M31" s="66" t="n">
        <f aca="false">IF(B31&gt;0,L31/B31-1,0)</f>
        <v>0.0655008717210026</v>
      </c>
      <c r="N31" s="50" t="n">
        <f aca="false">N30*(1+Paths!C31)+F31*(1-dep_asia)</f>
        <v>181303.041103037</v>
      </c>
      <c r="O31" s="50" t="n">
        <f aca="false">O30*(1+Paths!C31)+G31*(1-dep_asia)</f>
        <v>876.363984</v>
      </c>
      <c r="P31" s="50" t="n">
        <f aca="false">P30*(1+Paths!C31)+H31*(1-dep_asia)</f>
        <v>0</v>
      </c>
      <c r="Q31" s="50" t="n">
        <f aca="false">Q30*(1+Paths!C31)+Labour!AK31*gw_asian</f>
        <v>0</v>
      </c>
      <c r="R31" s="50" t="n">
        <f aca="false">R30*(1+Paths!C31)+Labour!AF31*family_mult</f>
        <v>0</v>
      </c>
      <c r="S31" s="66" t="n">
        <f aca="false">(N31+O31+P31+Q31+R31)/L31</f>
        <v>0.0965362060344837</v>
      </c>
      <c r="T31" s="50" t="n">
        <f aca="false">SUM(E31:H31)*Paths!J31</f>
        <v>42200</v>
      </c>
      <c r="U31" s="65" t="n">
        <f aca="false">Paths!K31</f>
        <v>0</v>
      </c>
      <c r="V31" s="50" t="n">
        <f aca="false">IF(Gulf!E31=1,Gulf!B31,0)</f>
        <v>0</v>
      </c>
      <c r="W31" s="50" t="n">
        <f aca="false">L31+V31</f>
        <v>1887161.43476739</v>
      </c>
      <c r="X31" s="50" t="n">
        <f aca="false">W31+Labour!L31</f>
        <v>1887161.43476739</v>
      </c>
    </row>
    <row r="32" customFormat="false" ht="14.25" hidden="false" customHeight="false" outlineLevel="0" collapsed="false">
      <c r="A32" s="61" t="n">
        <v>1872</v>
      </c>
      <c r="B32" s="50" t="n">
        <f aca="false">L31</f>
        <v>1887161.43476739</v>
      </c>
      <c r="C32" s="65" t="n">
        <f aca="false">Paths!D32</f>
        <v>0</v>
      </c>
      <c r="D32" s="50" t="n">
        <f aca="false">B32*Paths!C32</f>
        <v>35856.0672605804</v>
      </c>
      <c r="E32" s="50" t="n">
        <f aca="false">Paths!E32*IF($A32&gt;=1896,mig_scale,1)</f>
        <v>80000</v>
      </c>
      <c r="F32" s="50" t="n">
        <f aca="false">Paths!F32*IF($A32&gt;=1896,mig_scale,1)</f>
        <v>25000</v>
      </c>
      <c r="G32" s="50" t="n">
        <f aca="false">Paths!G32*IF($A32&gt;=1896,mig_scale,1)</f>
        <v>500</v>
      </c>
      <c r="H32" s="50" t="n">
        <f aca="false">Paths!H32*IF($A32&gt;=1896,mig_scale,1)</f>
        <v>0</v>
      </c>
      <c r="I32" s="50" t="n">
        <f aca="false">E32*Paths!I32+(F32+G32+H32)*dep_asia</f>
        <v>23140</v>
      </c>
      <c r="J32" s="65" t="n">
        <f aca="false">Labour!AL32</f>
        <v>0</v>
      </c>
      <c r="K32" s="50" t="n">
        <f aca="false">SUM(E32:H32)-I32+J32</f>
        <v>82360</v>
      </c>
      <c r="L32" s="50" t="n">
        <f aca="false">B32+C32+D32+K32</f>
        <v>2005377.50202797</v>
      </c>
      <c r="M32" s="66" t="n">
        <f aca="false">IF(B32&gt;0,L32/B32-1,0)</f>
        <v>0.062642265299975</v>
      </c>
      <c r="N32" s="50" t="n">
        <f aca="false">N31*(1+Paths!C32)+F32*(1-dep_asia)</f>
        <v>202747.798883994</v>
      </c>
      <c r="O32" s="50" t="n">
        <f aca="false">O31*(1+Paths!C32)+G32*(1-dep_asia)</f>
        <v>1253.014899696</v>
      </c>
      <c r="P32" s="50" t="n">
        <f aca="false">P31*(1+Paths!C32)+H32*(1-dep_asia)</f>
        <v>0</v>
      </c>
      <c r="Q32" s="50" t="n">
        <f aca="false">Q31*(1+Paths!C32)+Labour!AK32*gw_asian</f>
        <v>0</v>
      </c>
      <c r="R32" s="50" t="n">
        <f aca="false">R31*(1+Paths!C32)+Labour!AF32*family_mult</f>
        <v>0</v>
      </c>
      <c r="S32" s="66" t="n">
        <f aca="false">(N32+O32+P32+Q32+R32)/L32</f>
        <v>0.101726888616927</v>
      </c>
      <c r="T32" s="50" t="n">
        <f aca="false">SUM(E32:H32)*Paths!J32</f>
        <v>42200</v>
      </c>
      <c r="U32" s="65" t="n">
        <f aca="false">Paths!K32</f>
        <v>0</v>
      </c>
      <c r="V32" s="50" t="n">
        <f aca="false">IF(Gulf!E32=1,Gulf!B32,0)</f>
        <v>0</v>
      </c>
      <c r="W32" s="50" t="n">
        <f aca="false">L32+V32</f>
        <v>2005377.50202797</v>
      </c>
      <c r="X32" s="50" t="n">
        <f aca="false">W32+Labour!L32</f>
        <v>2005377.50202797</v>
      </c>
    </row>
    <row r="33" customFormat="false" ht="14.25" hidden="false" customHeight="false" outlineLevel="0" collapsed="false">
      <c r="A33" s="61" t="n">
        <v>1873</v>
      </c>
      <c r="B33" s="50" t="n">
        <f aca="false">L32</f>
        <v>2005377.50202797</v>
      </c>
      <c r="C33" s="65" t="n">
        <f aca="false">Paths!D33</f>
        <v>0</v>
      </c>
      <c r="D33" s="50" t="n">
        <f aca="false">B33*Paths!C33</f>
        <v>38102.1725385314</v>
      </c>
      <c r="E33" s="50" t="n">
        <f aca="false">Paths!E33*IF($A33&gt;=1896,mig_scale,1)</f>
        <v>110000</v>
      </c>
      <c r="F33" s="50" t="n">
        <f aca="false">Paths!F33*IF($A33&gt;=1896,mig_scale,1)</f>
        <v>25000</v>
      </c>
      <c r="G33" s="50" t="n">
        <f aca="false">Paths!G33*IF($A33&gt;=1896,mig_scale,1)</f>
        <v>500</v>
      </c>
      <c r="H33" s="50" t="n">
        <f aca="false">Paths!H33*IF($A33&gt;=1896,mig_scale,1)</f>
        <v>0</v>
      </c>
      <c r="I33" s="50" t="n">
        <f aca="false">E33*Paths!I33+(F33+G33+H33)*dep_asia</f>
        <v>29140</v>
      </c>
      <c r="J33" s="65" t="n">
        <f aca="false">Labour!AL33</f>
        <v>0</v>
      </c>
      <c r="K33" s="50" t="n">
        <f aca="false">SUM(E33:H33)-I33+J33</f>
        <v>106360</v>
      </c>
      <c r="L33" s="50" t="n">
        <f aca="false">B33+C33+D33+K33</f>
        <v>2149839.6745665</v>
      </c>
      <c r="M33" s="66" t="n">
        <f aca="false">IF(B33&gt;0,L33/B33-1,0)</f>
        <v>0.0720373956486704</v>
      </c>
      <c r="N33" s="50" t="n">
        <f aca="false">N32*(1+Paths!C33)+F33*(1-dep_asia)</f>
        <v>224600.00706279</v>
      </c>
      <c r="O33" s="50" t="n">
        <f aca="false">O32*(1+Paths!C33)+G33*(1-dep_asia)</f>
        <v>1636.82218279022</v>
      </c>
      <c r="P33" s="50" t="n">
        <f aca="false">P32*(1+Paths!C33)+H33*(1-dep_asia)</f>
        <v>0</v>
      </c>
      <c r="Q33" s="50" t="n">
        <f aca="false">Q32*(1+Paths!C33)+Labour!AK33*gw_asian</f>
        <v>0</v>
      </c>
      <c r="R33" s="50" t="n">
        <f aca="false">R32*(1+Paths!C33)+Labour!AF33*family_mult</f>
        <v>0</v>
      </c>
      <c r="S33" s="66" t="n">
        <f aca="false">(N33+O33+P33+Q33+R33)/L33</f>
        <v>0.105234279524216</v>
      </c>
      <c r="T33" s="50" t="n">
        <f aca="false">SUM(E33:H33)*Paths!J33</f>
        <v>54200</v>
      </c>
      <c r="U33" s="65" t="n">
        <f aca="false">Paths!K33</f>
        <v>0</v>
      </c>
      <c r="V33" s="50" t="n">
        <f aca="false">IF(Gulf!E33=1,Gulf!B33,0)</f>
        <v>0</v>
      </c>
      <c r="W33" s="50" t="n">
        <f aca="false">L33+V33</f>
        <v>2149839.6745665</v>
      </c>
      <c r="X33" s="50" t="n">
        <f aca="false">W33+Labour!L33</f>
        <v>2149839.6745665</v>
      </c>
    </row>
    <row r="34" customFormat="false" ht="14.25" hidden="false" customHeight="false" outlineLevel="0" collapsed="false">
      <c r="A34" s="61" t="n">
        <v>1874</v>
      </c>
      <c r="B34" s="50" t="n">
        <f aca="false">L33</f>
        <v>2149839.6745665</v>
      </c>
      <c r="C34" s="65" t="n">
        <f aca="false">Paths!D34</f>
        <v>0</v>
      </c>
      <c r="D34" s="50" t="n">
        <f aca="false">B34*Paths!C34</f>
        <v>40846.9538167635</v>
      </c>
      <c r="E34" s="50" t="n">
        <f aca="false">Paths!E34*IF($A34&gt;=1896,mig_scale,1)</f>
        <v>110000</v>
      </c>
      <c r="F34" s="50" t="n">
        <f aca="false">Paths!F34*IF($A34&gt;=1896,mig_scale,1)</f>
        <v>25000</v>
      </c>
      <c r="G34" s="50" t="n">
        <f aca="false">Paths!G34*IF($A34&gt;=1896,mig_scale,1)</f>
        <v>500</v>
      </c>
      <c r="H34" s="50" t="n">
        <f aca="false">Paths!H34*IF($A34&gt;=1896,mig_scale,1)</f>
        <v>0</v>
      </c>
      <c r="I34" s="50" t="n">
        <f aca="false">E34*Paths!I34+(F34+G34+H34)*dep_asia</f>
        <v>29140</v>
      </c>
      <c r="J34" s="65" t="n">
        <f aca="false">Labour!AL34</f>
        <v>0</v>
      </c>
      <c r="K34" s="50" t="n">
        <f aca="false">SUM(E34:H34)-I34+J34</f>
        <v>106360</v>
      </c>
      <c r="L34" s="50" t="n">
        <f aca="false">B34+C34+D34+K34</f>
        <v>2297046.62838326</v>
      </c>
      <c r="M34" s="66" t="n">
        <f aca="false">IF(B34&gt;0,L34/B34-1,0)</f>
        <v>0.0684734566759946</v>
      </c>
      <c r="N34" s="50" t="n">
        <f aca="false">N33*(1+Paths!C34)+F34*(1-dep_asia)</f>
        <v>246867.407196983</v>
      </c>
      <c r="O34" s="50" t="n">
        <f aca="false">O33*(1+Paths!C34)+G34*(1-dep_asia)</f>
        <v>2027.92180426324</v>
      </c>
      <c r="P34" s="50" t="n">
        <f aca="false">P33*(1+Paths!C34)+H34*(1-dep_asia)</f>
        <v>0</v>
      </c>
      <c r="Q34" s="50" t="n">
        <f aca="false">Q33*(1+Paths!C34)+Labour!AK34*gw_asian</f>
        <v>0</v>
      </c>
      <c r="R34" s="50" t="n">
        <f aca="false">R33*(1+Paths!C34)+Labour!AF34*family_mult</f>
        <v>0</v>
      </c>
      <c r="S34" s="66" t="n">
        <f aca="false">(N34+O34+P34+Q34+R34)/L34</f>
        <v>0.10835449569277</v>
      </c>
      <c r="T34" s="50" t="n">
        <f aca="false">SUM(E34:H34)*Paths!J34</f>
        <v>54200</v>
      </c>
      <c r="U34" s="65" t="n">
        <f aca="false">Paths!K34</f>
        <v>0</v>
      </c>
      <c r="V34" s="50" t="n">
        <f aca="false">IF(Gulf!E34=1,Gulf!B34,0)</f>
        <v>0</v>
      </c>
      <c r="W34" s="50" t="n">
        <f aca="false">L34+V34</f>
        <v>2297046.62838326</v>
      </c>
      <c r="X34" s="50" t="n">
        <f aca="false">W34+Labour!L34</f>
        <v>2297046.62838326</v>
      </c>
    </row>
    <row r="35" customFormat="false" ht="14.25" hidden="false" customHeight="false" outlineLevel="0" collapsed="false">
      <c r="A35" s="61" t="n">
        <v>1875</v>
      </c>
      <c r="B35" s="50" t="n">
        <f aca="false">L34</f>
        <v>2297046.62838326</v>
      </c>
      <c r="C35" s="65" t="n">
        <f aca="false">Paths!D35</f>
        <v>0</v>
      </c>
      <c r="D35" s="50" t="n">
        <f aca="false">B35*Paths!C35</f>
        <v>43643.885939282</v>
      </c>
      <c r="E35" s="50" t="n">
        <f aca="false">Paths!E35*IF($A35&gt;=1896,mig_scale,1)</f>
        <v>110000</v>
      </c>
      <c r="F35" s="50" t="n">
        <f aca="false">Paths!F35*IF($A35&gt;=1896,mig_scale,1)</f>
        <v>25000</v>
      </c>
      <c r="G35" s="50" t="n">
        <f aca="false">Paths!G35*IF($A35&gt;=1896,mig_scale,1)</f>
        <v>500</v>
      </c>
      <c r="H35" s="50" t="n">
        <f aca="false">Paths!H35*IF($A35&gt;=1896,mig_scale,1)</f>
        <v>0</v>
      </c>
      <c r="I35" s="50" t="n">
        <f aca="false">E35*Paths!I35+(F35+G35+H35)*dep_asia</f>
        <v>29140</v>
      </c>
      <c r="J35" s="65" t="n">
        <f aca="false">Labour!AL35</f>
        <v>0</v>
      </c>
      <c r="K35" s="50" t="n">
        <f aca="false">SUM(E35:H35)-I35+J35</f>
        <v>106360</v>
      </c>
      <c r="L35" s="50" t="n">
        <f aca="false">B35+C35+D35+K35</f>
        <v>2447050.51432255</v>
      </c>
      <c r="M35" s="66" t="n">
        <f aca="false">IF(B35&gt;0,L35/B35-1,0)</f>
        <v>0.0653029346839422</v>
      </c>
      <c r="N35" s="50" t="n">
        <f aca="false">N34*(1+Paths!C35)+F35*(1-dep_asia)</f>
        <v>269557.887933726</v>
      </c>
      <c r="O35" s="50" t="n">
        <f aca="false">O34*(1+Paths!C35)+G35*(1-dep_asia)</f>
        <v>2426.45231854424</v>
      </c>
      <c r="P35" s="50" t="n">
        <f aca="false">P34*(1+Paths!C35)+H35*(1-dep_asia)</f>
        <v>0</v>
      </c>
      <c r="Q35" s="50" t="n">
        <f aca="false">Q34*(1+Paths!C35)+Labour!AK35*gw_asian</f>
        <v>0</v>
      </c>
      <c r="R35" s="50" t="n">
        <f aca="false">R34*(1+Paths!C35)+Labour!AF35*family_mult</f>
        <v>0</v>
      </c>
      <c r="S35" s="66" t="n">
        <f aca="false">(N35+O35+P35+Q35+R35)/L35</f>
        <v>0.111147824150074</v>
      </c>
      <c r="T35" s="50" t="n">
        <f aca="false">SUM(E35:H35)*Paths!J35</f>
        <v>54200</v>
      </c>
      <c r="U35" s="65" t="n">
        <f aca="false">Paths!K35</f>
        <v>0</v>
      </c>
      <c r="V35" s="50" t="n">
        <f aca="false">IF(Gulf!E35=1,Gulf!B35,0)</f>
        <v>0</v>
      </c>
      <c r="W35" s="50" t="n">
        <f aca="false">L35+V35</f>
        <v>2447050.51432255</v>
      </c>
      <c r="X35" s="50" t="n">
        <f aca="false">W35+Labour!L35</f>
        <v>2447050.51432255</v>
      </c>
    </row>
    <row r="36" customFormat="false" ht="14.25" hidden="false" customHeight="false" outlineLevel="0" collapsed="false">
      <c r="A36" s="61" t="n">
        <v>1876</v>
      </c>
      <c r="B36" s="50" t="n">
        <f aca="false">L35</f>
        <v>2447050.51432255</v>
      </c>
      <c r="C36" s="65" t="n">
        <f aca="false">Paths!D36</f>
        <v>0</v>
      </c>
      <c r="D36" s="50" t="n">
        <f aca="false">B36*Paths!C36</f>
        <v>46493.9597721284</v>
      </c>
      <c r="E36" s="50" t="n">
        <f aca="false">Paths!E36*IF($A36&gt;=1896,mig_scale,1)</f>
        <v>110000</v>
      </c>
      <c r="F36" s="50" t="n">
        <f aca="false">Paths!F36*IF($A36&gt;=1896,mig_scale,1)</f>
        <v>25000</v>
      </c>
      <c r="G36" s="50" t="n">
        <f aca="false">Paths!G36*IF($A36&gt;=1896,mig_scale,1)</f>
        <v>500</v>
      </c>
      <c r="H36" s="50" t="n">
        <f aca="false">Paths!H36*IF($A36&gt;=1896,mig_scale,1)</f>
        <v>0</v>
      </c>
      <c r="I36" s="50" t="n">
        <f aca="false">E36*Paths!I36+(F36+G36+H36)*dep_asia</f>
        <v>29140</v>
      </c>
      <c r="J36" s="65" t="n">
        <f aca="false">Labour!AL36</f>
        <v>0</v>
      </c>
      <c r="K36" s="50" t="n">
        <f aca="false">SUM(E36:H36)-I36+J36</f>
        <v>106360</v>
      </c>
      <c r="L36" s="50" t="n">
        <f aca="false">B36+C36+D36+K36</f>
        <v>2599904.47409468</v>
      </c>
      <c r="M36" s="66" t="n">
        <f aca="false">IF(B36&gt;0,L36/B36-1,0)</f>
        <v>0.0624645706647562</v>
      </c>
      <c r="N36" s="50" t="n">
        <f aca="false">N35*(1+Paths!C36)+F36*(1-dep_asia)</f>
        <v>292679.487804467</v>
      </c>
      <c r="O36" s="50" t="n">
        <f aca="false">O35*(1+Paths!C36)+G36*(1-dep_asia)</f>
        <v>2832.55491259658</v>
      </c>
      <c r="P36" s="50" t="n">
        <f aca="false">P35*(1+Paths!C36)+H36*(1-dep_asia)</f>
        <v>0</v>
      </c>
      <c r="Q36" s="50" t="n">
        <f aca="false">Q35*(1+Paths!C36)+Labour!AK36*gw_asian</f>
        <v>0</v>
      </c>
      <c r="R36" s="50" t="n">
        <f aca="false">R35*(1+Paths!C36)+Labour!AF36*family_mult</f>
        <v>0</v>
      </c>
      <c r="S36" s="66" t="n">
        <f aca="false">(N36+O36+P36+Q36+R36)/L36</f>
        <v>0.113662654017304</v>
      </c>
      <c r="T36" s="50" t="n">
        <f aca="false">SUM(E36:H36)*Paths!J36</f>
        <v>54200</v>
      </c>
      <c r="U36" s="65" t="n">
        <f aca="false">Paths!K36</f>
        <v>6000000</v>
      </c>
      <c r="V36" s="50" t="n">
        <f aca="false">IF(Gulf!E36=1,Gulf!B36,0)</f>
        <v>0</v>
      </c>
      <c r="W36" s="50" t="n">
        <f aca="false">L36+V36</f>
        <v>2599904.47409468</v>
      </c>
      <c r="X36" s="50" t="n">
        <f aca="false">W36+Labour!L36</f>
        <v>2599904.47409468</v>
      </c>
    </row>
    <row r="37" customFormat="false" ht="14.25" hidden="false" customHeight="false" outlineLevel="0" collapsed="false">
      <c r="A37" s="61" t="n">
        <v>1877</v>
      </c>
      <c r="B37" s="50" t="n">
        <f aca="false">L36</f>
        <v>2599904.47409468</v>
      </c>
      <c r="C37" s="65" t="n">
        <f aca="false">Paths!D37</f>
        <v>0</v>
      </c>
      <c r="D37" s="50" t="n">
        <f aca="false">B37*Paths!C37</f>
        <v>49398.1850077988</v>
      </c>
      <c r="E37" s="50" t="n">
        <f aca="false">Paths!E37*IF($A37&gt;=1896,mig_scale,1)</f>
        <v>110000</v>
      </c>
      <c r="F37" s="50" t="n">
        <f aca="false">Paths!F37*IF($A37&gt;=1896,mig_scale,1)</f>
        <v>25000</v>
      </c>
      <c r="G37" s="50" t="n">
        <f aca="false">Paths!G37*IF($A37&gt;=1896,mig_scale,1)</f>
        <v>500</v>
      </c>
      <c r="H37" s="50" t="n">
        <f aca="false">Paths!H37*IF($A37&gt;=1896,mig_scale,1)</f>
        <v>1000</v>
      </c>
      <c r="I37" s="50" t="n">
        <f aca="false">E37*Paths!I37+(F37+G37+H37)*dep_asia</f>
        <v>29420</v>
      </c>
      <c r="J37" s="65" t="n">
        <f aca="false">Labour!AL37</f>
        <v>0</v>
      </c>
      <c r="K37" s="50" t="n">
        <f aca="false">SUM(E37:H37)-I37+J37</f>
        <v>107080</v>
      </c>
      <c r="L37" s="50" t="n">
        <f aca="false">B37+C37+D37+K37</f>
        <v>2756382.65910247</v>
      </c>
      <c r="M37" s="66" t="n">
        <f aca="false">IF(B37&gt;0,L37/B37-1,0)</f>
        <v>0.0601861285931618</v>
      </c>
      <c r="N37" s="50" t="n">
        <f aca="false">N36*(1+Paths!C37)+F37*(1-dep_asia)</f>
        <v>316240.398072752</v>
      </c>
      <c r="O37" s="50" t="n">
        <f aca="false">O36*(1+Paths!C37)+G37*(1-dep_asia)</f>
        <v>3246.37345593591</v>
      </c>
      <c r="P37" s="50" t="n">
        <f aca="false">P36*(1+Paths!C37)+H37*(1-dep_asia)</f>
        <v>720</v>
      </c>
      <c r="Q37" s="50" t="n">
        <f aca="false">Q36*(1+Paths!C37)+Labour!AK37*gw_asian</f>
        <v>0</v>
      </c>
      <c r="R37" s="50" t="n">
        <f aca="false">R36*(1+Paths!C37)+Labour!AF37*family_mult</f>
        <v>0</v>
      </c>
      <c r="S37" s="66" t="n">
        <f aca="false">(N37+O37+P37+Q37+R37)/L37</f>
        <v>0.116169201134414</v>
      </c>
      <c r="T37" s="50" t="n">
        <f aca="false">SUM(E37:H37)*Paths!J37</f>
        <v>54600</v>
      </c>
      <c r="U37" s="65" t="n">
        <f aca="false">Paths!K37</f>
        <v>6055000</v>
      </c>
      <c r="V37" s="50" t="n">
        <f aca="false">IF(Gulf!E37=1,Gulf!B37,0)</f>
        <v>0</v>
      </c>
      <c r="W37" s="50" t="n">
        <f aca="false">L37+V37</f>
        <v>2756382.65910247</v>
      </c>
      <c r="X37" s="50" t="n">
        <f aca="false">W37+Labour!L37</f>
        <v>2756382.65910247</v>
      </c>
    </row>
    <row r="38" customFormat="false" ht="14.25" hidden="false" customHeight="false" outlineLevel="0" collapsed="false">
      <c r="A38" s="61" t="n">
        <v>1878</v>
      </c>
      <c r="B38" s="50" t="n">
        <f aca="false">L37</f>
        <v>2756382.65910247</v>
      </c>
      <c r="C38" s="65" t="n">
        <f aca="false">Paths!D38</f>
        <v>0</v>
      </c>
      <c r="D38" s="50" t="n">
        <f aca="false">B38*Paths!C38</f>
        <v>52371.270522947</v>
      </c>
      <c r="E38" s="50" t="n">
        <f aca="false">Paths!E38*IF($A38&gt;=1896,mig_scale,1)</f>
        <v>110000</v>
      </c>
      <c r="F38" s="50" t="n">
        <f aca="false">Paths!F38*IF($A38&gt;=1896,mig_scale,1)</f>
        <v>25000</v>
      </c>
      <c r="G38" s="50" t="n">
        <f aca="false">Paths!G38*IF($A38&gt;=1896,mig_scale,1)</f>
        <v>500</v>
      </c>
      <c r="H38" s="50" t="n">
        <f aca="false">Paths!H38*IF($A38&gt;=1896,mig_scale,1)</f>
        <v>1000</v>
      </c>
      <c r="I38" s="50" t="n">
        <f aca="false">E38*Paths!I38+(F38+G38+H38)*dep_asia</f>
        <v>29420</v>
      </c>
      <c r="J38" s="65" t="n">
        <f aca="false">Labour!AL38</f>
        <v>0</v>
      </c>
      <c r="K38" s="50" t="n">
        <f aca="false">SUM(E38:H38)-I38+J38</f>
        <v>107080</v>
      </c>
      <c r="L38" s="50" t="n">
        <f aca="false">B38+C38+D38+K38</f>
        <v>2915833.92962542</v>
      </c>
      <c r="M38" s="66" t="n">
        <f aca="false">IF(B38&gt;0,L38/B38-1,0)</f>
        <v>0.0578480168551296</v>
      </c>
      <c r="N38" s="50" t="n">
        <f aca="false">N37*(1+Paths!C38)+F38*(1-dep_asia)</f>
        <v>340248.965636134</v>
      </c>
      <c r="O38" s="50" t="n">
        <f aca="false">O37*(1+Paths!C38)+G38*(1-dep_asia)</f>
        <v>3668.0545515987</v>
      </c>
      <c r="P38" s="50" t="n">
        <f aca="false">P37*(1+Paths!C38)+H38*(1-dep_asia)</f>
        <v>1453.68</v>
      </c>
      <c r="Q38" s="50" t="n">
        <f aca="false">Q37*(1+Paths!C38)+Labour!AK38*gw_asian</f>
        <v>0</v>
      </c>
      <c r="R38" s="50" t="n">
        <f aca="false">R37*(1+Paths!C38)+Labour!AF38*family_mult</f>
        <v>0</v>
      </c>
      <c r="S38" s="66" t="n">
        <f aca="false">(N38+O38+P38+Q38+R38)/L38</f>
        <v>0.118446629171401</v>
      </c>
      <c r="T38" s="50" t="n">
        <f aca="false">SUM(E38:H38)*Paths!J38</f>
        <v>54600</v>
      </c>
      <c r="U38" s="65" t="n">
        <f aca="false">Paths!K38</f>
        <v>6109000</v>
      </c>
      <c r="V38" s="50" t="n">
        <f aca="false">IF(Gulf!E38=1,Gulf!B38,0)</f>
        <v>0</v>
      </c>
      <c r="W38" s="50" t="n">
        <f aca="false">L38+V38</f>
        <v>2915833.92962542</v>
      </c>
      <c r="X38" s="50" t="n">
        <f aca="false">W38+Labour!L38</f>
        <v>2915833.92962542</v>
      </c>
    </row>
    <row r="39" customFormat="false" ht="14.25" hidden="false" customHeight="false" outlineLevel="0" collapsed="false">
      <c r="A39" s="61" t="n">
        <v>1879</v>
      </c>
      <c r="B39" s="50" t="n">
        <f aca="false">L38</f>
        <v>2915833.92962542</v>
      </c>
      <c r="C39" s="65" t="n">
        <f aca="false">Paths!D39</f>
        <v>0</v>
      </c>
      <c r="D39" s="50" t="n">
        <f aca="false">B39*Paths!C39</f>
        <v>55400.844662883</v>
      </c>
      <c r="E39" s="50" t="n">
        <f aca="false">Paths!E39*IF($A39&gt;=1896,mig_scale,1)</f>
        <v>110000</v>
      </c>
      <c r="F39" s="50" t="n">
        <f aca="false">Paths!F39*IF($A39&gt;=1896,mig_scale,1)</f>
        <v>25000</v>
      </c>
      <c r="G39" s="50" t="n">
        <f aca="false">Paths!G39*IF($A39&gt;=1896,mig_scale,1)</f>
        <v>500</v>
      </c>
      <c r="H39" s="50" t="n">
        <f aca="false">Paths!H39*IF($A39&gt;=1896,mig_scale,1)</f>
        <v>1000</v>
      </c>
      <c r="I39" s="50" t="n">
        <f aca="false">E39*Paths!I39+(F39+G39+H39)*dep_asia</f>
        <v>29420</v>
      </c>
      <c r="J39" s="65" t="n">
        <f aca="false">Labour!AL39</f>
        <v>0</v>
      </c>
      <c r="K39" s="50" t="n">
        <f aca="false">SUM(E39:H39)-I39+J39</f>
        <v>107080</v>
      </c>
      <c r="L39" s="50" t="n">
        <f aca="false">B39+C39+D39+K39</f>
        <v>3078314.7742883</v>
      </c>
      <c r="M39" s="66" t="n">
        <f aca="false">IF(B39&gt;0,L39/B39-1,0)</f>
        <v>0.055723627814344</v>
      </c>
      <c r="N39" s="50" t="n">
        <f aca="false">N38*(1+Paths!C39)+F39*(1-dep_asia)</f>
        <v>364713.69598322</v>
      </c>
      <c r="O39" s="50" t="n">
        <f aca="false">O38*(1+Paths!C39)+G39*(1-dep_asia)</f>
        <v>4097.74758807907</v>
      </c>
      <c r="P39" s="50" t="n">
        <f aca="false">P38*(1+Paths!C39)+H39*(1-dep_asia)</f>
        <v>2201.29992</v>
      </c>
      <c r="Q39" s="50" t="n">
        <f aca="false">Q38*(1+Paths!C39)+Labour!AK39*gw_asian</f>
        <v>0</v>
      </c>
      <c r="R39" s="50" t="n">
        <f aca="false">R38*(1+Paths!C39)+Labour!AF39*family_mult</f>
        <v>0</v>
      </c>
      <c r="S39" s="66" t="n">
        <f aca="false">(N39+O39+P39+Q39+R39)/L39</f>
        <v>0.120524628147255</v>
      </c>
      <c r="T39" s="50" t="n">
        <f aca="false">SUM(E39:H39)*Paths!J39</f>
        <v>54600</v>
      </c>
      <c r="U39" s="65" t="n">
        <f aca="false">Paths!K39</f>
        <v>6164000</v>
      </c>
      <c r="V39" s="50" t="n">
        <f aca="false">IF(Gulf!E39=1,Gulf!B39,0)</f>
        <v>0</v>
      </c>
      <c r="W39" s="50" t="n">
        <f aca="false">L39+V39</f>
        <v>3078314.7742883</v>
      </c>
      <c r="X39" s="50" t="n">
        <f aca="false">W39+Labour!L39</f>
        <v>3078314.7742883</v>
      </c>
    </row>
    <row r="40" customFormat="false" ht="14.25" hidden="false" customHeight="false" outlineLevel="0" collapsed="false">
      <c r="A40" s="61" t="n">
        <v>1880</v>
      </c>
      <c r="B40" s="50" t="n">
        <f aca="false">L39</f>
        <v>3078314.7742883</v>
      </c>
      <c r="C40" s="65" t="n">
        <f aca="false">Paths!D40</f>
        <v>0</v>
      </c>
      <c r="D40" s="50" t="n">
        <f aca="false">B40*Paths!C40</f>
        <v>58487.9807114778</v>
      </c>
      <c r="E40" s="50" t="n">
        <f aca="false">Paths!E40*IF($A40&gt;=1896,mig_scale,1)</f>
        <v>110000</v>
      </c>
      <c r="F40" s="50" t="n">
        <f aca="false">Paths!F40*IF($A40&gt;=1896,mig_scale,1)</f>
        <v>25000</v>
      </c>
      <c r="G40" s="50" t="n">
        <f aca="false">Paths!G40*IF($A40&gt;=1896,mig_scale,1)</f>
        <v>500</v>
      </c>
      <c r="H40" s="50" t="n">
        <f aca="false">Paths!H40*IF($A40&gt;=1896,mig_scale,1)</f>
        <v>1000</v>
      </c>
      <c r="I40" s="50" t="n">
        <f aca="false">E40*Paths!I40+(F40+G40+H40)*dep_asia</f>
        <v>29420</v>
      </c>
      <c r="J40" s="65" t="n">
        <f aca="false">Labour!AL40</f>
        <v>8680.10079474584</v>
      </c>
      <c r="K40" s="50" t="n">
        <f aca="false">SUM(E40:H40)-I40+J40</f>
        <v>115760.100794746</v>
      </c>
      <c r="L40" s="50" t="n">
        <f aca="false">B40+C40+D40+K40</f>
        <v>3252562.85579453</v>
      </c>
      <c r="M40" s="66" t="n">
        <f aca="false">IF(B40&gt;0,L40/B40-1,0)</f>
        <v>0.0566050239441511</v>
      </c>
      <c r="N40" s="50" t="n">
        <f aca="false">N39*(1+Paths!C40)+F40*(1-dep_asia)</f>
        <v>389643.256206901</v>
      </c>
      <c r="O40" s="50" t="n">
        <f aca="false">O39*(1+Paths!C40)+G40*(1-dep_asia)</f>
        <v>4535.60479225257</v>
      </c>
      <c r="P40" s="50" t="n">
        <f aca="false">P39*(1+Paths!C40)+H40*(1-dep_asia)</f>
        <v>2963.12461848</v>
      </c>
      <c r="Q40" s="50" t="n">
        <f aca="false">Q39*(1+Paths!C40)+Labour!AK40*gw_asian</f>
        <v>0</v>
      </c>
      <c r="R40" s="50" t="n">
        <f aca="false">R39*(1+Paths!C40)+Labour!AF40*family_mult</f>
        <v>82.4790753371262</v>
      </c>
      <c r="S40" s="66" t="n">
        <f aca="false">(N40+O40+P40+Q40+R40)/L40</f>
        <v>0.122126606711168</v>
      </c>
      <c r="T40" s="50" t="n">
        <f aca="false">SUM(E40:H40)*Paths!J40</f>
        <v>54600</v>
      </c>
      <c r="U40" s="65" t="n">
        <f aca="false">Paths!K40</f>
        <v>6218000</v>
      </c>
      <c r="V40" s="50" t="n">
        <f aca="false">IF(Gulf!E40=1,Gulf!B40,0)</f>
        <v>0</v>
      </c>
      <c r="W40" s="50" t="n">
        <f aca="false">L40+V40</f>
        <v>3252562.85579453</v>
      </c>
      <c r="X40" s="50" t="n">
        <f aca="false">W40+Labour!L40</f>
        <v>3252562.85579453</v>
      </c>
    </row>
    <row r="41" customFormat="false" ht="14.25" hidden="false" customHeight="false" outlineLevel="0" collapsed="false">
      <c r="A41" s="61" t="n">
        <v>1881</v>
      </c>
      <c r="B41" s="50" t="n">
        <f aca="false">L40</f>
        <v>3252562.85579453</v>
      </c>
      <c r="C41" s="65" t="n">
        <f aca="false">Paths!D41</f>
        <v>0</v>
      </c>
      <c r="D41" s="50" t="n">
        <f aca="false">B41*Paths!C41</f>
        <v>61798.694260096</v>
      </c>
      <c r="E41" s="50" t="n">
        <f aca="false">Paths!E41*IF($A41&gt;=1896,mig_scale,1)</f>
        <v>110000</v>
      </c>
      <c r="F41" s="50" t="n">
        <f aca="false">Paths!F41*IF($A41&gt;=1896,mig_scale,1)</f>
        <v>25000</v>
      </c>
      <c r="G41" s="50" t="n">
        <f aca="false">Paths!G41*IF($A41&gt;=1896,mig_scale,1)</f>
        <v>500</v>
      </c>
      <c r="H41" s="50" t="n">
        <f aca="false">Paths!H41*IF($A41&gt;=1896,mig_scale,1)</f>
        <v>1000</v>
      </c>
      <c r="I41" s="50" t="n">
        <f aca="false">E41*Paths!I41+(F41+G41+H41)*dep_asia</f>
        <v>29420</v>
      </c>
      <c r="J41" s="65" t="n">
        <f aca="false">Labour!AL41</f>
        <v>1372.00513636402</v>
      </c>
      <c r="K41" s="50" t="n">
        <f aca="false">SUM(E41:H41)-I41+J41</f>
        <v>108452.005136364</v>
      </c>
      <c r="L41" s="50" t="n">
        <f aca="false">B41+C41+D41+K41</f>
        <v>3422813.55519099</v>
      </c>
      <c r="M41" s="66" t="n">
        <f aca="false">IF(B41&gt;0,L41/B41-1,0)</f>
        <v>0.0523435539741082</v>
      </c>
      <c r="N41" s="50" t="n">
        <f aca="false">N40*(1+Paths!C41)+F41*(1-dep_asia)</f>
        <v>415046.478074832</v>
      </c>
      <c r="O41" s="50" t="n">
        <f aca="false">O40*(1+Paths!C41)+G41*(1-dep_asia)</f>
        <v>4981.78128330537</v>
      </c>
      <c r="P41" s="50" t="n">
        <f aca="false">P40*(1+Paths!C41)+H41*(1-dep_asia)</f>
        <v>3739.42398623112</v>
      </c>
      <c r="Q41" s="50" t="n">
        <f aca="false">Q40*(1+Paths!C41)+Labour!AK41*gw_asian</f>
        <v>0</v>
      </c>
      <c r="R41" s="50" t="n">
        <f aca="false">R40*(1+Paths!C41)+Labour!AF41*family_mult</f>
        <v>84.0461777685316</v>
      </c>
      <c r="S41" s="66" t="n">
        <f aca="false">(N41+O41+P41+Q41+R41)/L41</f>
        <v>0.123831381022589</v>
      </c>
      <c r="T41" s="50" t="n">
        <f aca="false">SUM(E41:H41)*Paths!J41</f>
        <v>54600</v>
      </c>
      <c r="U41" s="65" t="n">
        <f aca="false">Paths!K41</f>
        <v>6273000</v>
      </c>
      <c r="V41" s="50" t="n">
        <f aca="false">IF(Gulf!E41=1,Gulf!B41,0)</f>
        <v>0</v>
      </c>
      <c r="W41" s="50" t="n">
        <f aca="false">L41+V41</f>
        <v>3422813.55519099</v>
      </c>
      <c r="X41" s="50" t="n">
        <f aca="false">W41+Labour!L41</f>
        <v>3422813.55519099</v>
      </c>
    </row>
    <row r="42" customFormat="false" ht="14.25" hidden="false" customHeight="false" outlineLevel="0" collapsed="false">
      <c r="A42" s="61" t="n">
        <v>1882</v>
      </c>
      <c r="B42" s="50" t="n">
        <f aca="false">L41</f>
        <v>3422813.55519099</v>
      </c>
      <c r="C42" s="65" t="n">
        <f aca="false">Paths!D42</f>
        <v>0</v>
      </c>
      <c r="D42" s="50" t="n">
        <f aca="false">B42*Paths!C42</f>
        <v>65033.4575486288</v>
      </c>
      <c r="E42" s="50" t="n">
        <f aca="false">Paths!E42*IF($A42&gt;=1896,mig_scale,1)</f>
        <v>110000</v>
      </c>
      <c r="F42" s="50" t="n">
        <f aca="false">Paths!F42*IF($A42&gt;=1896,mig_scale,1)</f>
        <v>25000</v>
      </c>
      <c r="G42" s="50" t="n">
        <f aca="false">Paths!G42*IF($A42&gt;=1896,mig_scale,1)</f>
        <v>500</v>
      </c>
      <c r="H42" s="50" t="n">
        <f aca="false">Paths!H42*IF($A42&gt;=1896,mig_scale,1)</f>
        <v>1000</v>
      </c>
      <c r="I42" s="50" t="n">
        <f aca="false">E42*Paths!I42+(F42+G42+H42)*dep_asia</f>
        <v>29420</v>
      </c>
      <c r="J42" s="65" t="n">
        <f aca="false">Labour!AL42</f>
        <v>4061.28217114764</v>
      </c>
      <c r="K42" s="50" t="n">
        <f aca="false">SUM(E42:H42)-I42+J42</f>
        <v>111141.282171148</v>
      </c>
      <c r="L42" s="50" t="n">
        <f aca="false">B42+C42+D42+K42</f>
        <v>3598988.29491076</v>
      </c>
      <c r="M42" s="66" t="n">
        <f aca="false">IF(B42&gt;0,L42/B42-1,0)</f>
        <v>0.0514707379993258</v>
      </c>
      <c r="N42" s="50" t="n">
        <f aca="false">N41*(1+Paths!C42)+F42*(1-dep_asia)</f>
        <v>440932.361158254</v>
      </c>
      <c r="O42" s="50" t="n">
        <f aca="false">O41*(1+Paths!C42)+G42*(1-dep_asia)</f>
        <v>5436.43512768817</v>
      </c>
      <c r="P42" s="50" t="n">
        <f aca="false">P41*(1+Paths!C42)+H42*(1-dep_asia)</f>
        <v>4530.47304196951</v>
      </c>
      <c r="Q42" s="50" t="n">
        <f aca="false">Q41*(1+Paths!C42)+Labour!AK42*gw_asian</f>
        <v>0</v>
      </c>
      <c r="R42" s="50" t="n">
        <f aca="false">R41*(1+Paths!C42)+Labour!AF42*family_mult</f>
        <v>98.6299739394566</v>
      </c>
      <c r="S42" s="66" t="n">
        <f aca="false">(N42+O42+P42+Q42+R42)/L42</f>
        <v>0.125312410695971</v>
      </c>
      <c r="T42" s="50" t="n">
        <f aca="false">SUM(E42:H42)*Paths!J42</f>
        <v>54600</v>
      </c>
      <c r="U42" s="65" t="n">
        <f aca="false">Paths!K42</f>
        <v>6327000</v>
      </c>
      <c r="V42" s="50" t="n">
        <f aca="false">IF(Gulf!E42=1,Gulf!B42,0)</f>
        <v>0</v>
      </c>
      <c r="W42" s="50" t="n">
        <f aca="false">L42+V42</f>
        <v>3598988.29491076</v>
      </c>
      <c r="X42" s="50" t="n">
        <f aca="false">W42+Labour!L42</f>
        <v>3598988.29491076</v>
      </c>
    </row>
    <row r="43" customFormat="false" ht="14.25" hidden="false" customHeight="false" outlineLevel="0" collapsed="false">
      <c r="A43" s="61" t="n">
        <v>1883</v>
      </c>
      <c r="B43" s="50" t="n">
        <f aca="false">L42</f>
        <v>3598988.29491076</v>
      </c>
      <c r="C43" s="65" t="n">
        <f aca="false">Paths!D43</f>
        <v>0</v>
      </c>
      <c r="D43" s="50" t="n">
        <f aca="false">B43*Paths!C43</f>
        <v>68380.7776033045</v>
      </c>
      <c r="E43" s="50" t="n">
        <f aca="false">Paths!E43*IF($A43&gt;=1896,mig_scale,1)</f>
        <v>110000</v>
      </c>
      <c r="F43" s="50" t="n">
        <f aca="false">Paths!F43*IF($A43&gt;=1896,mig_scale,1)</f>
        <v>25000</v>
      </c>
      <c r="G43" s="50" t="n">
        <f aca="false">Paths!G43*IF($A43&gt;=1896,mig_scale,1)</f>
        <v>500</v>
      </c>
      <c r="H43" s="50" t="n">
        <f aca="false">Paths!H43*IF($A43&gt;=1896,mig_scale,1)</f>
        <v>1000</v>
      </c>
      <c r="I43" s="50" t="n">
        <f aca="false">E43*Paths!I43+(F43+G43+H43)*dep_asia</f>
        <v>29420</v>
      </c>
      <c r="J43" s="65" t="n">
        <f aca="false">Labour!AL43</f>
        <v>5717.16956148783</v>
      </c>
      <c r="K43" s="50" t="n">
        <f aca="false">SUM(E43:H43)-I43+J43</f>
        <v>112797.169561488</v>
      </c>
      <c r="L43" s="50" t="n">
        <f aca="false">B43+C43+D43+K43</f>
        <v>3780166.24207556</v>
      </c>
      <c r="M43" s="66" t="n">
        <f aca="false">IF(B43&gt;0,L43/B43-1,0)</f>
        <v>0.0503413549360501</v>
      </c>
      <c r="N43" s="50" t="n">
        <f aca="false">N42*(1+Paths!C43)+F43*(1-dep_asia)</f>
        <v>467310.076020261</v>
      </c>
      <c r="O43" s="50" t="n">
        <f aca="false">O42*(1+Paths!C43)+G43*(1-dep_asia)</f>
        <v>5899.72739511425</v>
      </c>
      <c r="P43" s="50" t="n">
        <f aca="false">P42*(1+Paths!C43)+H43*(1-dep_asia)</f>
        <v>5336.55202976693</v>
      </c>
      <c r="Q43" s="50" t="n">
        <f aca="false">Q42*(1+Paths!C43)+Labour!AK43*gw_asian</f>
        <v>0</v>
      </c>
      <c r="R43" s="50" t="n">
        <f aca="false">R42*(1+Paths!C43)+Labour!AF43*family_mult</f>
        <v>144.418260809097</v>
      </c>
      <c r="S43" s="66" t="n">
        <f aca="false">(N43+O43+P43+Q43+R43)/L43</f>
        <v>0.126632201615323</v>
      </c>
      <c r="T43" s="50" t="n">
        <f aca="false">SUM(E43:H43)*Paths!J43</f>
        <v>54600</v>
      </c>
      <c r="U43" s="65" t="n">
        <f aca="false">Paths!K43</f>
        <v>6382000</v>
      </c>
      <c r="V43" s="50" t="n">
        <f aca="false">IF(Gulf!E43=1,Gulf!B43,0)</f>
        <v>0</v>
      </c>
      <c r="W43" s="50" t="n">
        <f aca="false">L43+V43</f>
        <v>3780166.24207556</v>
      </c>
      <c r="X43" s="50" t="n">
        <f aca="false">W43+Labour!L43</f>
        <v>3780166.24207556</v>
      </c>
    </row>
    <row r="44" customFormat="false" ht="14.25" hidden="false" customHeight="false" outlineLevel="0" collapsed="false">
      <c r="A44" s="61" t="n">
        <v>1884</v>
      </c>
      <c r="B44" s="50" t="n">
        <f aca="false">L43</f>
        <v>3780166.24207556</v>
      </c>
      <c r="C44" s="65" t="n">
        <f aca="false">Paths!D44</f>
        <v>0</v>
      </c>
      <c r="D44" s="50" t="n">
        <f aca="false">B44*Paths!C44</f>
        <v>71823.1585994356</v>
      </c>
      <c r="E44" s="50" t="n">
        <f aca="false">Paths!E44*IF($A44&gt;=1896,mig_scale,1)</f>
        <v>110000</v>
      </c>
      <c r="F44" s="50" t="n">
        <f aca="false">Paths!F44*IF($A44&gt;=1896,mig_scale,1)</f>
        <v>25000</v>
      </c>
      <c r="G44" s="50" t="n">
        <f aca="false">Paths!G44*IF($A44&gt;=1896,mig_scale,1)</f>
        <v>500</v>
      </c>
      <c r="H44" s="50" t="n">
        <f aca="false">Paths!H44*IF($A44&gt;=1896,mig_scale,1)</f>
        <v>1000</v>
      </c>
      <c r="I44" s="50" t="n">
        <f aca="false">E44*Paths!I44+(F44+G44+H44)*dep_asia</f>
        <v>29420</v>
      </c>
      <c r="J44" s="65" t="n">
        <f aca="false">Labour!AL44</f>
        <v>9166.98444833441</v>
      </c>
      <c r="K44" s="50" t="n">
        <f aca="false">SUM(E44:H44)-I44+J44</f>
        <v>116246.984448334</v>
      </c>
      <c r="L44" s="50" t="n">
        <f aca="false">B44+C44+D44+K44</f>
        <v>3968236.38512333</v>
      </c>
      <c r="M44" s="66" t="n">
        <f aca="false">IF(B44&gt;0,L44/B44-1,0)</f>
        <v>0.0497518180429299</v>
      </c>
      <c r="N44" s="50" t="n">
        <f aca="false">N43*(1+Paths!C44)+F44*(1-dep_asia)</f>
        <v>494188.967464646</v>
      </c>
      <c r="O44" s="50" t="n">
        <f aca="false">O43*(1+Paths!C44)+G44*(1-dep_asia)</f>
        <v>6371.82221562142</v>
      </c>
      <c r="P44" s="50" t="n">
        <f aca="false">P43*(1+Paths!C44)+H44*(1-dep_asia)</f>
        <v>6157.9465183325</v>
      </c>
      <c r="Q44" s="50" t="n">
        <f aca="false">Q43*(1+Paths!C44)+Labour!AK44*gw_asian</f>
        <v>0</v>
      </c>
      <c r="R44" s="50" t="n">
        <f aca="false">R43*(1+Paths!C44)+Labour!AF44*family_mult</f>
        <v>254.950956961526</v>
      </c>
      <c r="S44" s="66" t="n">
        <f aca="false">(N44+O44+P44+Q44+R44)/L44</f>
        <v>0.127757935252087</v>
      </c>
      <c r="T44" s="50" t="n">
        <f aca="false">SUM(E44:H44)*Paths!J44</f>
        <v>54600</v>
      </c>
      <c r="U44" s="65" t="n">
        <f aca="false">Paths!K44</f>
        <v>6436000</v>
      </c>
      <c r="V44" s="50" t="n">
        <f aca="false">IF(Gulf!E44=1,Gulf!B44,0)</f>
        <v>0</v>
      </c>
      <c r="W44" s="50" t="n">
        <f aca="false">L44+V44</f>
        <v>3968236.38512333</v>
      </c>
      <c r="X44" s="50" t="n">
        <f aca="false">W44+Labour!L44</f>
        <v>3968236.38512333</v>
      </c>
    </row>
    <row r="45" customFormat="false" ht="14.25" hidden="false" customHeight="false" outlineLevel="0" collapsed="false">
      <c r="A45" s="61" t="n">
        <v>1885</v>
      </c>
      <c r="B45" s="50" t="n">
        <f aca="false">L44</f>
        <v>3968236.38512333</v>
      </c>
      <c r="C45" s="65" t="n">
        <f aca="false">Paths!D45</f>
        <v>0</v>
      </c>
      <c r="D45" s="50" t="n">
        <f aca="false">B45*Paths!C45</f>
        <v>75396.4913173432</v>
      </c>
      <c r="E45" s="50" t="n">
        <f aca="false">Paths!E45*IF($A45&gt;=1896,mig_scale,1)</f>
        <v>110000</v>
      </c>
      <c r="F45" s="50" t="n">
        <f aca="false">Paths!F45*IF($A45&gt;=1896,mig_scale,1)</f>
        <v>25000</v>
      </c>
      <c r="G45" s="50" t="n">
        <f aca="false">Paths!G45*IF($A45&gt;=1896,mig_scale,1)</f>
        <v>3000</v>
      </c>
      <c r="H45" s="50" t="n">
        <f aca="false">Paths!H45*IF($A45&gt;=1896,mig_scale,1)</f>
        <v>1000</v>
      </c>
      <c r="I45" s="50" t="n">
        <f aca="false">E45*Paths!I45+(F45+G45+H45)*dep_asia</f>
        <v>30120</v>
      </c>
      <c r="J45" s="65" t="n">
        <f aca="false">Labour!AL45</f>
        <v>4327.13373253708</v>
      </c>
      <c r="K45" s="50" t="n">
        <f aca="false">SUM(E45:H45)-I45+J45</f>
        <v>113207.133732537</v>
      </c>
      <c r="L45" s="50" t="n">
        <f aca="false">B45+C45+D45+K45</f>
        <v>4156840.01017321</v>
      </c>
      <c r="M45" s="66" t="n">
        <f aca="false">IF(B45&gt;0,L45/B45-1,0)</f>
        <v>0.0475283241081463</v>
      </c>
      <c r="N45" s="50" t="n">
        <f aca="false">N44*(1+Paths!C45)+F45*(1-dep_asia)</f>
        <v>521578.557846474</v>
      </c>
      <c r="O45" s="50" t="n">
        <f aca="false">O44*(1+Paths!C45)+G45*(1-dep_asia)</f>
        <v>8652.88683771822</v>
      </c>
      <c r="P45" s="50" t="n">
        <f aca="false">P44*(1+Paths!C45)+H45*(1-dep_asia)</f>
        <v>6994.94750218082</v>
      </c>
      <c r="Q45" s="50" t="n">
        <f aca="false">Q44*(1+Paths!C45)+Labour!AK45*gw_asian</f>
        <v>0</v>
      </c>
      <c r="R45" s="50" t="n">
        <f aca="false">R44*(1+Paths!C45)+Labour!AF45*family_mult</f>
        <v>293.578332471157</v>
      </c>
      <c r="S45" s="66" t="n">
        <f aca="false">(N45+O45+P45+Q45+R45)/L45</f>
        <v>0.129309756739097</v>
      </c>
      <c r="T45" s="50" t="n">
        <f aca="false">SUM(E45:H45)*Paths!J45</f>
        <v>55600</v>
      </c>
      <c r="U45" s="65" t="n">
        <f aca="false">Paths!K45</f>
        <v>6491000</v>
      </c>
      <c r="V45" s="50" t="n">
        <f aca="false">IF(Gulf!E45=1,Gulf!B45,0)</f>
        <v>0</v>
      </c>
      <c r="W45" s="50" t="n">
        <f aca="false">L45+V45</f>
        <v>4156840.01017321</v>
      </c>
      <c r="X45" s="50" t="n">
        <f aca="false">W45+Labour!L45</f>
        <v>4156840.01017321</v>
      </c>
    </row>
    <row r="46" customFormat="false" ht="14.25" hidden="false" customHeight="false" outlineLevel="0" collapsed="false">
      <c r="A46" s="61" t="n">
        <v>1886</v>
      </c>
      <c r="B46" s="50" t="n">
        <f aca="false">L45</f>
        <v>4156840.01017321</v>
      </c>
      <c r="C46" s="65" t="n">
        <f aca="false">Paths!D46</f>
        <v>0</v>
      </c>
      <c r="D46" s="50" t="n">
        <f aca="false">B46*Paths!C46</f>
        <v>78979.9601932909</v>
      </c>
      <c r="E46" s="50" t="n">
        <f aca="false">Paths!E46*IF($A46&gt;=1896,mig_scale,1)</f>
        <v>110000</v>
      </c>
      <c r="F46" s="50" t="n">
        <f aca="false">Paths!F46*IF($A46&gt;=1896,mig_scale,1)</f>
        <v>25000</v>
      </c>
      <c r="G46" s="50" t="n">
        <f aca="false">Paths!G46*IF($A46&gt;=1896,mig_scale,1)</f>
        <v>8000</v>
      </c>
      <c r="H46" s="50" t="n">
        <f aca="false">Paths!H46*IF($A46&gt;=1896,mig_scale,1)</f>
        <v>1000</v>
      </c>
      <c r="I46" s="50" t="n">
        <f aca="false">E46*Paths!I46+(F46+G46+H46)*dep_asia</f>
        <v>31520</v>
      </c>
      <c r="J46" s="65" t="n">
        <f aca="false">Labour!AL46</f>
        <v>9729.33719047153</v>
      </c>
      <c r="K46" s="50" t="n">
        <f aca="false">SUM(E46:H46)-I46+J46</f>
        <v>122209.337190472</v>
      </c>
      <c r="L46" s="50" t="n">
        <f aca="false">B46+C46+D46+K46</f>
        <v>4358029.30755697</v>
      </c>
      <c r="M46" s="66" t="n">
        <f aca="false">IF(B46&gt;0,L46/B46-1,0)</f>
        <v>0.0483995768158947</v>
      </c>
      <c r="N46" s="50" t="n">
        <f aca="false">N45*(1+Paths!C46)+F46*(1-dep_asia)</f>
        <v>549488.550445557</v>
      </c>
      <c r="O46" s="50" t="n">
        <f aca="false">O45*(1+Paths!C46)+G46*(1-dep_asia)</f>
        <v>14577.2916876349</v>
      </c>
      <c r="P46" s="50" t="n">
        <f aca="false">P45*(1+Paths!C46)+H46*(1-dep_asia)</f>
        <v>7847.85150472225</v>
      </c>
      <c r="Q46" s="50" t="n">
        <f aca="false">Q45*(1+Paths!C46)+Labour!AK46*gw_asian</f>
        <v>0</v>
      </c>
      <c r="R46" s="50" t="n">
        <f aca="false">R45*(1+Paths!C46)+Labour!AF46*family_mult</f>
        <v>411.949166725157</v>
      </c>
      <c r="S46" s="66" t="n">
        <f aca="false">(N46+O46+P46+Q46+R46)/L46</f>
        <v>0.131326708109146</v>
      </c>
      <c r="T46" s="50" t="n">
        <f aca="false">SUM(E46:H46)*Paths!J46</f>
        <v>57600</v>
      </c>
      <c r="U46" s="65" t="n">
        <f aca="false">Paths!K46</f>
        <v>6545000</v>
      </c>
      <c r="V46" s="50" t="n">
        <f aca="false">IF(Gulf!E46=1,Gulf!B46,0)</f>
        <v>0</v>
      </c>
      <c r="W46" s="50" t="n">
        <f aca="false">L46+V46</f>
        <v>4358029.30755697</v>
      </c>
      <c r="X46" s="50" t="n">
        <f aca="false">W46+Labour!L46</f>
        <v>4358029.30755697</v>
      </c>
    </row>
    <row r="47" customFormat="false" ht="14.25" hidden="false" customHeight="false" outlineLevel="0" collapsed="false">
      <c r="A47" s="61" t="n">
        <v>1887</v>
      </c>
      <c r="B47" s="50" t="n">
        <f aca="false">L46</f>
        <v>4358029.30755697</v>
      </c>
      <c r="C47" s="65" t="n">
        <f aca="false">Paths!D47</f>
        <v>0</v>
      </c>
      <c r="D47" s="50" t="n">
        <f aca="false">B47*Paths!C47</f>
        <v>82802.5568435824</v>
      </c>
      <c r="E47" s="50" t="n">
        <f aca="false">Paths!E47*IF($A47&gt;=1896,mig_scale,1)</f>
        <v>110000</v>
      </c>
      <c r="F47" s="50" t="n">
        <f aca="false">Paths!F47*IF($A47&gt;=1896,mig_scale,1)</f>
        <v>25000</v>
      </c>
      <c r="G47" s="50" t="n">
        <f aca="false">Paths!G47*IF($A47&gt;=1896,mig_scale,1)</f>
        <v>8000</v>
      </c>
      <c r="H47" s="50" t="n">
        <f aca="false">Paths!H47*IF($A47&gt;=1896,mig_scale,1)</f>
        <v>1000</v>
      </c>
      <c r="I47" s="50" t="n">
        <f aca="false">E47*Paths!I47+(F47+G47+H47)*dep_asia</f>
        <v>31520</v>
      </c>
      <c r="J47" s="65" t="n">
        <f aca="false">Labour!AL47</f>
        <v>19836.461691797</v>
      </c>
      <c r="K47" s="50" t="n">
        <f aca="false">SUM(E47:H47)-I47+J47</f>
        <v>132316.461691797</v>
      </c>
      <c r="L47" s="50" t="n">
        <f aca="false">B47+C47+D47+K47</f>
        <v>4573148.32609235</v>
      </c>
      <c r="M47" s="66" t="n">
        <f aca="false">IF(B47&gt;0,L47/B47-1,0)</f>
        <v>0.0493615355367978</v>
      </c>
      <c r="N47" s="50" t="n">
        <f aca="false">N46*(1+Paths!C47)+F47*(1-dep_asia)</f>
        <v>577928.832904023</v>
      </c>
      <c r="O47" s="50" t="n">
        <f aca="false">O46*(1+Paths!C47)+G47*(1-dep_asia)</f>
        <v>20614.2602296999</v>
      </c>
      <c r="P47" s="50" t="n">
        <f aca="false">P46*(1+Paths!C47)+H47*(1-dep_asia)</f>
        <v>8716.96068331198</v>
      </c>
      <c r="Q47" s="50" t="n">
        <f aca="false">Q46*(1+Paths!C47)+Labour!AK47*gw_asian</f>
        <v>0</v>
      </c>
      <c r="R47" s="50" t="n">
        <f aca="false">R46*(1+Paths!C47)+Labour!AF47*family_mult</f>
        <v>783.539866881438</v>
      </c>
      <c r="S47" s="66" t="n">
        <f aca="false">(N47+O47+P47+Q47+R47)/L47</f>
        <v>0.132959517235575</v>
      </c>
      <c r="T47" s="50" t="n">
        <f aca="false">SUM(E47:H47)*Paths!J47</f>
        <v>57600</v>
      </c>
      <c r="U47" s="65" t="n">
        <f aca="false">Paths!K47</f>
        <v>6600000</v>
      </c>
      <c r="V47" s="50" t="n">
        <f aca="false">IF(Gulf!E47=1,Gulf!B47,0)</f>
        <v>0</v>
      </c>
      <c r="W47" s="50" t="n">
        <f aca="false">L47+V47</f>
        <v>4573148.32609235</v>
      </c>
      <c r="X47" s="50" t="n">
        <f aca="false">W47+Labour!L47</f>
        <v>4573148.32609235</v>
      </c>
    </row>
    <row r="48" customFormat="false" ht="14.25" hidden="false" customHeight="false" outlineLevel="0" collapsed="false">
      <c r="A48" s="61" t="n">
        <v>1888</v>
      </c>
      <c r="B48" s="50" t="n">
        <f aca="false">L47</f>
        <v>4573148.32609235</v>
      </c>
      <c r="C48" s="65" t="n">
        <f aca="false">Paths!D48</f>
        <v>0</v>
      </c>
      <c r="D48" s="50" t="n">
        <f aca="false">B48*Paths!C48</f>
        <v>86889.8181957546</v>
      </c>
      <c r="E48" s="50" t="n">
        <f aca="false">Paths!E48*IF($A48&gt;=1896,mig_scale,1)</f>
        <v>65000</v>
      </c>
      <c r="F48" s="50" t="n">
        <f aca="false">Paths!F48*IF($A48&gt;=1896,mig_scale,1)</f>
        <v>22000</v>
      </c>
      <c r="G48" s="50" t="n">
        <f aca="false">Paths!G48*IF($A48&gt;=1896,mig_scale,1)</f>
        <v>8000</v>
      </c>
      <c r="H48" s="50" t="n">
        <f aca="false">Paths!H48*IF($A48&gt;=1896,mig_scale,1)</f>
        <v>1000</v>
      </c>
      <c r="I48" s="50" t="n">
        <f aca="false">E48*Paths!I48+(F48+G48+H48)*dep_asia</f>
        <v>21680</v>
      </c>
      <c r="J48" s="65" t="n">
        <f aca="false">Labour!AL48</f>
        <v>30471.1382654402</v>
      </c>
      <c r="K48" s="50" t="n">
        <f aca="false">SUM(E48:H48)-I48+J48</f>
        <v>104791.13826544</v>
      </c>
      <c r="L48" s="50" t="n">
        <f aca="false">B48+C48+D48+K48</f>
        <v>4764829.28255354</v>
      </c>
      <c r="M48" s="66" t="n">
        <f aca="false">IF(B48&gt;0,L48/B48-1,0)</f>
        <v>0.0419144411668322</v>
      </c>
      <c r="N48" s="50" t="n">
        <f aca="false">N47*(1+Paths!C48)+F48*(1-dep_asia)</f>
        <v>604749.480729199</v>
      </c>
      <c r="O48" s="50" t="n">
        <f aca="false">O47*(1+Paths!C48)+G48*(1-dep_asia)</f>
        <v>26765.9311740642</v>
      </c>
      <c r="P48" s="50" t="n">
        <f aca="false">P47*(1+Paths!C48)+H48*(1-dep_asia)</f>
        <v>9602.5829362949</v>
      </c>
      <c r="Q48" s="50" t="n">
        <f aca="false">Q47*(1+Paths!C48)+Labour!AK48*gw_asian</f>
        <v>0</v>
      </c>
      <c r="R48" s="50" t="n">
        <f aca="false">R47*(1+Paths!C48)+Labour!AF48*family_mult</f>
        <v>1307.70476020891</v>
      </c>
      <c r="S48" s="66" t="n">
        <f aca="false">(N48+O48+P48+Q48+R48)/L48</f>
        <v>0.134826593253197</v>
      </c>
      <c r="T48" s="50" t="n">
        <f aca="false">SUM(E48:H48)*Paths!J48</f>
        <v>28800</v>
      </c>
      <c r="U48" s="65" t="n">
        <f aca="false">Paths!K48</f>
        <v>6662000</v>
      </c>
      <c r="V48" s="50" t="n">
        <f aca="false">IF(Gulf!E48=1,Gulf!B48,0)</f>
        <v>0</v>
      </c>
      <c r="W48" s="50" t="n">
        <f aca="false">L48+V48</f>
        <v>4764829.28255354</v>
      </c>
      <c r="X48" s="50" t="n">
        <f aca="false">W48+Labour!L48</f>
        <v>4764829.28255354</v>
      </c>
    </row>
    <row r="49" customFormat="false" ht="14.25" hidden="false" customHeight="false" outlineLevel="0" collapsed="false">
      <c r="A49" s="61" t="n">
        <v>1889</v>
      </c>
      <c r="B49" s="50" t="n">
        <f aca="false">L48</f>
        <v>4764829.28255354</v>
      </c>
      <c r="C49" s="65" t="n">
        <f aca="false">Paths!D49</f>
        <v>0</v>
      </c>
      <c r="D49" s="50" t="n">
        <f aca="false">B49*Paths!C49</f>
        <v>90531.7563685173</v>
      </c>
      <c r="E49" s="50" t="n">
        <f aca="false">Paths!E49*IF($A49&gt;=1896,mig_scale,1)</f>
        <v>65000</v>
      </c>
      <c r="F49" s="50" t="n">
        <f aca="false">Paths!F49*IF($A49&gt;=1896,mig_scale,1)</f>
        <v>22000</v>
      </c>
      <c r="G49" s="50" t="n">
        <f aca="false">Paths!G49*IF($A49&gt;=1896,mig_scale,1)</f>
        <v>8000</v>
      </c>
      <c r="H49" s="50" t="n">
        <f aca="false">Paths!H49*IF($A49&gt;=1896,mig_scale,1)</f>
        <v>1000</v>
      </c>
      <c r="I49" s="50" t="n">
        <f aca="false">E49*Paths!I49+(F49+G49+H49)*dep_asia</f>
        <v>21680</v>
      </c>
      <c r="J49" s="65" t="n">
        <f aca="false">Labour!AL49</f>
        <v>38945.323427025</v>
      </c>
      <c r="K49" s="50" t="n">
        <f aca="false">SUM(E49:H49)-I49+J49</f>
        <v>113265.323427025</v>
      </c>
      <c r="L49" s="50" t="n">
        <f aca="false">B49+C49+D49+K49</f>
        <v>4968626.36234909</v>
      </c>
      <c r="M49" s="66" t="n">
        <f aca="false">IF(B49&gt;0,L49/B49-1,0)</f>
        <v>0.0427711189027793</v>
      </c>
      <c r="N49" s="50" t="n">
        <f aca="false">N48*(1+Paths!C49)+F49*(1-dep_asia)</f>
        <v>632079.720863054</v>
      </c>
      <c r="O49" s="50" t="n">
        <f aca="false">O48*(1+Paths!C49)+G49*(1-dep_asia)</f>
        <v>33034.4838663715</v>
      </c>
      <c r="P49" s="50" t="n">
        <f aca="false">P48*(1+Paths!C49)+H49*(1-dep_asia)</f>
        <v>10505.0320120845</v>
      </c>
      <c r="Q49" s="50" t="n">
        <f aca="false">Q48*(1+Paths!C49)+Labour!AK49*gw_asian</f>
        <v>0</v>
      </c>
      <c r="R49" s="50" t="n">
        <f aca="false">R48*(1+Paths!C49)+Labour!AF49*family_mult</f>
        <v>2077.98792533213</v>
      </c>
      <c r="S49" s="66" t="n">
        <f aca="false">(N49+O49+P49+Q49+R49)/L49</f>
        <v>0.136395288203245</v>
      </c>
      <c r="T49" s="50" t="n">
        <f aca="false">SUM(E49:H49)*Paths!J49</f>
        <v>28800</v>
      </c>
      <c r="U49" s="65" t="n">
        <f aca="false">Paths!K49</f>
        <v>6743000</v>
      </c>
      <c r="V49" s="50" t="n">
        <f aca="false">IF(Gulf!E49=1,Gulf!B49,0)</f>
        <v>0</v>
      </c>
      <c r="W49" s="50" t="n">
        <f aca="false">L49+V49</f>
        <v>4968626.36234909</v>
      </c>
      <c r="X49" s="50" t="n">
        <f aca="false">W49+Labour!L49</f>
        <v>4968626.36234909</v>
      </c>
    </row>
    <row r="50" customFormat="false" ht="14.25" hidden="false" customHeight="false" outlineLevel="0" collapsed="false">
      <c r="A50" s="61" t="n">
        <v>1890</v>
      </c>
      <c r="B50" s="50" t="n">
        <f aca="false">L49</f>
        <v>4968626.36234909</v>
      </c>
      <c r="C50" s="65" t="n">
        <f aca="false">Paths!D50</f>
        <v>0</v>
      </c>
      <c r="D50" s="50" t="n">
        <f aca="false">B50*Paths!C50</f>
        <v>94403.9008846326</v>
      </c>
      <c r="E50" s="50" t="n">
        <f aca="false">Paths!E50*IF($A50&gt;=1896,mig_scale,1)</f>
        <v>65000</v>
      </c>
      <c r="F50" s="50" t="n">
        <f aca="false">Paths!F50*IF($A50&gt;=1896,mig_scale,1)</f>
        <v>22000</v>
      </c>
      <c r="G50" s="50" t="n">
        <f aca="false">Paths!G50*IF($A50&gt;=1896,mig_scale,1)</f>
        <v>8000</v>
      </c>
      <c r="H50" s="50" t="n">
        <f aca="false">Paths!H50*IF($A50&gt;=1896,mig_scale,1)</f>
        <v>5000</v>
      </c>
      <c r="I50" s="50" t="n">
        <f aca="false">E50*Paths!I50+(F50+G50+H50)*dep_asia</f>
        <v>22800</v>
      </c>
      <c r="J50" s="65" t="n">
        <f aca="false">Labour!AL50</f>
        <v>48769.9263599514</v>
      </c>
      <c r="K50" s="50" t="n">
        <f aca="false">SUM(E50:H50)-I50+J50</f>
        <v>125969.926359951</v>
      </c>
      <c r="L50" s="50" t="n">
        <f aca="false">B50+C50+D50+K50</f>
        <v>5189000.18959367</v>
      </c>
      <c r="M50" s="66" t="n">
        <f aca="false">IF(B50&gt;0,L50/B50-1,0)</f>
        <v>0.0443530688712113</v>
      </c>
      <c r="N50" s="50" t="n">
        <f aca="false">N49*(1+Paths!C50)+F50*(1-dep_asia)</f>
        <v>659929.235559452</v>
      </c>
      <c r="O50" s="50" t="n">
        <f aca="false">O49*(1+Paths!C50)+G50*(1-dep_asia)</f>
        <v>39422.1390598325</v>
      </c>
      <c r="P50" s="50" t="n">
        <f aca="false">P49*(1+Paths!C50)+H50*(1-dep_asia)</f>
        <v>14304.6276203141</v>
      </c>
      <c r="Q50" s="50" t="n">
        <f aca="false">Q49*(1+Paths!C50)+Labour!AK50*gw_asian</f>
        <v>0</v>
      </c>
      <c r="R50" s="50" t="n">
        <f aca="false">R49*(1+Paths!C50)+Labour!AF50*family_mult</f>
        <v>3144.64806215085</v>
      </c>
      <c r="S50" s="66" t="n">
        <f aca="false">(N50+O50+P50+Q50+R50)/L50</f>
        <v>0.138138489903944</v>
      </c>
      <c r="T50" s="50" t="n">
        <f aca="false">SUM(E50:H50)*Paths!J50</f>
        <v>30000</v>
      </c>
      <c r="U50" s="65" t="n">
        <f aca="false">Paths!K50</f>
        <v>6806324</v>
      </c>
      <c r="V50" s="50" t="n">
        <f aca="false">IF(Gulf!E50=1,Gulf!B50,0)</f>
        <v>0</v>
      </c>
      <c r="W50" s="50" t="n">
        <f aca="false">L50+V50</f>
        <v>5189000.18959367</v>
      </c>
      <c r="X50" s="50" t="n">
        <f aca="false">W50+Labour!L50</f>
        <v>5269854.60165932</v>
      </c>
    </row>
    <row r="51" customFormat="false" ht="14.25" hidden="false" customHeight="false" outlineLevel="0" collapsed="false">
      <c r="A51" s="61" t="n">
        <v>1891</v>
      </c>
      <c r="B51" s="50" t="n">
        <f aca="false">L50</f>
        <v>5189000.18959367</v>
      </c>
      <c r="C51" s="65" t="n">
        <f aca="false">Paths!D51</f>
        <v>0</v>
      </c>
      <c r="D51" s="50" t="n">
        <f aca="false">B51*Paths!C51</f>
        <v>98591.0036022797</v>
      </c>
      <c r="E51" s="50" t="n">
        <f aca="false">Paths!E51*IF($A51&gt;=1896,mig_scale,1)</f>
        <v>65000</v>
      </c>
      <c r="F51" s="50" t="n">
        <f aca="false">Paths!F51*IF($A51&gt;=1896,mig_scale,1)</f>
        <v>22000</v>
      </c>
      <c r="G51" s="50" t="n">
        <f aca="false">Paths!G51*IF($A51&gt;=1896,mig_scale,1)</f>
        <v>8000</v>
      </c>
      <c r="H51" s="50" t="n">
        <f aca="false">Paths!H51*IF($A51&gt;=1896,mig_scale,1)</f>
        <v>5000</v>
      </c>
      <c r="I51" s="50" t="n">
        <f aca="false">E51*Paths!I51+(F51+G51+H51)*dep_asia</f>
        <v>22800</v>
      </c>
      <c r="J51" s="65" t="n">
        <f aca="false">Labour!AL51</f>
        <v>63636.1941401632</v>
      </c>
      <c r="K51" s="50" t="n">
        <f aca="false">SUM(E51:H51)-I51+J51</f>
        <v>140836.194140163</v>
      </c>
      <c r="L51" s="50" t="n">
        <f aca="false">B51+C51+D51+K51</f>
        <v>5428427.38733611</v>
      </c>
      <c r="M51" s="66" t="n">
        <f aca="false">IF(B51&gt;0,L51/B51-1,0)</f>
        <v>0.0461412967805637</v>
      </c>
      <c r="N51" s="50" t="n">
        <f aca="false">N50*(1+Paths!C51)+F51*(1-dep_asia)</f>
        <v>688307.891035081</v>
      </c>
      <c r="O51" s="50" t="n">
        <f aca="false">O50*(1+Paths!C51)+G51*(1-dep_asia)</f>
        <v>45931.1597019693</v>
      </c>
      <c r="P51" s="50" t="n">
        <f aca="false">P50*(1+Paths!C51)+H51*(1-dep_asia)</f>
        <v>18176.4155451001</v>
      </c>
      <c r="Q51" s="50" t="n">
        <f aca="false">Q50*(1+Paths!C51)+Labour!AK51*gw_asian</f>
        <v>2619.68295092695</v>
      </c>
      <c r="R51" s="50" t="n">
        <f aca="false">R50*(1+Paths!C51)+Labour!AF51*family_mult</f>
        <v>4426.27044417546</v>
      </c>
      <c r="S51" s="66" t="n">
        <f aca="false">(N51+O51+P51+Q51+R51)/L51</f>
        <v>0.139904500048944</v>
      </c>
      <c r="T51" s="50" t="n">
        <f aca="false">SUM(E51:H51)*Paths!J51</f>
        <v>30000</v>
      </c>
      <c r="U51" s="65" t="n">
        <f aca="false">Paths!K51</f>
        <v>6868654</v>
      </c>
      <c r="V51" s="50" t="n">
        <f aca="false">IF(Gulf!E51=1,Gulf!B51,0)</f>
        <v>0</v>
      </c>
      <c r="W51" s="50" t="n">
        <f aca="false">L51+V51</f>
        <v>5428427.38733611</v>
      </c>
      <c r="X51" s="50" t="n">
        <f aca="false">W51+Labour!L51</f>
        <v>5559983.04268544</v>
      </c>
    </row>
    <row r="52" customFormat="false" ht="14.25" hidden="false" customHeight="false" outlineLevel="0" collapsed="false">
      <c r="A52" s="61" t="n">
        <v>1892</v>
      </c>
      <c r="B52" s="50" t="n">
        <f aca="false">L51</f>
        <v>5428427.38733611</v>
      </c>
      <c r="C52" s="65" t="n">
        <f aca="false">Paths!D52</f>
        <v>0</v>
      </c>
      <c r="D52" s="50" t="n">
        <f aca="false">B52*Paths!C52</f>
        <v>103140.120359386</v>
      </c>
      <c r="E52" s="50" t="n">
        <f aca="false">Paths!E52*IF($A52&gt;=1896,mig_scale,1)</f>
        <v>65000</v>
      </c>
      <c r="F52" s="50" t="n">
        <f aca="false">Paths!F52*IF($A52&gt;=1896,mig_scale,1)</f>
        <v>22000</v>
      </c>
      <c r="G52" s="50" t="n">
        <f aca="false">Paths!G52*IF($A52&gt;=1896,mig_scale,1)</f>
        <v>8000</v>
      </c>
      <c r="H52" s="50" t="n">
        <f aca="false">Paths!H52*IF($A52&gt;=1896,mig_scale,1)</f>
        <v>5000</v>
      </c>
      <c r="I52" s="50" t="n">
        <f aca="false">E52*Paths!I52+(F52+G52+H52)*dep_asia</f>
        <v>22800</v>
      </c>
      <c r="J52" s="65" t="n">
        <f aca="false">Labour!AL52</f>
        <v>80611.9725562885</v>
      </c>
      <c r="K52" s="50" t="n">
        <f aca="false">SUM(E52:H52)-I52+J52</f>
        <v>157811.972556289</v>
      </c>
      <c r="L52" s="50" t="n">
        <f aca="false">B52+C52+D52+K52</f>
        <v>5689379.48025179</v>
      </c>
      <c r="M52" s="66" t="n">
        <f aca="false">IF(B52&gt;0,L52/B52-1,0)</f>
        <v>0.0480713979014338</v>
      </c>
      <c r="N52" s="50" t="n">
        <f aca="false">N51*(1+Paths!C52)+F52*(1-dep_asia)</f>
        <v>717225.740964748</v>
      </c>
      <c r="O52" s="50" t="n">
        <f aca="false">O51*(1+Paths!C52)+G52*(1-dep_asia)</f>
        <v>52563.8517363067</v>
      </c>
      <c r="P52" s="50" t="n">
        <f aca="false">P51*(1+Paths!C52)+H52*(1-dep_asia)</f>
        <v>22121.767440457</v>
      </c>
      <c r="Q52" s="50" t="n">
        <f aca="false">Q51*(1+Paths!C52)+Labour!AK52*gw_asian</f>
        <v>6931.8601603127</v>
      </c>
      <c r="R52" s="50" t="n">
        <f aca="false">R51*(1+Paths!C52)+Labour!AF52*family_mult</f>
        <v>6125.65581726578</v>
      </c>
      <c r="S52" s="66" t="n">
        <f aca="false">(N52+O52+P52+Q52+R52)/L52</f>
        <v>0.141486233940483</v>
      </c>
      <c r="T52" s="50" t="n">
        <f aca="false">SUM(E52:H52)*Paths!J52</f>
        <v>30000</v>
      </c>
      <c r="U52" s="65" t="n">
        <f aca="false">Paths!K52</f>
        <v>6930990</v>
      </c>
      <c r="V52" s="50" t="n">
        <f aca="false">IF(Gulf!E52=1,Gulf!B52,0)</f>
        <v>0</v>
      </c>
      <c r="W52" s="50" t="n">
        <f aca="false">L52+V52</f>
        <v>5689379.48025179</v>
      </c>
      <c r="X52" s="50" t="n">
        <f aca="false">W52+Labour!L52</f>
        <v>5855767.90928504</v>
      </c>
    </row>
    <row r="53" customFormat="false" ht="14.25" hidden="false" customHeight="false" outlineLevel="0" collapsed="false">
      <c r="A53" s="61" t="n">
        <v>1893</v>
      </c>
      <c r="B53" s="50" t="n">
        <f aca="false">L52</f>
        <v>5689379.48025179</v>
      </c>
      <c r="C53" s="65" t="n">
        <f aca="false">Paths!D53</f>
        <v>0</v>
      </c>
      <c r="D53" s="50" t="n">
        <f aca="false">B53*Paths!C53</f>
        <v>108098.210124784</v>
      </c>
      <c r="E53" s="50" t="n">
        <f aca="false">Paths!E53*IF($A53&gt;=1896,mig_scale,1)</f>
        <v>65000</v>
      </c>
      <c r="F53" s="50" t="n">
        <f aca="false">Paths!F53*IF($A53&gt;=1896,mig_scale,1)</f>
        <v>22000</v>
      </c>
      <c r="G53" s="50" t="n">
        <f aca="false">Paths!G53*IF($A53&gt;=1896,mig_scale,1)</f>
        <v>8000</v>
      </c>
      <c r="H53" s="50" t="n">
        <f aca="false">Paths!H53*IF($A53&gt;=1896,mig_scale,1)</f>
        <v>5000</v>
      </c>
      <c r="I53" s="50" t="n">
        <f aca="false">E53*Paths!I53+(F53+G53+H53)*dep_asia</f>
        <v>22800</v>
      </c>
      <c r="J53" s="65" t="n">
        <f aca="false">Labour!AL53</f>
        <v>91700.6910045759</v>
      </c>
      <c r="K53" s="50" t="n">
        <f aca="false">SUM(E53:H53)-I53+J53</f>
        <v>168900.691004576</v>
      </c>
      <c r="L53" s="50" t="n">
        <f aca="false">B53+C53+D53+K53</f>
        <v>5966378.38138115</v>
      </c>
      <c r="M53" s="66" t="n">
        <f aca="false">IF(B53&gt;0,L53/B53-1,0)</f>
        <v>0.0486870144786162</v>
      </c>
      <c r="N53" s="50" t="n">
        <f aca="false">N52*(1+Paths!C53)+F53*(1-dep_asia)</f>
        <v>746693.030043078</v>
      </c>
      <c r="O53" s="50" t="n">
        <f aca="false">O52*(1+Paths!C53)+G53*(1-dep_asia)</f>
        <v>59322.5649192966</v>
      </c>
      <c r="P53" s="50" t="n">
        <f aca="false">P52*(1+Paths!C53)+H53*(1-dep_asia)</f>
        <v>26142.0810218257</v>
      </c>
      <c r="Q53" s="50" t="n">
        <f aca="false">Q52*(1+Paths!C53)+Labour!AK53*gw_asian</f>
        <v>12454.5506040359</v>
      </c>
      <c r="R53" s="50" t="n">
        <f aca="false">R52*(1+Paths!C53)+Labour!AF53*family_mult</f>
        <v>8239.33006099996</v>
      </c>
      <c r="S53" s="66" t="n">
        <f aca="false">(N53+O53+P53+Q53+R53)/L53</f>
        <v>0.142942921506733</v>
      </c>
      <c r="T53" s="50" t="n">
        <f aca="false">SUM(E53:H53)*Paths!J53</f>
        <v>30000</v>
      </c>
      <c r="U53" s="65" t="n">
        <f aca="false">Paths!K53</f>
        <v>6994331</v>
      </c>
      <c r="V53" s="50" t="n">
        <f aca="false">IF(Gulf!E53=1,Gulf!B53,0)</f>
        <v>0</v>
      </c>
      <c r="W53" s="50" t="n">
        <f aca="false">L53+V53</f>
        <v>5966378.38138115</v>
      </c>
      <c r="X53" s="50" t="n">
        <f aca="false">W53+Labour!L53</f>
        <v>6143423.50466119</v>
      </c>
    </row>
    <row r="54" customFormat="false" ht="14.25" hidden="false" customHeight="false" outlineLevel="0" collapsed="false">
      <c r="A54" s="61" t="n">
        <v>1894</v>
      </c>
      <c r="B54" s="50" t="n">
        <f aca="false">L53</f>
        <v>5966378.38138115</v>
      </c>
      <c r="C54" s="65" t="n">
        <f aca="false">Paths!D54</f>
        <v>0</v>
      </c>
      <c r="D54" s="50" t="n">
        <f aca="false">B54*Paths!C54</f>
        <v>113361.189246242</v>
      </c>
      <c r="E54" s="50" t="n">
        <f aca="false">Paths!E54*IF($A54&gt;=1896,mig_scale,1)</f>
        <v>65000</v>
      </c>
      <c r="F54" s="50" t="n">
        <f aca="false">Paths!F54*IF($A54&gt;=1896,mig_scale,1)</f>
        <v>22000</v>
      </c>
      <c r="G54" s="50" t="n">
        <f aca="false">Paths!G54*IF($A54&gt;=1896,mig_scale,1)</f>
        <v>8000</v>
      </c>
      <c r="H54" s="50" t="n">
        <f aca="false">Paths!H54*IF($A54&gt;=1896,mig_scale,1)</f>
        <v>5000</v>
      </c>
      <c r="I54" s="50" t="n">
        <f aca="false">E54*Paths!I54+(F54+G54+H54)*dep_asia</f>
        <v>22800</v>
      </c>
      <c r="J54" s="65" t="n">
        <f aca="false">Labour!AL54</f>
        <v>86457.9462506673</v>
      </c>
      <c r="K54" s="50" t="n">
        <f aca="false">SUM(E54:H54)-I54+J54</f>
        <v>163657.946250667</v>
      </c>
      <c r="L54" s="50" t="n">
        <f aca="false">B54+C54+D54+K54</f>
        <v>6243397.51687806</v>
      </c>
      <c r="M54" s="66" t="n">
        <f aca="false">IF(B54&gt;0,L54/B54-1,0)</f>
        <v>0.0464300313840944</v>
      </c>
      <c r="N54" s="50" t="n">
        <f aca="false">N53*(1+Paths!C54)+F54*(1-dep_asia)</f>
        <v>776720.197613896</v>
      </c>
      <c r="O54" s="50" t="n">
        <f aca="false">O53*(1+Paths!C54)+G54*(1-dep_asia)</f>
        <v>66209.6936527632</v>
      </c>
      <c r="P54" s="50" t="n">
        <f aca="false">P53*(1+Paths!C54)+H54*(1-dep_asia)</f>
        <v>30238.7805612403</v>
      </c>
      <c r="Q54" s="50" t="n">
        <f aca="false">Q53*(1+Paths!C54)+Labour!AK54*gw_asian</f>
        <v>18427.4490597858</v>
      </c>
      <c r="R54" s="50" t="n">
        <f aca="false">R53*(1+Paths!C54)+Labour!AF54*family_mult</f>
        <v>10172.2274132468</v>
      </c>
      <c r="S54" s="66" t="n">
        <f aca="false">(N54+O54+P54+Q54+R54)/L54</f>
        <v>0.144435517018281</v>
      </c>
      <c r="T54" s="50" t="n">
        <f aca="false">SUM(E54:H54)*Paths!J54</f>
        <v>30000</v>
      </c>
      <c r="U54" s="65" t="n">
        <f aca="false">Paths!K54</f>
        <v>7057679</v>
      </c>
      <c r="V54" s="50" t="n">
        <f aca="false">IF(Gulf!E54=1,Gulf!B54,0)</f>
        <v>0</v>
      </c>
      <c r="W54" s="50" t="n">
        <f aca="false">L54+V54</f>
        <v>6243397.51687806</v>
      </c>
      <c r="X54" s="50" t="n">
        <f aca="false">W54+Labour!L54</f>
        <v>6429886.92643254</v>
      </c>
    </row>
    <row r="55" customFormat="false" ht="14.25" hidden="false" customHeight="false" outlineLevel="0" collapsed="false">
      <c r="A55" s="61" t="n">
        <v>1895</v>
      </c>
      <c r="B55" s="50" t="n">
        <f aca="false">L54</f>
        <v>6243397.51687806</v>
      </c>
      <c r="C55" s="65" t="n">
        <f aca="false">Paths!D55</f>
        <v>0</v>
      </c>
      <c r="D55" s="50" t="n">
        <f aca="false">B55*Paths!C55</f>
        <v>118624.552820683</v>
      </c>
      <c r="E55" s="50" t="n">
        <f aca="false">Paths!E55*IF($A55&gt;=1896,mig_scale,1)</f>
        <v>65000</v>
      </c>
      <c r="F55" s="50" t="n">
        <f aca="false">Paths!F55*IF($A55&gt;=1896,mig_scale,1)</f>
        <v>22000</v>
      </c>
      <c r="G55" s="50" t="n">
        <f aca="false">Paths!G55*IF($A55&gt;=1896,mig_scale,1)</f>
        <v>8000</v>
      </c>
      <c r="H55" s="50" t="n">
        <f aca="false">Paths!H55*IF($A55&gt;=1896,mig_scale,1)</f>
        <v>5000</v>
      </c>
      <c r="I55" s="50" t="n">
        <f aca="false">E55*Paths!I55+(F55+G55+H55)*dep_asia</f>
        <v>22800</v>
      </c>
      <c r="J55" s="65" t="n">
        <f aca="false">Labour!AL55</f>
        <v>88453.3559203792</v>
      </c>
      <c r="K55" s="50" t="n">
        <f aca="false">SUM(E55:H55)-I55+J55</f>
        <v>165653.355920379</v>
      </c>
      <c r="L55" s="50" t="n">
        <f aca="false">B55+C55+D55+K55</f>
        <v>6527675.42561912</v>
      </c>
      <c r="M55" s="66" t="n">
        <f aca="false">IF(B55&gt;0,L55/B55-1,0)</f>
        <v>0.0455325658782035</v>
      </c>
      <c r="N55" s="50" t="n">
        <f aca="false">N54*(1+Paths!C55)+F55*(1-dep_asia)</f>
        <v>807317.88136856</v>
      </c>
      <c r="O55" s="50" t="n">
        <f aca="false">O54*(1+Paths!C55)+G55*(1-dep_asia)</f>
        <v>73227.6778321657</v>
      </c>
      <c r="P55" s="50" t="n">
        <f aca="false">P54*(1+Paths!C55)+H55*(1-dep_asia)</f>
        <v>34413.3173919039</v>
      </c>
      <c r="Q55" s="50" t="n">
        <f aca="false">Q54*(1+Paths!C55)+Labour!AK55*gw_asian</f>
        <v>24819.827461487</v>
      </c>
      <c r="R55" s="50" t="n">
        <f aca="false">R54*(1+Paths!C55)+Labour!AF55*family_mult</f>
        <v>12421.3408813458</v>
      </c>
      <c r="S55" s="66" t="n">
        <f aca="false">(N55+O55+P55+Q55+R55)/L55</f>
        <v>0.145871230238926</v>
      </c>
      <c r="T55" s="50" t="n">
        <f aca="false">SUM(E55:H55)*Paths!J55</f>
        <v>30000</v>
      </c>
      <c r="U55" s="65" t="n">
        <f aca="false">Paths!K55</f>
        <v>7120034</v>
      </c>
      <c r="V55" s="50" t="n">
        <f aca="false">IF(Gulf!E55=1,Gulf!B55,0)</f>
        <v>0</v>
      </c>
      <c r="W55" s="50" t="n">
        <f aca="false">L55+V55</f>
        <v>6527675.42561912</v>
      </c>
      <c r="X55" s="50" t="n">
        <f aca="false">W55+Labour!L55</f>
        <v>6735851.26654952</v>
      </c>
    </row>
    <row r="56" customFormat="false" ht="14.25" hidden="false" customHeight="false" outlineLevel="0" collapsed="false">
      <c r="A56" s="61" t="n">
        <v>1896</v>
      </c>
      <c r="B56" s="50" t="n">
        <f aca="false">L55</f>
        <v>6527675.42561912</v>
      </c>
      <c r="C56" s="65" t="n">
        <f aca="false">Paths!D56</f>
        <v>0</v>
      </c>
      <c r="D56" s="50" t="n">
        <f aca="false">B56*Paths!C56</f>
        <v>124025.833086763</v>
      </c>
      <c r="E56" s="50" t="n">
        <f aca="false">Paths!E56*IF($A56&gt;=1896,mig_scale,1)</f>
        <v>65000</v>
      </c>
      <c r="F56" s="50" t="n">
        <f aca="false">Paths!F56*IF($A56&gt;=1896,mig_scale,1)</f>
        <v>22000</v>
      </c>
      <c r="G56" s="50" t="n">
        <f aca="false">Paths!G56*IF($A56&gt;=1896,mig_scale,1)</f>
        <v>8000</v>
      </c>
      <c r="H56" s="50" t="n">
        <f aca="false">Paths!H56*IF($A56&gt;=1896,mig_scale,1)</f>
        <v>5000</v>
      </c>
      <c r="I56" s="50" t="n">
        <f aca="false">E56*Paths!I56+(F56+G56+H56)*dep_asia</f>
        <v>22800</v>
      </c>
      <c r="J56" s="65" t="n">
        <f aca="false">Labour!AL56</f>
        <v>98952.5475899777</v>
      </c>
      <c r="K56" s="50" t="n">
        <f aca="false">SUM(E56:H56)-I56+J56</f>
        <v>176152.547589978</v>
      </c>
      <c r="L56" s="50" t="n">
        <f aca="false">B56+C56+D56+K56</f>
        <v>6827853.80629586</v>
      </c>
      <c r="M56" s="66" t="n">
        <f aca="false">IF(B56&gt;0,L56/B56-1,0)</f>
        <v>0.0459854942386739</v>
      </c>
      <c r="N56" s="50" t="n">
        <f aca="false">N55*(1+Paths!C56)+F56*(1-dep_asia)</f>
        <v>838496.921114563</v>
      </c>
      <c r="O56" s="50" t="n">
        <f aca="false">O55*(1+Paths!C56)+G56*(1-dep_asia)</f>
        <v>80379.0037109768</v>
      </c>
      <c r="P56" s="50" t="n">
        <f aca="false">P55*(1+Paths!C56)+H56*(1-dep_asia)</f>
        <v>38667.1704223501</v>
      </c>
      <c r="Q56" s="50" t="n">
        <f aca="false">Q55*(1+Paths!C56)+Labour!AK56*gw_asian</f>
        <v>32036.3014294001</v>
      </c>
      <c r="R56" s="50" t="n">
        <f aca="false">R55*(1+Paths!C56)+Labour!AF56*family_mult</f>
        <v>15115.5883675338</v>
      </c>
      <c r="S56" s="66" t="n">
        <f aca="false">(N56+O56+P56+Q56+R56)/L56</f>
        <v>0.147146528550217</v>
      </c>
      <c r="T56" s="50" t="n">
        <f aca="false">SUM(E56:H56)*Paths!J56</f>
        <v>30000</v>
      </c>
      <c r="U56" s="65" t="n">
        <f aca="false">Paths!K56</f>
        <v>7182394</v>
      </c>
      <c r="V56" s="50" t="n">
        <f aca="false">IF(Gulf!E56=1,Gulf!B56,0)</f>
        <v>0</v>
      </c>
      <c r="W56" s="50" t="n">
        <f aca="false">L56+V56</f>
        <v>6827853.80629586</v>
      </c>
      <c r="X56" s="50" t="n">
        <f aca="false">W56+Labour!L56</f>
        <v>7057193.34615374</v>
      </c>
    </row>
    <row r="57" customFormat="false" ht="14.25" hidden="false" customHeight="false" outlineLevel="0" collapsed="false">
      <c r="A57" s="61" t="n">
        <v>1897</v>
      </c>
      <c r="B57" s="50" t="n">
        <f aca="false">L56</f>
        <v>6827853.80629586</v>
      </c>
      <c r="C57" s="65" t="n">
        <f aca="false">Paths!D57</f>
        <v>0</v>
      </c>
      <c r="D57" s="50" t="n">
        <f aca="false">B57*Paths!C57</f>
        <v>129729.222319621</v>
      </c>
      <c r="E57" s="50" t="n">
        <f aca="false">Paths!E57*IF($A57&gt;=1896,mig_scale,1)</f>
        <v>65000</v>
      </c>
      <c r="F57" s="50" t="n">
        <f aca="false">Paths!F57*IF($A57&gt;=1896,mig_scale,1)</f>
        <v>22000</v>
      </c>
      <c r="G57" s="50" t="n">
        <f aca="false">Paths!G57*IF($A57&gt;=1896,mig_scale,1)</f>
        <v>8000</v>
      </c>
      <c r="H57" s="50" t="n">
        <f aca="false">Paths!H57*IF($A57&gt;=1896,mig_scale,1)</f>
        <v>5000</v>
      </c>
      <c r="I57" s="50" t="n">
        <f aca="false">E57*Paths!I57+(F57+G57+H57)*dep_asia</f>
        <v>22800</v>
      </c>
      <c r="J57" s="65" t="n">
        <f aca="false">Labour!AL57</f>
        <v>100512.271190077</v>
      </c>
      <c r="K57" s="50" t="n">
        <f aca="false">SUM(E57:H57)-I57+J57</f>
        <v>177712.271190077</v>
      </c>
      <c r="L57" s="50" t="n">
        <f aca="false">B57+C57+D57+K57</f>
        <v>7135295.29980556</v>
      </c>
      <c r="M57" s="66" t="n">
        <f aca="false">IF(B57&gt;0,L57/B57-1,0)</f>
        <v>0.0450275448525583</v>
      </c>
      <c r="N57" s="50" t="n">
        <f aca="false">N56*(1+Paths!C57)+F57*(1-dep_asia)</f>
        <v>870268.362615739</v>
      </c>
      <c r="O57" s="50" t="n">
        <f aca="false">O56*(1+Paths!C57)+G57*(1-dep_asia)</f>
        <v>87666.2047814854</v>
      </c>
      <c r="P57" s="50" t="n">
        <f aca="false">P56*(1+Paths!C57)+H57*(1-dep_asia)</f>
        <v>43001.8466603747</v>
      </c>
      <c r="Q57" s="50" t="n">
        <f aca="false">Q56*(1+Paths!C57)+Labour!AK57*gw_asian</f>
        <v>40075.592247954</v>
      </c>
      <c r="R57" s="50" t="n">
        <f aca="false">R56*(1+Paths!C57)+Labour!AF57*family_mult</f>
        <v>18224.3530649471</v>
      </c>
      <c r="S57" s="66" t="n">
        <f aca="false">(N57+O57+P57+Q57+R57)/L57</f>
        <v>0.148450248358938</v>
      </c>
      <c r="T57" s="50" t="n">
        <f aca="false">SUM(E57:H57)*Paths!J57</f>
        <v>30000</v>
      </c>
      <c r="U57" s="65" t="n">
        <f aca="false">Paths!K57</f>
        <v>7245761</v>
      </c>
      <c r="V57" s="50" t="n">
        <f aca="false">IF(Gulf!E57=1,Gulf!B57,0)</f>
        <v>0</v>
      </c>
      <c r="W57" s="50" t="n">
        <f aca="false">L57+V57</f>
        <v>7135295.29980556</v>
      </c>
      <c r="X57" s="50" t="n">
        <f aca="false">W57+Labour!L57</f>
        <v>7391151.60653279</v>
      </c>
    </row>
    <row r="58" customFormat="false" ht="14.25" hidden="false" customHeight="false" outlineLevel="0" collapsed="false">
      <c r="A58" s="61" t="n">
        <v>1898</v>
      </c>
      <c r="B58" s="50" t="n">
        <f aca="false">L57</f>
        <v>7135295.29980556</v>
      </c>
      <c r="C58" s="65" t="n">
        <f aca="false">Paths!D58</f>
        <v>0</v>
      </c>
      <c r="D58" s="50" t="n">
        <f aca="false">B58*Paths!C58</f>
        <v>135570.610696306</v>
      </c>
      <c r="E58" s="50" t="n">
        <f aca="false">Paths!E58*IF($A58&gt;=1896,mig_scale,1)</f>
        <v>65000</v>
      </c>
      <c r="F58" s="50" t="n">
        <f aca="false">Paths!F58*IF($A58&gt;=1896,mig_scale,1)</f>
        <v>22000</v>
      </c>
      <c r="G58" s="50" t="n">
        <f aca="false">Paths!G58*IF($A58&gt;=1896,mig_scale,1)</f>
        <v>8000</v>
      </c>
      <c r="H58" s="50" t="n">
        <f aca="false">Paths!H58*IF($A58&gt;=1896,mig_scale,1)</f>
        <v>5000</v>
      </c>
      <c r="I58" s="50" t="n">
        <f aca="false">E58*Paths!I58+(F58+G58+H58)*dep_asia</f>
        <v>22800</v>
      </c>
      <c r="J58" s="65" t="n">
        <f aca="false">Labour!AL58</f>
        <v>104421.261799792</v>
      </c>
      <c r="K58" s="50" t="n">
        <f aca="false">SUM(E58:H58)-I58+J58</f>
        <v>181621.261799792</v>
      </c>
      <c r="L58" s="50" t="n">
        <f aca="false">B58+C58+D58+K58</f>
        <v>7452487.17230166</v>
      </c>
      <c r="M58" s="66" t="n">
        <f aca="false">IF(B58&gt;0,L58/B58-1,0)</f>
        <v>0.0444539236525698</v>
      </c>
      <c r="N58" s="50" t="n">
        <f aca="false">N57*(1+Paths!C58)+F58*(1-dep_asia)</f>
        <v>902643.461505438</v>
      </c>
      <c r="O58" s="50" t="n">
        <f aca="false">O57*(1+Paths!C58)+G58*(1-dep_asia)</f>
        <v>95091.8626723336</v>
      </c>
      <c r="P58" s="50" t="n">
        <f aca="false">P57*(1+Paths!C58)+H58*(1-dep_asia)</f>
        <v>47418.8817469219</v>
      </c>
      <c r="Q58" s="50" t="n">
        <f aca="false">Q57*(1+Paths!C58)+Labour!AK58*gw_asian</f>
        <v>49126.7728386275</v>
      </c>
      <c r="R58" s="50" t="n">
        <f aca="false">R57*(1+Paths!C58)+Labour!AF58*family_mult</f>
        <v>21768.231459917</v>
      </c>
      <c r="S58" s="66" t="n">
        <f aca="false">(N58+O58+P58+Q58+R58)/L58</f>
        <v>0.14975526752615</v>
      </c>
      <c r="T58" s="50" t="n">
        <f aca="false">SUM(E58:H58)*Paths!J58</f>
        <v>30000</v>
      </c>
      <c r="U58" s="65" t="n">
        <f aca="false">Paths!K58</f>
        <v>7309135</v>
      </c>
      <c r="V58" s="50" t="n">
        <f aca="false">IF(Gulf!E58=1,Gulf!B58,0)</f>
        <v>0</v>
      </c>
      <c r="W58" s="50" t="n">
        <f aca="false">L58+V58</f>
        <v>7452487.17230166</v>
      </c>
      <c r="X58" s="50" t="n">
        <f aca="false">W58+Labour!L58</f>
        <v>7728892.22891686</v>
      </c>
    </row>
    <row r="59" customFormat="false" ht="14.25" hidden="false" customHeight="false" outlineLevel="0" collapsed="false">
      <c r="A59" s="61" t="n">
        <v>1899</v>
      </c>
      <c r="B59" s="50" t="n">
        <f aca="false">L58</f>
        <v>7452487.17230166</v>
      </c>
      <c r="C59" s="65" t="n">
        <f aca="false">Paths!D59</f>
        <v>0</v>
      </c>
      <c r="D59" s="50" t="n">
        <f aca="false">B59*Paths!C59</f>
        <v>141597.256273731</v>
      </c>
      <c r="E59" s="50" t="n">
        <f aca="false">Paths!E59*IF($A59&gt;=1896,mig_scale,1)</f>
        <v>65000</v>
      </c>
      <c r="F59" s="50" t="n">
        <f aca="false">Paths!F59*IF($A59&gt;=1896,mig_scale,1)</f>
        <v>22000</v>
      </c>
      <c r="G59" s="50" t="n">
        <f aca="false">Paths!G59*IF($A59&gt;=1896,mig_scale,1)</f>
        <v>8000</v>
      </c>
      <c r="H59" s="50" t="n">
        <f aca="false">Paths!H59*IF($A59&gt;=1896,mig_scale,1)</f>
        <v>5000</v>
      </c>
      <c r="I59" s="50" t="n">
        <f aca="false">E59*Paths!I59+(F59+G59+H59)*dep_asia</f>
        <v>22800</v>
      </c>
      <c r="J59" s="65" t="n">
        <f aca="false">Labour!AL59</f>
        <v>108243.260223716</v>
      </c>
      <c r="K59" s="50" t="n">
        <f aca="false">SUM(E59:H59)-I59+J59</f>
        <v>185443.260223716</v>
      </c>
      <c r="L59" s="50" t="n">
        <f aca="false">B59+C59+D59+K59</f>
        <v>7779527.6887991</v>
      </c>
      <c r="M59" s="66" t="n">
        <f aca="false">IF(B59&gt;0,L59/B59-1,0)</f>
        <v>0.0438834054908468</v>
      </c>
      <c r="N59" s="50" t="n">
        <f aca="false">N58*(1+Paths!C59)+F59*(1-dep_asia)</f>
        <v>935633.687274042</v>
      </c>
      <c r="O59" s="50" t="n">
        <f aca="false">O58*(1+Paths!C59)+G59*(1-dep_asia)</f>
        <v>102658.608063108</v>
      </c>
      <c r="P59" s="50" t="n">
        <f aca="false">P58*(1+Paths!C59)+H59*(1-dep_asia)</f>
        <v>51919.8405001134</v>
      </c>
      <c r="Q59" s="50" t="n">
        <f aca="false">Q58*(1+Paths!C59)+Labour!AK59*gw_asian</f>
        <v>59015.7053568939</v>
      </c>
      <c r="R59" s="50" t="n">
        <f aca="false">R58*(1+Paths!C59)+Labour!AF59*family_mult</f>
        <v>25617.7851154786</v>
      </c>
      <c r="S59" s="66" t="n">
        <f aca="false">(N59+O59+P59+Q59+R59)/L59</f>
        <v>0.151017603292443</v>
      </c>
      <c r="T59" s="50" t="n">
        <f aca="false">SUM(E59:H59)*Paths!J59</f>
        <v>30000</v>
      </c>
      <c r="U59" s="65" t="n">
        <f aca="false">Paths!K59</f>
        <v>7371515</v>
      </c>
      <c r="V59" s="50" t="n">
        <f aca="false">IF(Gulf!E59=1,Gulf!B59,0)</f>
        <v>0</v>
      </c>
      <c r="W59" s="50" t="n">
        <f aca="false">L59+V59</f>
        <v>7779527.6887991</v>
      </c>
      <c r="X59" s="50" t="n">
        <f aca="false">W59+Labour!L59</f>
        <v>8073177.79363944</v>
      </c>
    </row>
    <row r="60" customFormat="false" ht="14.25" hidden="false" customHeight="false" outlineLevel="0" collapsed="false">
      <c r="A60" s="61" t="n">
        <v>1900</v>
      </c>
      <c r="B60" s="50" t="n">
        <f aca="false">L59</f>
        <v>7779527.6887991</v>
      </c>
      <c r="C60" s="65" t="n">
        <f aca="false">Paths!D60</f>
        <v>0</v>
      </c>
      <c r="D60" s="50" t="n">
        <f aca="false">B60*Paths!C60</f>
        <v>147811.026087183</v>
      </c>
      <c r="E60" s="50" t="n">
        <f aca="false">Paths!E60*IF($A60&gt;=1896,mig_scale,1)</f>
        <v>90000</v>
      </c>
      <c r="F60" s="50" t="n">
        <f aca="false">Paths!F60*IF($A60&gt;=1896,mig_scale,1)</f>
        <v>28000</v>
      </c>
      <c r="G60" s="50" t="n">
        <f aca="false">Paths!G60*IF($A60&gt;=1896,mig_scale,1)</f>
        <v>14000</v>
      </c>
      <c r="H60" s="50" t="n">
        <f aca="false">Paths!H60*IF($A60&gt;=1896,mig_scale,1)</f>
        <v>9000</v>
      </c>
      <c r="I60" s="50" t="n">
        <f aca="false">E60*Paths!I60+(F60+G60+H60)*dep_asia</f>
        <v>32280</v>
      </c>
      <c r="J60" s="65" t="n">
        <f aca="false">Labour!AL60</f>
        <v>130042.603576708</v>
      </c>
      <c r="K60" s="50" t="n">
        <f aca="false">SUM(E60:H60)-I60+J60</f>
        <v>238762.603576708</v>
      </c>
      <c r="L60" s="50" t="n">
        <f aca="false">B60+C60+D60+K60</f>
        <v>8166101.31846299</v>
      </c>
      <c r="M60" s="66" t="n">
        <f aca="false">IF(B60&gt;0,L60/B60-1,0)</f>
        <v>0.0496911438750294</v>
      </c>
      <c r="N60" s="50" t="n">
        <f aca="false">N59*(1+Paths!C60)+F60*(1-dep_asia)</f>
        <v>973570.727332248</v>
      </c>
      <c r="O60" s="50" t="n">
        <f aca="false">O59*(1+Paths!C60)+G60*(1-dep_asia)</f>
        <v>114689.121616307</v>
      </c>
      <c r="P60" s="50" t="n">
        <f aca="false">P59*(1+Paths!C60)+H60*(1-dep_asia)</f>
        <v>59386.3174696155</v>
      </c>
      <c r="Q60" s="50" t="n">
        <f aca="false">Q59*(1+Paths!C60)+Labour!AK60*gw_asian</f>
        <v>69651.2671555017</v>
      </c>
      <c r="R60" s="50" t="n">
        <f aca="false">R59*(1+Paths!C60)+Labour!AF60*family_mult</f>
        <v>29787.7040518637</v>
      </c>
      <c r="S60" s="66" t="n">
        <f aca="false">(N60+O60+P60+Q60+R60)/L60</f>
        <v>0.152714874453733</v>
      </c>
      <c r="T60" s="50" t="n">
        <f aca="false">SUM(E60:H60)*Paths!J60</f>
        <v>42300</v>
      </c>
      <c r="U60" s="65" t="n">
        <f aca="false">Paths!K60</f>
        <v>7433903</v>
      </c>
      <c r="V60" s="50" t="n">
        <f aca="false">IF(Gulf!E60=1,Gulf!B60,0)</f>
        <v>0</v>
      </c>
      <c r="W60" s="50" t="n">
        <f aca="false">L60+V60</f>
        <v>8166101.31846299</v>
      </c>
      <c r="X60" s="50" t="n">
        <f aca="false">W60+Labour!L60</f>
        <v>8475274.86674524</v>
      </c>
    </row>
    <row r="61" customFormat="false" ht="14.25" hidden="false" customHeight="false" outlineLevel="0" collapsed="false">
      <c r="A61" s="61" t="n">
        <v>1901</v>
      </c>
      <c r="B61" s="50" t="n">
        <f aca="false">L60</f>
        <v>8166101.31846299</v>
      </c>
      <c r="C61" s="65" t="n">
        <f aca="false">Paths!D61</f>
        <v>0</v>
      </c>
      <c r="D61" s="50" t="n">
        <f aca="false">B61*Paths!C61</f>
        <v>155155.925050797</v>
      </c>
      <c r="E61" s="50" t="n">
        <f aca="false">Paths!E61*IF($A61&gt;=1896,mig_scale,1)</f>
        <v>90000</v>
      </c>
      <c r="F61" s="50" t="n">
        <f aca="false">Paths!F61*IF($A61&gt;=1896,mig_scale,1)</f>
        <v>28000</v>
      </c>
      <c r="G61" s="50" t="n">
        <f aca="false">Paths!G61*IF($A61&gt;=1896,mig_scale,1)</f>
        <v>14000</v>
      </c>
      <c r="H61" s="50" t="n">
        <f aca="false">Paths!H61*IF($A61&gt;=1896,mig_scale,1)</f>
        <v>9000</v>
      </c>
      <c r="I61" s="50" t="n">
        <f aca="false">E61*Paths!I61+(F61+G61+H61)*dep_asia</f>
        <v>32280</v>
      </c>
      <c r="J61" s="65" t="n">
        <f aca="false">Labour!AL61</f>
        <v>155431.16588244</v>
      </c>
      <c r="K61" s="50" t="n">
        <f aca="false">SUM(E61:H61)-I61+J61</f>
        <v>264151.16588244</v>
      </c>
      <c r="L61" s="50" t="n">
        <f aca="false">B61+C61+D61+K61</f>
        <v>8585408.40939623</v>
      </c>
      <c r="M61" s="66" t="n">
        <f aca="false">IF(B61&gt;0,L61/B61-1,0)</f>
        <v>0.0513472800031529</v>
      </c>
      <c r="N61" s="50" t="n">
        <f aca="false">N60*(1+Paths!C61)+F61*(1-dep_asia)</f>
        <v>1012228.57115156</v>
      </c>
      <c r="O61" s="50" t="n">
        <f aca="false">O60*(1+Paths!C61)+G61*(1-dep_asia)</f>
        <v>126948.214927017</v>
      </c>
      <c r="P61" s="50" t="n">
        <f aca="false">P60*(1+Paths!C61)+H61*(1-dep_asia)</f>
        <v>66994.6575015382</v>
      </c>
      <c r="Q61" s="50" t="n">
        <f aca="false">Q60*(1+Paths!C61)+Labour!AK61*gw_asian</f>
        <v>80991.8641958011</v>
      </c>
      <c r="R61" s="50" t="n">
        <f aca="false">R60*(1+Paths!C61)+Labour!AF61*family_mult</f>
        <v>34412.8426996843</v>
      </c>
      <c r="S61" s="66" t="n">
        <f aca="false">(N61+O61+P61+Q61+R61)/L61</f>
        <v>0.153932822698244</v>
      </c>
      <c r="T61" s="50" t="n">
        <f aca="false">SUM(E61:H61)*Paths!J61</f>
        <v>42300</v>
      </c>
      <c r="U61" s="65" t="n">
        <f aca="false">Paths!K61</f>
        <v>7497297</v>
      </c>
      <c r="V61" s="50" t="n">
        <f aca="false">IF(Gulf!E61=1,Gulf!B61,0)</f>
        <v>0</v>
      </c>
      <c r="W61" s="50" t="n">
        <f aca="false">L61+V61</f>
        <v>8585408.40939623</v>
      </c>
      <c r="X61" s="50" t="n">
        <f aca="false">W61+Labour!L61</f>
        <v>8910243.25164517</v>
      </c>
    </row>
    <row r="62" customFormat="false" ht="14.25" hidden="false" customHeight="false" outlineLevel="0" collapsed="false">
      <c r="A62" s="61" t="n">
        <v>1902</v>
      </c>
      <c r="B62" s="50" t="n">
        <f aca="false">L61</f>
        <v>8585408.40939623</v>
      </c>
      <c r="C62" s="65" t="n">
        <f aca="false">Paths!D62</f>
        <v>0</v>
      </c>
      <c r="D62" s="50" t="n">
        <f aca="false">B62*Paths!C62</f>
        <v>163122.759778528</v>
      </c>
      <c r="E62" s="50" t="n">
        <f aca="false">Paths!E62*IF($A62&gt;=1896,mig_scale,1)</f>
        <v>90000</v>
      </c>
      <c r="F62" s="50" t="n">
        <f aca="false">Paths!F62*IF($A62&gt;=1896,mig_scale,1)</f>
        <v>28000</v>
      </c>
      <c r="G62" s="50" t="n">
        <f aca="false">Paths!G62*IF($A62&gt;=1896,mig_scale,1)</f>
        <v>14000</v>
      </c>
      <c r="H62" s="50" t="n">
        <f aca="false">Paths!H62*IF($A62&gt;=1896,mig_scale,1)</f>
        <v>9000</v>
      </c>
      <c r="I62" s="50" t="n">
        <f aca="false">E62*Paths!I62+(F62+G62+H62)*dep_asia</f>
        <v>32280</v>
      </c>
      <c r="J62" s="65" t="n">
        <f aca="false">Labour!AL62</f>
        <v>184095.845670753</v>
      </c>
      <c r="K62" s="50" t="n">
        <f aca="false">SUM(E62:H62)-I62+J62</f>
        <v>292815.845670753</v>
      </c>
      <c r="L62" s="50" t="n">
        <f aca="false">B62+C62+D62+K62</f>
        <v>9041347.01484551</v>
      </c>
      <c r="M62" s="66" t="n">
        <f aca="false">IF(B62&gt;0,L62/B62-1,0)</f>
        <v>0.0531062220581471</v>
      </c>
      <c r="N62" s="50" t="n">
        <f aca="false">N61*(1+Paths!C62)+F62*(1-dep_asia)</f>
        <v>1051620.91400344</v>
      </c>
      <c r="O62" s="50" t="n">
        <f aca="false">O61*(1+Paths!C62)+G62*(1-dep_asia)</f>
        <v>139440.23101063</v>
      </c>
      <c r="P62" s="50" t="n">
        <f aca="false">P61*(1+Paths!C62)+H62*(1-dep_asia)</f>
        <v>74747.5559940674</v>
      </c>
      <c r="Q62" s="50" t="n">
        <f aca="false">Q61*(1+Paths!C62)+Labour!AK62*gw_asian</f>
        <v>93055.3585043868</v>
      </c>
      <c r="R62" s="50" t="n">
        <f aca="false">R61*(1+Paths!C62)+Labour!AF62*family_mult</f>
        <v>39540.393548737</v>
      </c>
      <c r="S62" s="66" t="n">
        <f aca="false">(N62+O62+P62+Q62+R62)/L62</f>
        <v>0.154667711654595</v>
      </c>
      <c r="T62" s="50" t="n">
        <f aca="false">SUM(E62:H62)*Paths!J62</f>
        <v>42300</v>
      </c>
      <c r="U62" s="65" t="n">
        <f aca="false">Paths!K62</f>
        <v>7560698</v>
      </c>
      <c r="V62" s="50" t="n">
        <f aca="false">IF(Gulf!E62=1,Gulf!B62,0)</f>
        <v>0</v>
      </c>
      <c r="W62" s="50" t="n">
        <f aca="false">L62+V62</f>
        <v>9041347.01484551</v>
      </c>
      <c r="X62" s="50" t="n">
        <f aca="false">W62+Labour!L62</f>
        <v>9384735.56133601</v>
      </c>
    </row>
    <row r="63" customFormat="false" ht="14.25" hidden="false" customHeight="false" outlineLevel="0" collapsed="false">
      <c r="A63" s="61" t="n">
        <v>1903</v>
      </c>
      <c r="B63" s="50" t="n">
        <f aca="false">L62</f>
        <v>9041347.01484551</v>
      </c>
      <c r="C63" s="65" t="n">
        <f aca="false">Paths!D63</f>
        <v>0</v>
      </c>
      <c r="D63" s="50" t="n">
        <f aca="false">B63*Paths!C63</f>
        <v>171785.593282065</v>
      </c>
      <c r="E63" s="50" t="n">
        <f aca="false">Paths!E63*IF($A63&gt;=1896,mig_scale,1)</f>
        <v>90000</v>
      </c>
      <c r="F63" s="50" t="n">
        <f aca="false">Paths!F63*IF($A63&gt;=1896,mig_scale,1)</f>
        <v>28000</v>
      </c>
      <c r="G63" s="50" t="n">
        <f aca="false">Paths!G63*IF($A63&gt;=1896,mig_scale,1)</f>
        <v>14000</v>
      </c>
      <c r="H63" s="50" t="n">
        <f aca="false">Paths!H63*IF($A63&gt;=1896,mig_scale,1)</f>
        <v>9000</v>
      </c>
      <c r="I63" s="50" t="n">
        <f aca="false">E63*Paths!I63+(F63+G63+H63)*dep_asia</f>
        <v>32280</v>
      </c>
      <c r="J63" s="65" t="n">
        <f aca="false">Labour!AL63</f>
        <v>208108.302281748</v>
      </c>
      <c r="K63" s="50" t="n">
        <f aca="false">SUM(E63:H63)-I63+J63</f>
        <v>316828.302281748</v>
      </c>
      <c r="L63" s="50" t="n">
        <f aca="false">B63+C63+D63+K63</f>
        <v>9529960.91040932</v>
      </c>
      <c r="M63" s="66" t="n">
        <f aca="false">IF(B63&gt;0,L63/B63-1,0)</f>
        <v>0.0540421570769853</v>
      </c>
      <c r="N63" s="50" t="n">
        <f aca="false">N62*(1+Paths!C63)+F63*(1-dep_asia)</f>
        <v>1091761.71136951</v>
      </c>
      <c r="O63" s="50" t="n">
        <f aca="false">O62*(1+Paths!C63)+G63*(1-dep_asia)</f>
        <v>152169.595399832</v>
      </c>
      <c r="P63" s="50" t="n">
        <f aca="false">P62*(1+Paths!C63)+H63*(1-dep_asia)</f>
        <v>82647.7595579547</v>
      </c>
      <c r="Q63" s="50" t="n">
        <f aca="false">Q62*(1+Paths!C63)+Labour!AK63*gw_asian</f>
        <v>105949.199222262</v>
      </c>
      <c r="R63" s="50" t="n">
        <f aca="false">R62*(1+Paths!C63)+Labour!AF63*family_mult</f>
        <v>45026.35213682</v>
      </c>
      <c r="S63" s="66" t="n">
        <f aca="false">(N63+O63+P63+Q63+R63)/L63</f>
        <v>0.155043093206446</v>
      </c>
      <c r="T63" s="50" t="n">
        <f aca="false">SUM(E63:H63)*Paths!J63</f>
        <v>42300</v>
      </c>
      <c r="U63" s="65" t="n">
        <f aca="false">Paths!K63</f>
        <v>7623107</v>
      </c>
      <c r="V63" s="50" t="n">
        <f aca="false">IF(Gulf!E63=1,Gulf!B63,0)</f>
        <v>0</v>
      </c>
      <c r="W63" s="50" t="n">
        <f aca="false">L63+V63</f>
        <v>9529960.91040932</v>
      </c>
      <c r="X63" s="50" t="n">
        <f aca="false">W63+Labour!L63</f>
        <v>9893857.39026428</v>
      </c>
    </row>
    <row r="64" customFormat="false" ht="14.25" hidden="false" customHeight="false" outlineLevel="0" collapsed="false">
      <c r="A64" s="61" t="n">
        <v>1904</v>
      </c>
      <c r="B64" s="50" t="n">
        <f aca="false">L63</f>
        <v>9529960.91040932</v>
      </c>
      <c r="C64" s="65" t="n">
        <f aca="false">Paths!D64</f>
        <v>0</v>
      </c>
      <c r="D64" s="50" t="n">
        <f aca="false">B64*Paths!C64</f>
        <v>181069.257297777</v>
      </c>
      <c r="E64" s="50" t="n">
        <f aca="false">Paths!E64*IF($A64&gt;=1896,mig_scale,1)</f>
        <v>90000</v>
      </c>
      <c r="F64" s="50" t="n">
        <f aca="false">Paths!F64*IF($A64&gt;=1896,mig_scale,1)</f>
        <v>28000</v>
      </c>
      <c r="G64" s="50" t="n">
        <f aca="false">Paths!G64*IF($A64&gt;=1896,mig_scale,1)</f>
        <v>14000</v>
      </c>
      <c r="H64" s="50" t="n">
        <f aca="false">Paths!H64*IF($A64&gt;=1896,mig_scale,1)</f>
        <v>9000</v>
      </c>
      <c r="I64" s="50" t="n">
        <f aca="false">E64*Paths!I64+(F64+G64+H64)*dep_asia</f>
        <v>32280</v>
      </c>
      <c r="J64" s="65" t="n">
        <f aca="false">Labour!AL64</f>
        <v>225756.243021595</v>
      </c>
      <c r="K64" s="50" t="n">
        <f aca="false">SUM(E64:H64)-I64+J64</f>
        <v>334476.243021595</v>
      </c>
      <c r="L64" s="50" t="n">
        <f aca="false">B64+C64+D64+K64</f>
        <v>10045506.4107287</v>
      </c>
      <c r="M64" s="66" t="n">
        <f aca="false">IF(B64&gt;0,L64/B64-1,0)</f>
        <v>0.0540973363024244</v>
      </c>
      <c r="N64" s="50" t="n">
        <f aca="false">N63*(1+Paths!C64)+F64*(1-dep_asia)</f>
        <v>1132665.18388553</v>
      </c>
      <c r="O64" s="50" t="n">
        <f aca="false">O63*(1+Paths!C64)+G64*(1-dep_asia)</f>
        <v>165140.817712429</v>
      </c>
      <c r="P64" s="50" t="n">
        <f aca="false">P63*(1+Paths!C64)+H64*(1-dep_asia)</f>
        <v>90698.0669895558</v>
      </c>
      <c r="Q64" s="50" t="n">
        <f aca="false">Q63*(1+Paths!C64)+Labour!AK64*gw_asian</f>
        <v>119752.479954786</v>
      </c>
      <c r="R64" s="50" t="n">
        <f aca="false">R63*(1+Paths!C64)+Labour!AF64*family_mult</f>
        <v>51257.460542583</v>
      </c>
      <c r="S64" s="66" t="n">
        <f aca="false">(N64+O64+P64+Q64+R64)/L64</f>
        <v>0.155244936922175</v>
      </c>
      <c r="T64" s="50" t="n">
        <f aca="false">SUM(E64:H64)*Paths!J64</f>
        <v>42300</v>
      </c>
      <c r="U64" s="65" t="n">
        <f aca="false">Paths!K64</f>
        <v>7912523</v>
      </c>
      <c r="V64" s="50" t="n">
        <f aca="false">IF(Gulf!E64=1,Gulf!B64,0)</f>
        <v>0</v>
      </c>
      <c r="W64" s="50" t="n">
        <f aca="false">L64+V64</f>
        <v>10045506.4107287</v>
      </c>
      <c r="X64" s="50" t="n">
        <f aca="false">W64+Labour!L64</f>
        <v>10431212.7872212</v>
      </c>
    </row>
    <row r="65" customFormat="false" ht="14.25" hidden="false" customHeight="false" outlineLevel="0" collapsed="false">
      <c r="A65" s="61" t="n">
        <v>1905</v>
      </c>
      <c r="B65" s="50" t="n">
        <f aca="false">L64</f>
        <v>10045506.4107287</v>
      </c>
      <c r="C65" s="65" t="n">
        <f aca="false">Paths!D65</f>
        <v>0</v>
      </c>
      <c r="D65" s="50" t="n">
        <f aca="false">B65*Paths!C65</f>
        <v>190864.621803845</v>
      </c>
      <c r="E65" s="50" t="n">
        <f aca="false">Paths!E65*IF($A65&gt;=1896,mig_scale,1)</f>
        <v>90000</v>
      </c>
      <c r="F65" s="50" t="n">
        <f aca="false">Paths!F65*IF($A65&gt;=1896,mig_scale,1)</f>
        <v>28000</v>
      </c>
      <c r="G65" s="50" t="n">
        <f aca="false">Paths!G65*IF($A65&gt;=1896,mig_scale,1)</f>
        <v>14000</v>
      </c>
      <c r="H65" s="50" t="n">
        <f aca="false">Paths!H65*IF($A65&gt;=1896,mig_scale,1)</f>
        <v>9000</v>
      </c>
      <c r="I65" s="50" t="n">
        <f aca="false">E65*Paths!I65+(F65+G65+H65)*dep_asia</f>
        <v>32280</v>
      </c>
      <c r="J65" s="65" t="n">
        <f aca="false">Labour!AL65</f>
        <v>242499.375493276</v>
      </c>
      <c r="K65" s="50" t="n">
        <f aca="false">SUM(E65:H65)-I65+J65</f>
        <v>351219.375493276</v>
      </c>
      <c r="L65" s="50" t="n">
        <f aca="false">B65+C65+D65+K65</f>
        <v>10587590.4080258</v>
      </c>
      <c r="M65" s="66" t="n">
        <f aca="false">IF(B65&gt;0,L65/B65-1,0)</f>
        <v>0.053962834239812</v>
      </c>
      <c r="N65" s="50" t="n">
        <f aca="false">N64*(1+Paths!C65)+F65*(1-dep_asia)</f>
        <v>1174345.82237935</v>
      </c>
      <c r="O65" s="50" t="n">
        <f aca="false">O64*(1+Paths!C65)+G65*(1-dep_asia)</f>
        <v>178358.493248965</v>
      </c>
      <c r="P65" s="50" t="n">
        <f aca="false">P64*(1+Paths!C65)+H65*(1-dep_asia)</f>
        <v>98901.3302623574</v>
      </c>
      <c r="Q65" s="50" t="n">
        <f aca="false">Q64*(1+Paths!C65)+Labour!AK65*gw_asian</f>
        <v>134524.663672283</v>
      </c>
      <c r="R65" s="50" t="n">
        <f aca="false">R64*(1+Paths!C65)+Labour!AF65*family_mult</f>
        <v>58524.2120352535</v>
      </c>
      <c r="S65" s="66" t="n">
        <f aca="false">(N65+O65+P65+Q65+R65)/L65</f>
        <v>0.155337943593993</v>
      </c>
      <c r="T65" s="50" t="n">
        <f aca="false">SUM(E65:H65)*Paths!J65</f>
        <v>42300</v>
      </c>
      <c r="U65" s="65" t="n">
        <f aca="false">Paths!K65</f>
        <v>8094908</v>
      </c>
      <c r="V65" s="50" t="n">
        <f aca="false">IF(Gulf!E65=1,Gulf!B65,0)</f>
        <v>0</v>
      </c>
      <c r="W65" s="50" t="n">
        <f aca="false">L65+V65</f>
        <v>10587590.4080258</v>
      </c>
      <c r="X65" s="50" t="n">
        <f aca="false">W65+Labour!L65</f>
        <v>10996442.5974048</v>
      </c>
    </row>
    <row r="66" customFormat="false" ht="14.25" hidden="false" customHeight="false" outlineLevel="0" collapsed="false">
      <c r="A66" s="61" t="n">
        <v>1906</v>
      </c>
      <c r="B66" s="50" t="n">
        <f aca="false">L65</f>
        <v>10587590.4080258</v>
      </c>
      <c r="C66" s="65" t="n">
        <f aca="false">Paths!D66</f>
        <v>0</v>
      </c>
      <c r="D66" s="50" t="n">
        <f aca="false">B66*Paths!C66</f>
        <v>201164.21775249</v>
      </c>
      <c r="E66" s="50" t="n">
        <f aca="false">Paths!E66*IF($A66&gt;=1896,mig_scale,1)</f>
        <v>90000</v>
      </c>
      <c r="F66" s="50" t="n">
        <f aca="false">Paths!F66*IF($A66&gt;=1896,mig_scale,1)</f>
        <v>28000</v>
      </c>
      <c r="G66" s="50" t="n">
        <f aca="false">Paths!G66*IF($A66&gt;=1896,mig_scale,1)</f>
        <v>14000</v>
      </c>
      <c r="H66" s="50" t="n">
        <f aca="false">Paths!H66*IF($A66&gt;=1896,mig_scale,1)</f>
        <v>9000</v>
      </c>
      <c r="I66" s="50" t="n">
        <f aca="false">E66*Paths!I66+(F66+G66+H66)*dep_asia</f>
        <v>32280</v>
      </c>
      <c r="J66" s="65" t="n">
        <f aca="false">Labour!AL66</f>
        <v>254840.423627096</v>
      </c>
      <c r="K66" s="50" t="n">
        <f aca="false">SUM(E66:H66)-I66+J66</f>
        <v>363560.423627096</v>
      </c>
      <c r="L66" s="50" t="n">
        <f aca="false">B66+C66+D66+K66</f>
        <v>11152315.0494054</v>
      </c>
      <c r="M66" s="66" t="n">
        <f aca="false">IF(B66&gt;0,L66/B66-1,0)</f>
        <v>0.0533383536400787</v>
      </c>
      <c r="N66" s="50" t="n">
        <f aca="false">N65*(1+Paths!C66)+F66*(1-dep_asia)</f>
        <v>1216818.39300456</v>
      </c>
      <c r="O66" s="50" t="n">
        <f aca="false">O65*(1+Paths!C66)+G66*(1-dep_asia)</f>
        <v>191827.304620695</v>
      </c>
      <c r="P66" s="50" t="n">
        <f aca="false">P65*(1+Paths!C66)+H66*(1-dep_asia)</f>
        <v>107260.455537342</v>
      </c>
      <c r="Q66" s="50" t="n">
        <f aca="false">Q65*(1+Paths!C66)+Labour!AK66*gw_asian</f>
        <v>150327.443217936</v>
      </c>
      <c r="R66" s="50" t="n">
        <f aca="false">R65*(1+Paths!C66)+Labour!AF66*family_mult</f>
        <v>67007.3595547126</v>
      </c>
      <c r="S66" s="66" t="n">
        <f aca="false">(N66+O66+P66+Q66+R66)/L66</f>
        <v>0.155415350826881</v>
      </c>
      <c r="T66" s="50" t="n">
        <f aca="false">SUM(E66:H66)*Paths!J66</f>
        <v>42300</v>
      </c>
      <c r="U66" s="65" t="n">
        <f aca="false">Paths!K66</f>
        <v>8277337</v>
      </c>
      <c r="V66" s="50" t="n">
        <f aca="false">IF(Gulf!E66=1,Gulf!B66,0)</f>
        <v>0</v>
      </c>
      <c r="W66" s="50" t="n">
        <f aca="false">L66+V66</f>
        <v>11152315.0494054</v>
      </c>
      <c r="X66" s="50" t="n">
        <f aca="false">W66+Labour!L66</f>
        <v>11584539.3530162</v>
      </c>
    </row>
    <row r="67" customFormat="false" ht="14.25" hidden="false" customHeight="false" outlineLevel="0" collapsed="false">
      <c r="A67" s="61" t="n">
        <v>1907</v>
      </c>
      <c r="B67" s="50" t="n">
        <f aca="false">L66</f>
        <v>11152315.0494054</v>
      </c>
      <c r="C67" s="65" t="n">
        <f aca="false">Paths!D67</f>
        <v>0</v>
      </c>
      <c r="D67" s="50" t="n">
        <f aca="false">B67*Paths!C67</f>
        <v>211893.985938703</v>
      </c>
      <c r="E67" s="50" t="n">
        <f aca="false">Paths!E67*IF($A67&gt;=1896,mig_scale,1)</f>
        <v>90000</v>
      </c>
      <c r="F67" s="50" t="n">
        <f aca="false">Paths!F67*IF($A67&gt;=1896,mig_scale,1)</f>
        <v>28000</v>
      </c>
      <c r="G67" s="50" t="n">
        <f aca="false">Paths!G67*IF($A67&gt;=1896,mig_scale,1)</f>
        <v>25000</v>
      </c>
      <c r="H67" s="50" t="n">
        <f aca="false">Paths!H67*IF($A67&gt;=1896,mig_scale,1)</f>
        <v>9000</v>
      </c>
      <c r="I67" s="50" t="n">
        <f aca="false">E67*Paths!I67+(F67+G67+H67)*dep_asia</f>
        <v>35360</v>
      </c>
      <c r="J67" s="65" t="n">
        <f aca="false">Labour!AL67</f>
        <v>258379.542813448</v>
      </c>
      <c r="K67" s="50" t="n">
        <f aca="false">SUM(E67:H67)-I67+J67</f>
        <v>375019.542813448</v>
      </c>
      <c r="L67" s="50" t="n">
        <f aca="false">B67+C67+D67+K67</f>
        <v>11739228.5781576</v>
      </c>
      <c r="M67" s="66" t="n">
        <f aca="false">IF(B67&gt;0,L67/B67-1,0)</f>
        <v>0.052627057803881</v>
      </c>
      <c r="N67" s="50" t="n">
        <f aca="false">N66*(1+Paths!C67)+F67*(1-dep_asia)</f>
        <v>1260097.94247165</v>
      </c>
      <c r="O67" s="50" t="n">
        <f aca="false">O66*(1+Paths!C67)+G67*(1-dep_asia)</f>
        <v>213472.023408489</v>
      </c>
      <c r="P67" s="50" t="n">
        <f aca="false">P66*(1+Paths!C67)+H67*(1-dep_asia)</f>
        <v>115778.404192552</v>
      </c>
      <c r="Q67" s="50" t="n">
        <f aca="false">Q66*(1+Paths!C67)+Labour!AK67*gw_asian</f>
        <v>167187.732076068</v>
      </c>
      <c r="R67" s="50" t="n">
        <f aca="false">R66*(1+Paths!C67)+Labour!AF67*family_mult</f>
        <v>76714.8102177854</v>
      </c>
      <c r="S67" s="66" t="n">
        <f aca="false">(N67+O67+P67+Q67+R67)/L67</f>
        <v>0.156164512869062</v>
      </c>
      <c r="T67" s="50" t="n">
        <f aca="false">SUM(E67:H67)*Paths!J67</f>
        <v>45600</v>
      </c>
      <c r="U67" s="65" t="n">
        <f aca="false">Paths!K67</f>
        <v>8459809</v>
      </c>
      <c r="V67" s="50" t="n">
        <f aca="false">IF(Gulf!E67=1,Gulf!B67,0)</f>
        <v>0</v>
      </c>
      <c r="W67" s="50" t="n">
        <f aca="false">L67+V67</f>
        <v>11739228.5781576</v>
      </c>
      <c r="X67" s="50" t="n">
        <f aca="false">W67+Labour!L67</f>
        <v>12182991.0166215</v>
      </c>
    </row>
    <row r="68" customFormat="false" ht="14.25" hidden="false" customHeight="false" outlineLevel="0" collapsed="false">
      <c r="A68" s="61" t="n">
        <v>1908</v>
      </c>
      <c r="B68" s="50" t="n">
        <f aca="false">L67</f>
        <v>11739228.5781576</v>
      </c>
      <c r="C68" s="65" t="n">
        <f aca="false">Paths!D68</f>
        <v>0</v>
      </c>
      <c r="D68" s="50" t="n">
        <f aca="false">B68*Paths!C68</f>
        <v>223045.342984993</v>
      </c>
      <c r="E68" s="50" t="n">
        <f aca="false">Paths!E68*IF($A68&gt;=1896,mig_scale,1)</f>
        <v>90000</v>
      </c>
      <c r="F68" s="50" t="n">
        <f aca="false">Paths!F68*IF($A68&gt;=1896,mig_scale,1)</f>
        <v>28000</v>
      </c>
      <c r="G68" s="50" t="n">
        <f aca="false">Paths!G68*IF($A68&gt;=1896,mig_scale,1)</f>
        <v>25000</v>
      </c>
      <c r="H68" s="50" t="n">
        <f aca="false">Paths!H68*IF($A68&gt;=1896,mig_scale,1)</f>
        <v>9000</v>
      </c>
      <c r="I68" s="50" t="n">
        <f aca="false">E68*Paths!I68+(F68+G68+H68)*dep_asia</f>
        <v>35360</v>
      </c>
      <c r="J68" s="65" t="n">
        <f aca="false">Labour!AL68</f>
        <v>193365.695030928</v>
      </c>
      <c r="K68" s="50" t="n">
        <f aca="false">SUM(E68:H68)-I68+J68</f>
        <v>310005.695030928</v>
      </c>
      <c r="L68" s="50" t="n">
        <f aca="false">B68+C68+D68+K68</f>
        <v>12272279.6161735</v>
      </c>
      <c r="M68" s="66" t="n">
        <f aca="false">IF(B68&gt;0,L68/B68-1,0)</f>
        <v>0.0454076717619873</v>
      </c>
      <c r="N68" s="50" t="n">
        <f aca="false">N67*(1+Paths!C68)+F68*(1-dep_asia)</f>
        <v>1304199.80337861</v>
      </c>
      <c r="O68" s="50" t="n">
        <f aca="false">O67*(1+Paths!C68)+G68*(1-dep_asia)</f>
        <v>235527.99185325</v>
      </c>
      <c r="P68" s="50" t="n">
        <f aca="false">P67*(1+Paths!C68)+H68*(1-dep_asia)</f>
        <v>124458.19387221</v>
      </c>
      <c r="Q68" s="50" t="n">
        <f aca="false">Q67*(1+Paths!C68)+Labour!AK68*gw_asian</f>
        <v>184742.201991746</v>
      </c>
      <c r="R68" s="50" t="n">
        <f aca="false">R67*(1+Paths!C68)+Labour!AF68*family_mult</f>
        <v>86987.9512102832</v>
      </c>
      <c r="S68" s="66" t="n">
        <f aca="false">(N68+O68+P68+Q68+R68)/L68</f>
        <v>0.157747069236817</v>
      </c>
      <c r="T68" s="50" t="n">
        <f aca="false">SUM(E68:H68)*Paths!J68</f>
        <v>45600</v>
      </c>
      <c r="U68" s="65" t="n">
        <f aca="false">Paths!K68</f>
        <v>8642325</v>
      </c>
      <c r="V68" s="50" t="n">
        <f aca="false">IF(Gulf!E68=1,Gulf!B68,0)</f>
        <v>0</v>
      </c>
      <c r="W68" s="50" t="n">
        <f aca="false">L68+V68</f>
        <v>12272279.6161735</v>
      </c>
      <c r="X68" s="50" t="n">
        <f aca="false">W68+Labour!L68</f>
        <v>12706872.5131463</v>
      </c>
    </row>
    <row r="69" customFormat="false" ht="14.25" hidden="false" customHeight="false" outlineLevel="0" collapsed="false">
      <c r="A69" s="61" t="n">
        <v>1909</v>
      </c>
      <c r="B69" s="50" t="n">
        <f aca="false">L68</f>
        <v>12272279.6161735</v>
      </c>
      <c r="C69" s="65" t="n">
        <f aca="false">Paths!D69</f>
        <v>0</v>
      </c>
      <c r="D69" s="50" t="n">
        <f aca="false">B69*Paths!C69</f>
        <v>233173.312707296</v>
      </c>
      <c r="E69" s="50" t="n">
        <f aca="false">Paths!E69*IF($A69&gt;=1896,mig_scale,1)</f>
        <v>90000</v>
      </c>
      <c r="F69" s="50" t="n">
        <f aca="false">Paths!F69*IF($A69&gt;=1896,mig_scale,1)</f>
        <v>28000</v>
      </c>
      <c r="G69" s="50" t="n">
        <f aca="false">Paths!G69*IF($A69&gt;=1896,mig_scale,1)</f>
        <v>25000</v>
      </c>
      <c r="H69" s="50" t="n">
        <f aca="false">Paths!H69*IF($A69&gt;=1896,mig_scale,1)</f>
        <v>9000</v>
      </c>
      <c r="I69" s="50" t="n">
        <f aca="false">E69*Paths!I69+(F69+G69+H69)*dep_asia</f>
        <v>35360</v>
      </c>
      <c r="J69" s="65" t="n">
        <f aca="false">Labour!AL69</f>
        <v>182953.382863982</v>
      </c>
      <c r="K69" s="50" t="n">
        <f aca="false">SUM(E69:H69)-I69+J69</f>
        <v>299593.382863982</v>
      </c>
      <c r="L69" s="50" t="n">
        <f aca="false">B69+C69+D69+K69</f>
        <v>12805046.3117447</v>
      </c>
      <c r="M69" s="66" t="n">
        <f aca="false">IF(B69&gt;0,L69/B69-1,0)</f>
        <v>0.0434122031304722</v>
      </c>
      <c r="N69" s="50" t="n">
        <f aca="false">N68*(1+Paths!C69)+F69*(1-dep_asia)</f>
        <v>1349139.5996428</v>
      </c>
      <c r="O69" s="50" t="n">
        <f aca="false">O68*(1+Paths!C69)+G69*(1-dep_asia)</f>
        <v>258003.023698461</v>
      </c>
      <c r="P69" s="50" t="n">
        <f aca="false">P68*(1+Paths!C69)+H69*(1-dep_asia)</f>
        <v>133302.899555782</v>
      </c>
      <c r="Q69" s="50" t="n">
        <f aca="false">Q68*(1+Paths!C69)+Labour!AK69*gw_asian</f>
        <v>202333.11369151</v>
      </c>
      <c r="R69" s="50" t="n">
        <f aca="false">R68*(1+Paths!C69)+Labour!AF69*family_mult</f>
        <v>96765.4953991951</v>
      </c>
      <c r="S69" s="66" t="n">
        <f aca="false">(N69+O69+P69+Q69+R69)/L69</f>
        <v>0.159276591613502</v>
      </c>
      <c r="T69" s="50" t="n">
        <f aca="false">SUM(E69:H69)*Paths!J69</f>
        <v>45600</v>
      </c>
      <c r="U69" s="65" t="n">
        <f aca="false">Paths!K69</f>
        <v>8824887</v>
      </c>
      <c r="V69" s="50" t="n">
        <f aca="false">IF(Gulf!E69=1,Gulf!B69,0)</f>
        <v>0</v>
      </c>
      <c r="W69" s="50" t="n">
        <f aca="false">L69+V69</f>
        <v>12805046.3117447</v>
      </c>
      <c r="X69" s="50" t="n">
        <f aca="false">W69+Labour!L69</f>
        <v>13284203.995005</v>
      </c>
    </row>
    <row r="70" customFormat="false" ht="14.25" hidden="false" customHeight="false" outlineLevel="0" collapsed="false">
      <c r="A70" s="61" t="n">
        <v>1910</v>
      </c>
      <c r="B70" s="50" t="n">
        <f aca="false">L69</f>
        <v>12805046.3117447</v>
      </c>
      <c r="C70" s="65" t="n">
        <f aca="false">Paths!D70</f>
        <v>0</v>
      </c>
      <c r="D70" s="50" t="n">
        <f aca="false">B70*Paths!C70</f>
        <v>243295.87992315</v>
      </c>
      <c r="E70" s="50" t="n">
        <f aca="false">Paths!E70*IF($A70&gt;=1896,mig_scale,1)</f>
        <v>90000</v>
      </c>
      <c r="F70" s="50" t="n">
        <f aca="false">Paths!F70*IF($A70&gt;=1896,mig_scale,1)</f>
        <v>28000</v>
      </c>
      <c r="G70" s="50" t="n">
        <f aca="false">Paths!G70*IF($A70&gt;=1896,mig_scale,1)</f>
        <v>25000</v>
      </c>
      <c r="H70" s="50" t="n">
        <f aca="false">Paths!H70*IF($A70&gt;=1896,mig_scale,1)</f>
        <v>9000</v>
      </c>
      <c r="I70" s="50" t="n">
        <f aca="false">E70*Paths!I70+(F70+G70+H70)*dep_asia</f>
        <v>35360</v>
      </c>
      <c r="J70" s="65" t="n">
        <f aca="false">Labour!AL70</f>
        <v>206025.518897314</v>
      </c>
      <c r="K70" s="50" t="n">
        <f aca="false">SUM(E70:H70)-I70+J70</f>
        <v>322665.518897314</v>
      </c>
      <c r="L70" s="50" t="n">
        <f aca="false">B70+C70+D70+K70</f>
        <v>13371007.7105652</v>
      </c>
      <c r="M70" s="66" t="n">
        <f aca="false">IF(B70&gt;0,L70/B70-1,0)</f>
        <v>0.044198309404111</v>
      </c>
      <c r="N70" s="50" t="n">
        <f aca="false">N69*(1+Paths!C70)+F70*(1-dep_asia)</f>
        <v>1394933.25203601</v>
      </c>
      <c r="O70" s="50" t="n">
        <f aca="false">O69*(1+Paths!C70)+G70*(1-dep_asia)</f>
        <v>280905.081148732</v>
      </c>
      <c r="P70" s="50" t="n">
        <f aca="false">P69*(1+Paths!C70)+H70*(1-dep_asia)</f>
        <v>142315.654647342</v>
      </c>
      <c r="Q70" s="50" t="n">
        <f aca="false">Q69*(1+Paths!C70)+Labour!AK70*gw_asian</f>
        <v>221702.151789282</v>
      </c>
      <c r="R70" s="50" t="n">
        <f aca="false">R69*(1+Paths!C70)+Labour!AF70*family_mult</f>
        <v>109209.361628375</v>
      </c>
      <c r="S70" s="66" t="n">
        <f aca="false">(N70+O70+P70+Q70+R70)/L70</f>
        <v>0.160725769348831</v>
      </c>
      <c r="T70" s="50" t="n">
        <f aca="false">SUM(E70:H70)*Paths!J70</f>
        <v>45600</v>
      </c>
      <c r="U70" s="65" t="n">
        <f aca="false">Paths!K70</f>
        <v>9007495</v>
      </c>
      <c r="V70" s="50" t="n">
        <f aca="false">IF(Gulf!E70=1,Gulf!B70,0)</f>
        <v>0</v>
      </c>
      <c r="W70" s="50" t="n">
        <f aca="false">L70+V70</f>
        <v>13371007.7105652</v>
      </c>
      <c r="X70" s="50" t="n">
        <f aca="false">W70+Labour!L70</f>
        <v>13881271.8450484</v>
      </c>
    </row>
    <row r="71" customFormat="false" ht="14.25" hidden="false" customHeight="false" outlineLevel="0" collapsed="false">
      <c r="A71" s="61" t="n">
        <v>1911</v>
      </c>
      <c r="B71" s="50" t="n">
        <f aca="false">L70</f>
        <v>13371007.7105652</v>
      </c>
      <c r="C71" s="65" t="n">
        <f aca="false">Paths!D71</f>
        <v>0</v>
      </c>
      <c r="D71" s="50" t="n">
        <f aca="false">B71*Paths!C71</f>
        <v>254049.146500739</v>
      </c>
      <c r="E71" s="50" t="n">
        <f aca="false">Paths!E71*IF($A71&gt;=1896,mig_scale,1)</f>
        <v>90000</v>
      </c>
      <c r="F71" s="50" t="n">
        <f aca="false">Paths!F71*IF($A71&gt;=1896,mig_scale,1)</f>
        <v>28000</v>
      </c>
      <c r="G71" s="50" t="n">
        <f aca="false">Paths!G71*IF($A71&gt;=1896,mig_scale,1)</f>
        <v>25000</v>
      </c>
      <c r="H71" s="50" t="n">
        <f aca="false">Paths!H71*IF($A71&gt;=1896,mig_scale,1)</f>
        <v>9000</v>
      </c>
      <c r="I71" s="50" t="n">
        <f aca="false">E71*Paths!I71+(F71+G71+H71)*dep_asia</f>
        <v>35360</v>
      </c>
      <c r="J71" s="65" t="n">
        <f aca="false">Labour!AL71</f>
        <v>230333.063958641</v>
      </c>
      <c r="K71" s="50" t="n">
        <f aca="false">SUM(E71:H71)-I71+J71</f>
        <v>346973.063958641</v>
      </c>
      <c r="L71" s="50" t="n">
        <f aca="false">B71+C71+D71+K71</f>
        <v>13972029.9210246</v>
      </c>
      <c r="M71" s="66" t="n">
        <f aca="false">IF(B71&gt;0,L71/B71-1,0)</f>
        <v>0.0449496570093575</v>
      </c>
      <c r="N71" s="50" t="n">
        <f aca="false">N70*(1+Paths!C71)+F71*(1-dep_asia)</f>
        <v>1441596.9838247</v>
      </c>
      <c r="O71" s="50" t="n">
        <f aca="false">O70*(1+Paths!C71)+G71*(1-dep_asia)</f>
        <v>304242.277690558</v>
      </c>
      <c r="P71" s="50" t="n">
        <f aca="false">P70*(1+Paths!C71)+H71*(1-dep_asia)</f>
        <v>151499.652085641</v>
      </c>
      <c r="Q71" s="50" t="n">
        <f aca="false">Q70*(1+Paths!C71)+Labour!AK71*gw_asian</f>
        <v>242447.050630532</v>
      </c>
      <c r="R71" s="50" t="n">
        <f aca="false">R70*(1+Paths!C71)+Labour!AF71*family_mult</f>
        <v>122856.816516999</v>
      </c>
      <c r="S71" s="66" t="n">
        <f aca="false">(N71+O71+P71+Q71+R71)/L71</f>
        <v>0.161940877133657</v>
      </c>
      <c r="T71" s="50" t="n">
        <f aca="false">SUM(E71:H71)*Paths!J71</f>
        <v>45600</v>
      </c>
      <c r="U71" s="65" t="n">
        <f aca="false">Paths!K71</f>
        <v>9190150</v>
      </c>
      <c r="V71" s="50" t="n">
        <f aca="false">IF(Gulf!E71=1,Gulf!B71,0)</f>
        <v>0</v>
      </c>
      <c r="W71" s="50" t="n">
        <f aca="false">L71+V71</f>
        <v>13972029.9210246</v>
      </c>
      <c r="X71" s="50" t="n">
        <f aca="false">W71+Labour!L71</f>
        <v>14510523.1700184</v>
      </c>
    </row>
    <row r="72" customFormat="false" ht="14.25" hidden="false" customHeight="false" outlineLevel="0" collapsed="false">
      <c r="A72" s="61" t="n">
        <v>1912</v>
      </c>
      <c r="B72" s="50" t="n">
        <f aca="false">L71</f>
        <v>13972029.9210246</v>
      </c>
      <c r="C72" s="65" t="n">
        <f aca="false">Paths!D72</f>
        <v>0</v>
      </c>
      <c r="D72" s="50" t="n">
        <f aca="false">B72*Paths!C72</f>
        <v>265468.568499467</v>
      </c>
      <c r="E72" s="50" t="n">
        <f aca="false">Paths!E72*IF($A72&gt;=1896,mig_scale,1)</f>
        <v>90000</v>
      </c>
      <c r="F72" s="50" t="n">
        <f aca="false">Paths!F72*IF($A72&gt;=1896,mig_scale,1)</f>
        <v>28000</v>
      </c>
      <c r="G72" s="50" t="n">
        <f aca="false">Paths!G72*IF($A72&gt;=1896,mig_scale,1)</f>
        <v>25000</v>
      </c>
      <c r="H72" s="50" t="n">
        <f aca="false">Paths!H72*IF($A72&gt;=1896,mig_scale,1)</f>
        <v>9000</v>
      </c>
      <c r="I72" s="50" t="n">
        <f aca="false">E72*Paths!I72+(F72+G72+H72)*dep_asia</f>
        <v>35360</v>
      </c>
      <c r="J72" s="65" t="n">
        <f aca="false">Labour!AL72</f>
        <v>244695.158579819</v>
      </c>
      <c r="K72" s="50" t="n">
        <f aca="false">SUM(E72:H72)-I72+J72</f>
        <v>361335.158579819</v>
      </c>
      <c r="L72" s="50" t="n">
        <f aca="false">B72+C72+D72+K72</f>
        <v>14598833.6481039</v>
      </c>
      <c r="M72" s="66" t="n">
        <f aca="false">IF(B72&gt;0,L72/B72-1,0)</f>
        <v>0.0448613215561537</v>
      </c>
      <c r="N72" s="50" t="n">
        <f aca="false">N71*(1+Paths!C72)+F72*(1-dep_asia)</f>
        <v>1489147.32651737</v>
      </c>
      <c r="O72" s="50" t="n">
        <f aca="false">O71*(1+Paths!C72)+G72*(1-dep_asia)</f>
        <v>328022.880966679</v>
      </c>
      <c r="P72" s="50" t="n">
        <f aca="false">P71*(1+Paths!C72)+H72*(1-dep_asia)</f>
        <v>160858.145475269</v>
      </c>
      <c r="Q72" s="50" t="n">
        <f aca="false">Q71*(1+Paths!C72)+Labour!AK72*gw_asian</f>
        <v>264500.725859913</v>
      </c>
      <c r="R72" s="50" t="n">
        <f aca="false">R71*(1+Paths!C72)+Labour!AF72*family_mult</f>
        <v>137839.409499444</v>
      </c>
      <c r="S72" s="66" t="n">
        <f aca="false">(N72+O72+P72+Q72+R72)/L72</f>
        <v>0.163051963307208</v>
      </c>
      <c r="T72" s="50" t="n">
        <f aca="false">SUM(E72:H72)*Paths!J72</f>
        <v>45600</v>
      </c>
      <c r="U72" s="65" t="n">
        <f aca="false">Paths!K72</f>
        <v>9372853</v>
      </c>
      <c r="V72" s="50" t="n">
        <f aca="false">IF(Gulf!E72=1,Gulf!B72,0)</f>
        <v>0</v>
      </c>
      <c r="W72" s="50" t="n">
        <f aca="false">L72+V72</f>
        <v>14598833.6481039</v>
      </c>
      <c r="X72" s="50" t="n">
        <f aca="false">W72+Labour!L72</f>
        <v>15164526.9937776</v>
      </c>
    </row>
    <row r="73" customFormat="false" ht="14.25" hidden="false" customHeight="false" outlineLevel="0" collapsed="false">
      <c r="A73" s="61" t="n">
        <v>1913</v>
      </c>
      <c r="B73" s="50" t="n">
        <f aca="false">L72</f>
        <v>14598833.6481039</v>
      </c>
      <c r="C73" s="65" t="n">
        <f aca="false">Paths!D73</f>
        <v>0</v>
      </c>
      <c r="D73" s="50" t="n">
        <f aca="false">B73*Paths!C73</f>
        <v>248180.172017766</v>
      </c>
      <c r="E73" s="50" t="n">
        <f aca="false">Paths!E73*IF($A73&gt;=1896,mig_scale,1)</f>
        <v>90000</v>
      </c>
      <c r="F73" s="50" t="n">
        <f aca="false">Paths!F73*IF($A73&gt;=1896,mig_scale,1)</f>
        <v>28000</v>
      </c>
      <c r="G73" s="50" t="n">
        <f aca="false">Paths!G73*IF($A73&gt;=1896,mig_scale,1)</f>
        <v>25000</v>
      </c>
      <c r="H73" s="50" t="n">
        <f aca="false">Paths!H73*IF($A73&gt;=1896,mig_scale,1)</f>
        <v>9000</v>
      </c>
      <c r="I73" s="50" t="n">
        <f aca="false">E73*Paths!I73+(F73+G73+H73)*dep_asia</f>
        <v>35360</v>
      </c>
      <c r="J73" s="65" t="n">
        <f aca="false">Labour!AL73</f>
        <v>265924.402145676</v>
      </c>
      <c r="K73" s="50" t="n">
        <f aca="false">SUM(E73:H73)-I73+J73</f>
        <v>382564.402145676</v>
      </c>
      <c r="L73" s="50" t="n">
        <f aca="false">B73+C73+D73+K73</f>
        <v>15229578.2222673</v>
      </c>
      <c r="M73" s="66" t="n">
        <f aca="false">IF(B73&gt;0,L73/B73-1,0)</f>
        <v>0.0432051346954943</v>
      </c>
      <c r="N73" s="50" t="n">
        <f aca="false">N72*(1+Paths!C73)+F73*(1-dep_asia)</f>
        <v>1534622.83106816</v>
      </c>
      <c r="O73" s="50" t="n">
        <f aca="false">O72*(1+Paths!C73)+G73*(1-dep_asia)</f>
        <v>351599.269943112</v>
      </c>
      <c r="P73" s="50" t="n">
        <f aca="false">P72*(1+Paths!C73)+H73*(1-dep_asia)</f>
        <v>170072.733948348</v>
      </c>
      <c r="Q73" s="50" t="n">
        <f aca="false">Q72*(1+Paths!C73)+Labour!AK73*gw_asian</f>
        <v>287325.70259936</v>
      </c>
      <c r="R73" s="50" t="n">
        <f aca="false">R72*(1+Paths!C73)+Labour!AF73*family_mult</f>
        <v>153640.766778908</v>
      </c>
      <c r="S73" s="66" t="n">
        <f aca="false">(N73+O73+P73+Q73+R73)/L73</f>
        <v>0.163974423184394</v>
      </c>
      <c r="T73" s="50" t="n">
        <f aca="false">SUM(E73:H73)*Paths!J73</f>
        <v>45600</v>
      </c>
      <c r="U73" s="65" t="n">
        <f aca="false">Paths!K73</f>
        <v>9555604</v>
      </c>
      <c r="V73" s="50" t="n">
        <f aca="false">IF(Gulf!E73=1,Gulf!B73,0)</f>
        <v>0</v>
      </c>
      <c r="W73" s="50" t="n">
        <f aca="false">L73+V73</f>
        <v>15229578.2222673</v>
      </c>
      <c r="X73" s="50" t="n">
        <f aca="false">W73+Labour!L73</f>
        <v>15825126.3166441</v>
      </c>
    </row>
    <row r="74" customFormat="false" ht="14.25" hidden="false" customHeight="false" outlineLevel="0" collapsed="false">
      <c r="A74" s="64" t="n">
        <v>1914</v>
      </c>
      <c r="B74" s="50" t="n">
        <f aca="false">L73</f>
        <v>15229578.2222673</v>
      </c>
      <c r="C74" s="65" t="n">
        <f aca="false">Paths!D74</f>
        <v>0</v>
      </c>
      <c r="D74" s="50" t="n">
        <f aca="false">B74*Paths!C74</f>
        <v>258902.829778544</v>
      </c>
      <c r="E74" s="50" t="n">
        <f aca="false">Paths!E74*IF($A74&gt;=1896,mig_scale,1)</f>
        <v>35000</v>
      </c>
      <c r="F74" s="50" t="n">
        <f aca="false">Paths!F74*IF($A74&gt;=1896,mig_scale,1)</f>
        <v>14000</v>
      </c>
      <c r="G74" s="50" t="n">
        <f aca="false">Paths!G74*IF($A74&gt;=1896,mig_scale,1)</f>
        <v>14000</v>
      </c>
      <c r="H74" s="50" t="n">
        <f aca="false">Paths!H74*IF($A74&gt;=1896,mig_scale,1)</f>
        <v>7000</v>
      </c>
      <c r="I74" s="50" t="n">
        <f aca="false">E74*Paths!I74+(F74+G74+H74)*dep_asia</f>
        <v>16800</v>
      </c>
      <c r="J74" s="65" t="n">
        <f aca="false">Labour!AL74</f>
        <v>251552.249426716</v>
      </c>
      <c r="K74" s="50" t="n">
        <f aca="false">SUM(E74:H74)-I74+J74</f>
        <v>304752.249426716</v>
      </c>
      <c r="L74" s="50" t="n">
        <f aca="false">B74+C74+D74+K74</f>
        <v>15793233.3014726</v>
      </c>
      <c r="M74" s="66" t="n">
        <f aca="false">IF(B74&gt;0,L74/B74-1,0)</f>
        <v>0.0370105508490797</v>
      </c>
      <c r="N74" s="50" t="n">
        <f aca="false">N73*(1+Paths!C74)+F74*(1-dep_asia)</f>
        <v>1570791.41919632</v>
      </c>
      <c r="O74" s="50" t="n">
        <f aca="false">O73*(1+Paths!C74)+G74*(1-dep_asia)</f>
        <v>367656.457532145</v>
      </c>
      <c r="P74" s="50" t="n">
        <f aca="false">P73*(1+Paths!C74)+H74*(1-dep_asia)</f>
        <v>178003.97042547</v>
      </c>
      <c r="Q74" s="50" t="n">
        <f aca="false">Q73*(1+Paths!C74)+Labour!AK74*gw_asian</f>
        <v>311505.997801356</v>
      </c>
      <c r="R74" s="50" t="n">
        <f aca="false">R73*(1+Paths!C74)+Labour!AF74*family_mult</f>
        <v>171224.342791094</v>
      </c>
      <c r="S74" s="66" t="n">
        <f aca="false">(N74+O74+P74+Q74+R74)/L74</f>
        <v>0.164575684923494</v>
      </c>
      <c r="T74" s="50" t="n">
        <f aca="false">SUM(E74:H74)*Paths!J74</f>
        <v>21000</v>
      </c>
      <c r="U74" s="65" t="n">
        <f aca="false">Paths!K74</f>
        <v>9738405</v>
      </c>
      <c r="V74" s="50" t="n">
        <f aca="false">IF(Gulf!E74=1,Gulf!B74,0)</f>
        <v>0</v>
      </c>
      <c r="W74" s="50" t="n">
        <f aca="false">L74+V74</f>
        <v>15793233.3014726</v>
      </c>
      <c r="X74" s="50" t="n">
        <f aca="false">W74+Labour!L74</f>
        <v>16389005.3820277</v>
      </c>
    </row>
    <row r="75" customFormat="false" ht="14.25" hidden="false" customHeight="false" outlineLevel="0" collapsed="false">
      <c r="A75" s="64" t="n">
        <v>1915</v>
      </c>
      <c r="B75" s="50" t="n">
        <f aca="false">L74</f>
        <v>15793233.3014726</v>
      </c>
      <c r="C75" s="65" t="n">
        <f aca="false">Paths!D75</f>
        <v>0</v>
      </c>
      <c r="D75" s="50" t="n">
        <f aca="false">B75*Paths!C75</f>
        <v>268484.966125034</v>
      </c>
      <c r="E75" s="50" t="n">
        <f aca="false">Paths!E75*IF($A75&gt;=1896,mig_scale,1)</f>
        <v>35000</v>
      </c>
      <c r="F75" s="50" t="n">
        <f aca="false">Paths!F75*IF($A75&gt;=1896,mig_scale,1)</f>
        <v>14000</v>
      </c>
      <c r="G75" s="50" t="n">
        <f aca="false">Paths!G75*IF($A75&gt;=1896,mig_scale,1)</f>
        <v>14000</v>
      </c>
      <c r="H75" s="50" t="n">
        <f aca="false">Paths!H75*IF($A75&gt;=1896,mig_scale,1)</f>
        <v>7000</v>
      </c>
      <c r="I75" s="50" t="n">
        <f aca="false">E75*Paths!I75+(F75+G75+H75)*dep_asia</f>
        <v>16800</v>
      </c>
      <c r="J75" s="65" t="n">
        <f aca="false">Labour!AL75</f>
        <v>215969.383624031</v>
      </c>
      <c r="K75" s="50" t="n">
        <f aca="false">SUM(E75:H75)-I75+J75</f>
        <v>269169.383624031</v>
      </c>
      <c r="L75" s="50" t="n">
        <f aca="false">B75+C75+D75+K75</f>
        <v>16330887.6512216</v>
      </c>
      <c r="M75" s="66" t="n">
        <f aca="false">IF(B75&gt;0,L75/B75-1,0)</f>
        <v>0.0340433361228782</v>
      </c>
      <c r="N75" s="50" t="n">
        <f aca="false">N74*(1+Paths!C75)+F75*(1-dep_asia)</f>
        <v>1607574.87332266</v>
      </c>
      <c r="O75" s="50" t="n">
        <f aca="false">O74*(1+Paths!C75)+G75*(1-dep_asia)</f>
        <v>383986.617310191</v>
      </c>
      <c r="P75" s="50" t="n">
        <f aca="false">P74*(1+Paths!C75)+H75*(1-dep_asia)</f>
        <v>186070.037922703</v>
      </c>
      <c r="Q75" s="50" t="n">
        <f aca="false">Q74*(1+Paths!C75)+Labour!AK75*gw_asian</f>
        <v>336104.615173965</v>
      </c>
      <c r="R75" s="50" t="n">
        <f aca="false">R74*(1+Paths!C75)+Labour!AF75*family_mult</f>
        <v>194044.659329337</v>
      </c>
      <c r="S75" s="66" t="n">
        <f aca="false">(N75+O75+P75+Q75+R75)/L75</f>
        <v>0.165807325412363</v>
      </c>
      <c r="T75" s="50" t="n">
        <f aca="false">SUM(E75:H75)*Paths!J75</f>
        <v>21000</v>
      </c>
      <c r="U75" s="65" t="n">
        <f aca="false">Paths!K75</f>
        <v>9921256</v>
      </c>
      <c r="V75" s="50" t="n">
        <f aca="false">IF(Gulf!E75=1,Gulf!B75,0)</f>
        <v>0</v>
      </c>
      <c r="W75" s="50" t="n">
        <f aca="false">L75+V75</f>
        <v>16330887.6512216</v>
      </c>
      <c r="X75" s="50" t="n">
        <f aca="false">W75+Labour!L75</f>
        <v>16985887.8854728</v>
      </c>
    </row>
    <row r="76" customFormat="false" ht="14.25" hidden="false" customHeight="false" outlineLevel="0" collapsed="false">
      <c r="A76" s="64" t="n">
        <v>1916</v>
      </c>
      <c r="B76" s="50" t="n">
        <f aca="false">L75</f>
        <v>16330887.6512216</v>
      </c>
      <c r="C76" s="65" t="n">
        <f aca="false">Paths!D76</f>
        <v>0</v>
      </c>
      <c r="D76" s="50" t="n">
        <f aca="false">B76*Paths!C76</f>
        <v>277625.090070768</v>
      </c>
      <c r="E76" s="50" t="n">
        <f aca="false">Paths!E76*IF($A76&gt;=1896,mig_scale,1)</f>
        <v>35000</v>
      </c>
      <c r="F76" s="50" t="n">
        <f aca="false">Paths!F76*IF($A76&gt;=1896,mig_scale,1)</f>
        <v>14000</v>
      </c>
      <c r="G76" s="50" t="n">
        <f aca="false">Paths!G76*IF($A76&gt;=1896,mig_scale,1)</f>
        <v>14000</v>
      </c>
      <c r="H76" s="50" t="n">
        <f aca="false">Paths!H76*IF($A76&gt;=1896,mig_scale,1)</f>
        <v>7000</v>
      </c>
      <c r="I76" s="50" t="n">
        <f aca="false">E76*Paths!I76+(F76+G76+H76)*dep_asia</f>
        <v>16800</v>
      </c>
      <c r="J76" s="65" t="n">
        <f aca="false">Labour!AL76</f>
        <v>181190.65368694</v>
      </c>
      <c r="K76" s="50" t="n">
        <f aca="false">SUM(E76:H76)-I76+J76</f>
        <v>234390.65368694</v>
      </c>
      <c r="L76" s="50" t="n">
        <f aca="false">B76+C76+D76+K76</f>
        <v>16842903.3949794</v>
      </c>
      <c r="M76" s="66" t="n">
        <f aca="false">IF(B76&gt;0,L76/B76-1,0)</f>
        <v>0.0313525972802466</v>
      </c>
      <c r="N76" s="50" t="n">
        <f aca="false">N75*(1+Paths!C76)+F76*(1-dep_asia)</f>
        <v>1644983.64616914</v>
      </c>
      <c r="O76" s="50" t="n">
        <f aca="false">O75*(1+Paths!C76)+G76*(1-dep_asia)</f>
        <v>400594.389804465</v>
      </c>
      <c r="P76" s="50" t="n">
        <f aca="false">P75*(1+Paths!C76)+H76*(1-dep_asia)</f>
        <v>194273.228567389</v>
      </c>
      <c r="Q76" s="50" t="n">
        <f aca="false">Q75*(1+Paths!C76)+Labour!AK76*gw_asian</f>
        <v>363040.401221659</v>
      </c>
      <c r="R76" s="50" t="n">
        <f aca="false">R75*(1+Paths!C76)+Labour!AF76*family_mult</f>
        <v>215637.033082742</v>
      </c>
      <c r="S76" s="66" t="n">
        <f aca="false">(N76+O76+P76+Q76+R76)/L76</f>
        <v>0.167342211301026</v>
      </c>
      <c r="T76" s="50" t="n">
        <f aca="false">SUM(E76:H76)*Paths!J76</f>
        <v>21000</v>
      </c>
      <c r="U76" s="65" t="n">
        <f aca="false">Paths!K76</f>
        <v>10104159</v>
      </c>
      <c r="V76" s="50" t="n">
        <f aca="false">IF(Gulf!E76=1,Gulf!B76,0)</f>
        <v>0</v>
      </c>
      <c r="W76" s="50" t="n">
        <f aca="false">L76+V76</f>
        <v>16842903.3949794</v>
      </c>
      <c r="X76" s="50" t="n">
        <f aca="false">W76+Labour!L76</f>
        <v>17553860.0822116</v>
      </c>
    </row>
    <row r="77" customFormat="false" ht="14.25" hidden="false" customHeight="false" outlineLevel="0" collapsed="false">
      <c r="A77" s="64" t="n">
        <v>1917</v>
      </c>
      <c r="B77" s="50" t="n">
        <f aca="false">L76</f>
        <v>16842903.3949794</v>
      </c>
      <c r="C77" s="65" t="n">
        <f aca="false">Paths!D77</f>
        <v>0</v>
      </c>
      <c r="D77" s="50" t="n">
        <f aca="false">B77*Paths!C77</f>
        <v>252643.55092469</v>
      </c>
      <c r="E77" s="50" t="n">
        <f aca="false">Paths!E77*IF($A77&gt;=1896,mig_scale,1)</f>
        <v>35000</v>
      </c>
      <c r="F77" s="50" t="n">
        <f aca="false">Paths!F77*IF($A77&gt;=1896,mig_scale,1)</f>
        <v>14000</v>
      </c>
      <c r="G77" s="50" t="n">
        <f aca="false">Paths!G77*IF($A77&gt;=1896,mig_scale,1)</f>
        <v>14000</v>
      </c>
      <c r="H77" s="50" t="n">
        <f aca="false">Paths!H77*IF($A77&gt;=1896,mig_scale,1)</f>
        <v>7000</v>
      </c>
      <c r="I77" s="50" t="n">
        <f aca="false">E77*Paths!I77+(F77+G77+H77)*dep_asia</f>
        <v>16800</v>
      </c>
      <c r="J77" s="65" t="n">
        <f aca="false">Labour!AL77</f>
        <v>165290.006281407</v>
      </c>
      <c r="K77" s="50" t="n">
        <f aca="false">SUM(E77:H77)-I77+J77</f>
        <v>218490.006281407</v>
      </c>
      <c r="L77" s="50" t="n">
        <f aca="false">B77+C77+D77+K77</f>
        <v>17314036.9521854</v>
      </c>
      <c r="M77" s="66" t="n">
        <f aca="false">IF(B77&gt;0,L77/B77-1,0)</f>
        <v>0.0279722293809828</v>
      </c>
      <c r="N77" s="50" t="n">
        <f aca="false">N76*(1+Paths!C77)+F77*(1-dep_asia)</f>
        <v>1679738.40086168</v>
      </c>
      <c r="O77" s="50" t="n">
        <f aca="false">O76*(1+Paths!C77)+G77*(1-dep_asia)</f>
        <v>416683.305651532</v>
      </c>
      <c r="P77" s="50" t="n">
        <f aca="false">P76*(1+Paths!C77)+H77*(1-dep_asia)</f>
        <v>202227.3269959</v>
      </c>
      <c r="Q77" s="50" t="n">
        <f aca="false">Q76*(1+Paths!C77)+Labour!AK77*gw_asian</f>
        <v>391521.00390631</v>
      </c>
      <c r="R77" s="50" t="n">
        <f aca="false">R76*(1+Paths!C77)+Labour!AF77*family_mult</f>
        <v>240043.14635903</v>
      </c>
      <c r="S77" s="66" t="n">
        <f aca="false">(N77+O77+P77+Q77+R77)/L77</f>
        <v>0.169239166571409</v>
      </c>
      <c r="T77" s="50" t="n">
        <f aca="false">SUM(E77:H77)*Paths!J77</f>
        <v>21000</v>
      </c>
      <c r="U77" s="65" t="n">
        <f aca="false">Paths!K77</f>
        <v>10287114</v>
      </c>
      <c r="V77" s="50" t="n">
        <f aca="false">IF(Gulf!E77=1,Gulf!B77,0)</f>
        <v>0</v>
      </c>
      <c r="W77" s="50" t="n">
        <f aca="false">L77+V77</f>
        <v>17314036.9521854</v>
      </c>
      <c r="X77" s="50" t="n">
        <f aca="false">W77+Labour!L77</f>
        <v>18071895.9507593</v>
      </c>
    </row>
    <row r="78" customFormat="false" ht="14.25" hidden="false" customHeight="false" outlineLevel="0" collapsed="false">
      <c r="A78" s="64" t="n">
        <v>1918</v>
      </c>
      <c r="B78" s="50" t="n">
        <f aca="false">L77</f>
        <v>17314036.9521854</v>
      </c>
      <c r="C78" s="65" t="n">
        <f aca="false">Paths!D78</f>
        <v>0</v>
      </c>
      <c r="D78" s="50" t="n">
        <f aca="false">B78*Paths!C78</f>
        <v>86570.1847609272</v>
      </c>
      <c r="E78" s="50" t="n">
        <f aca="false">Paths!E78*IF($A78&gt;=1896,mig_scale,1)</f>
        <v>35000</v>
      </c>
      <c r="F78" s="50" t="n">
        <f aca="false">Paths!F78*IF($A78&gt;=1896,mig_scale,1)</f>
        <v>14000</v>
      </c>
      <c r="G78" s="50" t="n">
        <f aca="false">Paths!G78*IF($A78&gt;=1896,mig_scale,1)</f>
        <v>14000</v>
      </c>
      <c r="H78" s="50" t="n">
        <f aca="false">Paths!H78*IF($A78&gt;=1896,mig_scale,1)</f>
        <v>7000</v>
      </c>
      <c r="I78" s="50" t="n">
        <f aca="false">E78*Paths!I78+(F78+G78+H78)*dep_asia</f>
        <v>16800</v>
      </c>
      <c r="J78" s="65" t="n">
        <f aca="false">Labour!AL78</f>
        <v>125831.456833886</v>
      </c>
      <c r="K78" s="50" t="n">
        <f aca="false">SUM(E78:H78)-I78+J78</f>
        <v>179031.456833886</v>
      </c>
      <c r="L78" s="50" t="n">
        <f aca="false">B78+C78+D78+K78</f>
        <v>17579638.5937803</v>
      </c>
      <c r="M78" s="66" t="n">
        <f aca="false">IF(B78&gt;0,L78/B78-1,0)</f>
        <v>0.0153402492052142</v>
      </c>
      <c r="N78" s="50" t="n">
        <f aca="false">N77*(1+Paths!C78)+F78*(1-dep_asia)</f>
        <v>1698217.09286599</v>
      </c>
      <c r="O78" s="50" t="n">
        <f aca="false">O77*(1+Paths!C78)+G78*(1-dep_asia)</f>
        <v>428846.722179789</v>
      </c>
      <c r="P78" s="50" t="n">
        <f aca="false">P77*(1+Paths!C78)+H78*(1-dep_asia)</f>
        <v>208278.463630879</v>
      </c>
      <c r="Q78" s="50" t="n">
        <f aca="false">Q77*(1+Paths!C78)+Labour!AK78*gw_asian</f>
        <v>418033.240479635</v>
      </c>
      <c r="R78" s="50" t="n">
        <f aca="false">R77*(1+Paths!C78)+Labour!AF78*family_mult</f>
        <v>264337.783017868</v>
      </c>
      <c r="S78" s="66" t="n">
        <f aca="false">(N78+O78+P78+Q78+R78)/L78</f>
        <v>0.171659575711746</v>
      </c>
      <c r="T78" s="50" t="n">
        <f aca="false">SUM(E78:H78)*Paths!J78</f>
        <v>21000</v>
      </c>
      <c r="U78" s="65" t="n">
        <f aca="false">Paths!K78</f>
        <v>10470122</v>
      </c>
      <c r="V78" s="50" t="n">
        <f aca="false">IF(Gulf!E78=1,Gulf!B78,0)</f>
        <v>0</v>
      </c>
      <c r="W78" s="50" t="n">
        <f aca="false">L78+V78</f>
        <v>17579638.5937803</v>
      </c>
      <c r="X78" s="50" t="n">
        <f aca="false">W78+Labour!L78</f>
        <v>18364074.5759792</v>
      </c>
    </row>
    <row r="79" customFormat="false" ht="14.25" hidden="false" customHeight="false" outlineLevel="0" collapsed="false">
      <c r="A79" s="64" t="n">
        <v>1919</v>
      </c>
      <c r="B79" s="50" t="n">
        <f aca="false">L78</f>
        <v>17579638.5937803</v>
      </c>
      <c r="C79" s="65" t="n">
        <f aca="false">Paths!D79</f>
        <v>0</v>
      </c>
      <c r="D79" s="50" t="n">
        <f aca="false">B79*Paths!C79</f>
        <v>263694.578906704</v>
      </c>
      <c r="E79" s="50" t="n">
        <f aca="false">Paths!E79*IF($A79&gt;=1896,mig_scale,1)</f>
        <v>110000</v>
      </c>
      <c r="F79" s="50" t="n">
        <f aca="false">Paths!F79*IF($A79&gt;=1896,mig_scale,1)</f>
        <v>30000</v>
      </c>
      <c r="G79" s="50" t="n">
        <f aca="false">Paths!G79*IF($A79&gt;=1896,mig_scale,1)</f>
        <v>30000</v>
      </c>
      <c r="H79" s="50" t="n">
        <f aca="false">Paths!H79*IF($A79&gt;=1896,mig_scale,1)</f>
        <v>20000</v>
      </c>
      <c r="I79" s="50" t="n">
        <f aca="false">E79*Paths!I79+(F79+G79+H79)*dep_asia</f>
        <v>44400</v>
      </c>
      <c r="J79" s="65" t="n">
        <f aca="false">Labour!AL79</f>
        <v>172688.811747532</v>
      </c>
      <c r="K79" s="50" t="n">
        <f aca="false">SUM(E79:H79)-I79+J79</f>
        <v>318288.811747532</v>
      </c>
      <c r="L79" s="50" t="n">
        <f aca="false">B79+C79+D79+K79</f>
        <v>18161621.9844345</v>
      </c>
      <c r="M79" s="66" t="n">
        <f aca="false">IF(B79&gt;0,L79/B79-1,0)</f>
        <v>0.0331055378385392</v>
      </c>
      <c r="N79" s="50" t="n">
        <f aca="false">N78*(1+Paths!C79)+F79*(1-dep_asia)</f>
        <v>1745290.34925898</v>
      </c>
      <c r="O79" s="50" t="n">
        <f aca="false">O78*(1+Paths!C79)+G79*(1-dep_asia)</f>
        <v>456879.423012486</v>
      </c>
      <c r="P79" s="50" t="n">
        <f aca="false">P78*(1+Paths!C79)+H79*(1-dep_asia)</f>
        <v>225802.640585342</v>
      </c>
      <c r="Q79" s="50" t="n">
        <f aca="false">Q78*(1+Paths!C79)+Labour!AK79*gw_asian</f>
        <v>449719.464910076</v>
      </c>
      <c r="R79" s="50" t="n">
        <f aca="false">R78*(1+Paths!C79)+Labour!AF79*family_mult</f>
        <v>287403.404016043</v>
      </c>
      <c r="S79" s="66" t="n">
        <f aca="false">(N79+O79+P79+Q79+R79)/L79</f>
        <v>0.174273822266292</v>
      </c>
      <c r="T79" s="50" t="n">
        <f aca="false">SUM(E79:H79)*Paths!J79</f>
        <v>57000</v>
      </c>
      <c r="U79" s="65" t="n">
        <f aca="false">Paths!K79</f>
        <v>10666184</v>
      </c>
      <c r="V79" s="50" t="n">
        <f aca="false">IF(Gulf!E79=1,Gulf!B79,0)</f>
        <v>0</v>
      </c>
      <c r="W79" s="50" t="n">
        <f aca="false">L79+V79</f>
        <v>18161621.9844345</v>
      </c>
      <c r="X79" s="50" t="n">
        <f aca="false">W79+Labour!L79</f>
        <v>18961729.2875694</v>
      </c>
    </row>
    <row r="80" customFormat="false" ht="14.25" hidden="false" customHeight="false" outlineLevel="0" collapsed="false">
      <c r="A80" s="64" t="n">
        <v>1920</v>
      </c>
      <c r="B80" s="50" t="n">
        <f aca="false">L79</f>
        <v>18161621.9844345</v>
      </c>
      <c r="C80" s="65" t="n">
        <f aca="false">Paths!D80</f>
        <v>0</v>
      </c>
      <c r="D80" s="50" t="n">
        <f aca="false">B80*Paths!C80</f>
        <v>272424.329766517</v>
      </c>
      <c r="E80" s="50" t="n">
        <f aca="false">Paths!E80*IF($A80&gt;=1896,mig_scale,1)</f>
        <v>110000</v>
      </c>
      <c r="F80" s="50" t="n">
        <f aca="false">Paths!F80*IF($A80&gt;=1896,mig_scale,1)</f>
        <v>30000</v>
      </c>
      <c r="G80" s="50" t="n">
        <f aca="false">Paths!G80*IF($A80&gt;=1896,mig_scale,1)</f>
        <v>30000</v>
      </c>
      <c r="H80" s="50" t="n">
        <f aca="false">Paths!H80*IF($A80&gt;=1896,mig_scale,1)</f>
        <v>20000</v>
      </c>
      <c r="I80" s="50" t="n">
        <f aca="false">E80*Paths!I80+(F80+G80+H80)*dep_asia</f>
        <v>44400</v>
      </c>
      <c r="J80" s="65" t="n">
        <f aca="false">Labour!AL80</f>
        <v>197023.121985854</v>
      </c>
      <c r="K80" s="50" t="n">
        <f aca="false">SUM(E80:H80)-I80+J80</f>
        <v>342623.121985854</v>
      </c>
      <c r="L80" s="50" t="n">
        <f aca="false">B80+C80+D80+K80</f>
        <v>18776669.4361869</v>
      </c>
      <c r="M80" s="66" t="n">
        <f aca="false">IF(B80&gt;0,L80/B80-1,0)</f>
        <v>0.0338652270309061</v>
      </c>
      <c r="N80" s="50" t="n">
        <f aca="false">N79*(1+Paths!C80)+F80*(1-dep_asia)</f>
        <v>1793069.70449786</v>
      </c>
      <c r="O80" s="50" t="n">
        <f aca="false">O79*(1+Paths!C80)+G80*(1-dep_asia)</f>
        <v>485332.614357673</v>
      </c>
      <c r="P80" s="50" t="n">
        <f aca="false">P79*(1+Paths!C80)+H80*(1-dep_asia)</f>
        <v>243589.680194123</v>
      </c>
      <c r="Q80" s="50" t="n">
        <f aca="false">Q79*(1+Paths!C80)+Labour!AK80*gw_asian</f>
        <v>482388.733505298</v>
      </c>
      <c r="R80" s="50" t="n">
        <f aca="false">R79*(1+Paths!C80)+Labour!AF80*family_mult</f>
        <v>313527.898533509</v>
      </c>
      <c r="S80" s="66" t="n">
        <f aca="false">(N80+O80+P80+Q80+R80)/L80</f>
        <v>0.176703788835634</v>
      </c>
      <c r="T80" s="50" t="n">
        <f aca="false">SUM(E80:H80)*Paths!J80</f>
        <v>57000</v>
      </c>
      <c r="U80" s="65" t="n">
        <f aca="false">Paths!K80</f>
        <v>10862301</v>
      </c>
      <c r="V80" s="50" t="n">
        <f aca="false">IF(Gulf!E80=1,Gulf!B80,0)</f>
        <v>0</v>
      </c>
      <c r="W80" s="50" t="n">
        <f aca="false">L80+V80</f>
        <v>18776669.4361869</v>
      </c>
      <c r="X80" s="50" t="n">
        <f aca="false">W80+Labour!L80</f>
        <v>19585344.9343252</v>
      </c>
    </row>
    <row r="81" customFormat="false" ht="14.25" hidden="false" customHeight="false" outlineLevel="0" collapsed="false">
      <c r="A81" s="64" t="n">
        <v>1921</v>
      </c>
      <c r="B81" s="50" t="n">
        <f aca="false">L80</f>
        <v>18776669.4361869</v>
      </c>
      <c r="C81" s="65" t="n">
        <f aca="false">Paths!D81</f>
        <v>0</v>
      </c>
      <c r="D81" s="50" t="n">
        <f aca="false">B81*Paths!C81</f>
        <v>281650.041542803</v>
      </c>
      <c r="E81" s="50" t="n">
        <f aca="false">Paths!E81*IF($A81&gt;=1896,mig_scale,1)</f>
        <v>110000</v>
      </c>
      <c r="F81" s="50" t="n">
        <f aca="false">Paths!F81*IF($A81&gt;=1896,mig_scale,1)</f>
        <v>30000</v>
      </c>
      <c r="G81" s="50" t="n">
        <f aca="false">Paths!G81*IF($A81&gt;=1896,mig_scale,1)</f>
        <v>30000</v>
      </c>
      <c r="H81" s="50" t="n">
        <f aca="false">Paths!H81*IF($A81&gt;=1896,mig_scale,1)</f>
        <v>20000</v>
      </c>
      <c r="I81" s="50" t="n">
        <f aca="false">E81*Paths!I81+(F81+G81+H81)*dep_asia</f>
        <v>44400</v>
      </c>
      <c r="J81" s="65" t="n">
        <f aca="false">Labour!AL81</f>
        <v>267536.159089997</v>
      </c>
      <c r="K81" s="50" t="n">
        <f aca="false">SUM(E81:H81)-I81+J81</f>
        <v>413136.159089997</v>
      </c>
      <c r="L81" s="50" t="n">
        <f aca="false">B81+C81+D81+K81</f>
        <v>19471455.6368197</v>
      </c>
      <c r="M81" s="66" t="n">
        <f aca="false">IF(B81&gt;0,L81/B81-1,0)</f>
        <v>0.0370026326018069</v>
      </c>
      <c r="N81" s="50" t="n">
        <f aca="false">N80*(1+Paths!C81)+F81*(1-dep_asia)</f>
        <v>1841565.75006533</v>
      </c>
      <c r="O81" s="50" t="n">
        <f aca="false">O80*(1+Paths!C81)+G81*(1-dep_asia)</f>
        <v>514212.603573038</v>
      </c>
      <c r="P81" s="50" t="n">
        <f aca="false">P80*(1+Paths!C81)+H81*(1-dep_asia)</f>
        <v>261643.525397034</v>
      </c>
      <c r="Q81" s="50" t="n">
        <f aca="false">Q80*(1+Paths!C81)+Labour!AK81*gw_asian</f>
        <v>515825.650647558</v>
      </c>
      <c r="R81" s="50" t="n">
        <f aca="false">R80*(1+Paths!C81)+Labour!AF81*family_mult</f>
        <v>345469.781689176</v>
      </c>
      <c r="S81" s="66" t="n">
        <f aca="false">(N81+O81+P81+Q81+R81)/L81</f>
        <v>0.178657280495971</v>
      </c>
      <c r="T81" s="50" t="n">
        <f aca="false">SUM(E81:H81)*Paths!J81</f>
        <v>57000</v>
      </c>
      <c r="U81" s="65" t="n">
        <f aca="false">Paths!K81</f>
        <v>11058475</v>
      </c>
      <c r="V81" s="50" t="n">
        <f aca="false">IF(Gulf!E81=1,Gulf!B81,0)</f>
        <v>0</v>
      </c>
      <c r="W81" s="50" t="n">
        <f aca="false">L81+V81</f>
        <v>19471455.6368197</v>
      </c>
      <c r="X81" s="50" t="n">
        <f aca="false">W81+Labour!L81</f>
        <v>20193923.770228</v>
      </c>
    </row>
    <row r="82" customFormat="false" ht="14.25" hidden="false" customHeight="false" outlineLevel="0" collapsed="false">
      <c r="A82" s="64" t="n">
        <v>1922</v>
      </c>
      <c r="B82" s="50" t="n">
        <f aca="false">L81</f>
        <v>19471455.6368197</v>
      </c>
      <c r="C82" s="65" t="n">
        <f aca="false">Paths!D82</f>
        <v>0</v>
      </c>
      <c r="D82" s="50" t="n">
        <f aca="false">B82*Paths!C82</f>
        <v>292071.834552295</v>
      </c>
      <c r="E82" s="50" t="n">
        <f aca="false">Paths!E82*IF($A82&gt;=1896,mig_scale,1)</f>
        <v>110000</v>
      </c>
      <c r="F82" s="50" t="n">
        <f aca="false">Paths!F82*IF($A82&gt;=1896,mig_scale,1)</f>
        <v>30000</v>
      </c>
      <c r="G82" s="50" t="n">
        <f aca="false">Paths!G82*IF($A82&gt;=1896,mig_scale,1)</f>
        <v>30000</v>
      </c>
      <c r="H82" s="50" t="n">
        <f aca="false">Paths!H82*IF($A82&gt;=1896,mig_scale,1)</f>
        <v>20000</v>
      </c>
      <c r="I82" s="50" t="n">
        <f aca="false">E82*Paths!I82+(F82+G82+H82)*dep_asia</f>
        <v>44400</v>
      </c>
      <c r="J82" s="65" t="n">
        <f aca="false">Labour!AL82</f>
        <v>276771.121138922</v>
      </c>
      <c r="K82" s="50" t="n">
        <f aca="false">SUM(E82:H82)-I82+J82</f>
        <v>422371.121138922</v>
      </c>
      <c r="L82" s="50" t="n">
        <f aca="false">B82+C82+D82+K82</f>
        <v>20185898.5925109</v>
      </c>
      <c r="M82" s="66" t="n">
        <f aca="false">IF(B82&gt;0,L82/B82-1,0)</f>
        <v>0.0366918102589227</v>
      </c>
      <c r="N82" s="50" t="n">
        <f aca="false">N81*(1+Paths!C82)+F82*(1-dep_asia)</f>
        <v>1890789.23631631</v>
      </c>
      <c r="O82" s="50" t="n">
        <f aca="false">O81*(1+Paths!C82)+G82*(1-dep_asia)</f>
        <v>543525.792626634</v>
      </c>
      <c r="P82" s="50" t="n">
        <f aca="false">P81*(1+Paths!C82)+H82*(1-dep_asia)</f>
        <v>279968.17827799</v>
      </c>
      <c r="Q82" s="50" t="n">
        <f aca="false">Q81*(1+Paths!C82)+Labour!AK82*gw_asian</f>
        <v>546971.002929703</v>
      </c>
      <c r="R82" s="50" t="n">
        <f aca="false">R81*(1+Paths!C82)+Labour!AF82*family_mult</f>
        <v>384786.560228066</v>
      </c>
      <c r="S82" s="66" t="n">
        <f aca="false">(N82+O82+P82+Q82+R82)/L82</f>
        <v>0.180623158967588</v>
      </c>
      <c r="T82" s="50" t="n">
        <f aca="false">SUM(E82:H82)*Paths!J82</f>
        <v>57000</v>
      </c>
      <c r="U82" s="65" t="n">
        <f aca="false">Paths!K82</f>
        <v>11253705</v>
      </c>
      <c r="V82" s="50" t="n">
        <f aca="false">IF(Gulf!E82=1,Gulf!B82,0)</f>
        <v>0</v>
      </c>
      <c r="W82" s="50" t="n">
        <f aca="false">L82+V82</f>
        <v>20185898.5925109</v>
      </c>
      <c r="X82" s="50" t="n">
        <f aca="false">W82+Labour!L82</f>
        <v>20935246.6593605</v>
      </c>
    </row>
    <row r="83" customFormat="false" ht="14.25" hidden="false" customHeight="false" outlineLevel="0" collapsed="false">
      <c r="A83" s="61" t="n">
        <v>1923</v>
      </c>
      <c r="B83" s="50" t="n">
        <f aca="false">L82</f>
        <v>20185898.5925109</v>
      </c>
      <c r="C83" s="65" t="n">
        <f aca="false">Paths!D83</f>
        <v>0</v>
      </c>
      <c r="D83" s="50" t="n">
        <f aca="false">B83*Paths!C83</f>
        <v>302788.478887663</v>
      </c>
      <c r="E83" s="50" t="n">
        <f aca="false">Paths!E83*IF($A83&gt;=1896,mig_scale,1)</f>
        <v>110000</v>
      </c>
      <c r="F83" s="50" t="n">
        <f aca="false">Paths!F83*IF($A83&gt;=1896,mig_scale,1)</f>
        <v>30000</v>
      </c>
      <c r="G83" s="50" t="n">
        <f aca="false">Paths!G83*IF($A83&gt;=1896,mig_scale,1)</f>
        <v>30000</v>
      </c>
      <c r="H83" s="50" t="n">
        <f aca="false">Paths!H83*IF($A83&gt;=1896,mig_scale,1)</f>
        <v>20000</v>
      </c>
      <c r="I83" s="50" t="n">
        <f aca="false">E83*Paths!I83+(F83+G83+H83)*dep_asia</f>
        <v>44400</v>
      </c>
      <c r="J83" s="65" t="n">
        <f aca="false">Labour!AL83</f>
        <v>306938.84209818</v>
      </c>
      <c r="K83" s="50" t="n">
        <f aca="false">SUM(E83:H83)-I83+J83</f>
        <v>452538.84209818</v>
      </c>
      <c r="L83" s="50" t="n">
        <f aca="false">B83+C83+D83+K83</f>
        <v>20941225.9134967</v>
      </c>
      <c r="M83" s="66" t="n">
        <f aca="false">IF(B83&gt;0,L83/B83-1,0)</f>
        <v>0.0374185631382333</v>
      </c>
      <c r="N83" s="50" t="n">
        <f aca="false">N82*(1+Paths!C83)+F83*(1-dep_asia)</f>
        <v>1940751.07486105</v>
      </c>
      <c r="O83" s="50" t="n">
        <f aca="false">O82*(1+Paths!C83)+G83*(1-dep_asia)</f>
        <v>573278.679516033</v>
      </c>
      <c r="P83" s="50" t="n">
        <f aca="false">P82*(1+Paths!C83)+H83*(1-dep_asia)</f>
        <v>298567.70095216</v>
      </c>
      <c r="Q83" s="50" t="n">
        <f aca="false">Q82*(1+Paths!C83)+Labour!AK83*gw_asian</f>
        <v>579454.445339575</v>
      </c>
      <c r="R83" s="50" t="n">
        <f aca="false">R82*(1+Paths!C83)+Labour!AF83*family_mult</f>
        <v>421142.5374376</v>
      </c>
      <c r="S83" s="66" t="n">
        <f aca="false">(N83+O83+P83+Q83+R83)/L83</f>
        <v>0.182090315717801</v>
      </c>
      <c r="T83" s="50" t="n">
        <f aca="false">SUM(E83:H83)*Paths!J83</f>
        <v>57000</v>
      </c>
      <c r="U83" s="65" t="n">
        <f aca="false">Paths!K83</f>
        <v>11449994</v>
      </c>
      <c r="V83" s="50" t="n">
        <f aca="false">IF(Gulf!E83=1,Gulf!B83,0)</f>
        <v>0</v>
      </c>
      <c r="W83" s="50" t="n">
        <f aca="false">L83+V83</f>
        <v>20941225.9134967</v>
      </c>
      <c r="X83" s="50" t="n">
        <f aca="false">W83+Labour!L83</f>
        <v>21775678.9726084</v>
      </c>
    </row>
    <row r="84" customFormat="false" ht="14.25" hidden="false" customHeight="false" outlineLevel="0" collapsed="false">
      <c r="A84" s="61" t="n">
        <v>1924</v>
      </c>
      <c r="B84" s="50" t="n">
        <f aca="false">L83</f>
        <v>20941225.9134967</v>
      </c>
      <c r="C84" s="65" t="n">
        <f aca="false">Paths!D84</f>
        <v>0</v>
      </c>
      <c r="D84" s="50" t="n">
        <f aca="false">B84*Paths!C84</f>
        <v>314118.388702451</v>
      </c>
      <c r="E84" s="50" t="n">
        <f aca="false">Paths!E84*IF($A84&gt;=1896,mig_scale,1)</f>
        <v>110000</v>
      </c>
      <c r="F84" s="50" t="n">
        <f aca="false">Paths!F84*IF($A84&gt;=1896,mig_scale,1)</f>
        <v>30000</v>
      </c>
      <c r="G84" s="50" t="n">
        <f aca="false">Paths!G84*IF($A84&gt;=1896,mig_scale,1)</f>
        <v>30000</v>
      </c>
      <c r="H84" s="50" t="n">
        <f aca="false">Paths!H84*IF($A84&gt;=1896,mig_scale,1)</f>
        <v>20000</v>
      </c>
      <c r="I84" s="50" t="n">
        <f aca="false">E84*Paths!I84+(F84+G84+H84)*dep_asia</f>
        <v>44400</v>
      </c>
      <c r="J84" s="65" t="n">
        <f aca="false">Labour!AL84</f>
        <v>286360.05690503</v>
      </c>
      <c r="K84" s="50" t="n">
        <f aca="false">SUM(E84:H84)-I84+J84</f>
        <v>431960.05690503</v>
      </c>
      <c r="L84" s="50" t="n">
        <f aca="false">B84+C84+D84+K84</f>
        <v>21687304.3591042</v>
      </c>
      <c r="M84" s="66" t="n">
        <f aca="false">IF(B84&gt;0,L84/B84-1,0)</f>
        <v>0.035627257386428</v>
      </c>
      <c r="N84" s="50" t="n">
        <f aca="false">N83*(1+Paths!C84)+F84*(1-dep_asia)</f>
        <v>1991462.34098397</v>
      </c>
      <c r="O84" s="50" t="n">
        <f aca="false">O83*(1+Paths!C84)+G84*(1-dep_asia)</f>
        <v>603477.859708774</v>
      </c>
      <c r="P84" s="50" t="n">
        <f aca="false">P83*(1+Paths!C84)+H84*(1-dep_asia)</f>
        <v>317446.216466442</v>
      </c>
      <c r="Q84" s="50" t="n">
        <f aca="false">Q83*(1+Paths!C84)+Labour!AK84*gw_asian</f>
        <v>615182.541134886</v>
      </c>
      <c r="R84" s="50" t="n">
        <f aca="false">R83*(1+Paths!C84)+Labour!AF84*family_mult</f>
        <v>455897.21490664</v>
      </c>
      <c r="S84" s="66" t="n">
        <f aca="false">(N84+O84+P84+Q84+R84)/L84</f>
        <v>0.18367733062816</v>
      </c>
      <c r="T84" s="50" t="n">
        <f aca="false">SUM(E84:H84)*Paths!J84</f>
        <v>57000</v>
      </c>
      <c r="U84" s="65" t="n">
        <f aca="false">Paths!K84</f>
        <v>11646342</v>
      </c>
      <c r="V84" s="50" t="n">
        <f aca="false">IF(Gulf!E84=1,Gulf!B84,0)</f>
        <v>0</v>
      </c>
      <c r="W84" s="50" t="n">
        <f aca="false">L84+V84</f>
        <v>21687304.3591042</v>
      </c>
      <c r="X84" s="50" t="n">
        <f aca="false">W84+Labour!L84</f>
        <v>22591401.1678364</v>
      </c>
    </row>
    <row r="85" customFormat="false" ht="14.25" hidden="false" customHeight="false" outlineLevel="0" collapsed="false">
      <c r="A85" s="61" t="n">
        <v>1925</v>
      </c>
      <c r="B85" s="50" t="n">
        <f aca="false">L84</f>
        <v>21687304.3591042</v>
      </c>
      <c r="C85" s="65" t="n">
        <f aca="false">Paths!D85</f>
        <v>0</v>
      </c>
      <c r="D85" s="50" t="n">
        <f aca="false">B85*Paths!C85</f>
        <v>325309.565386563</v>
      </c>
      <c r="E85" s="50" t="n">
        <f aca="false">Paths!E85*IF($A85&gt;=1896,mig_scale,1)</f>
        <v>110000</v>
      </c>
      <c r="F85" s="50" t="n">
        <f aca="false">Paths!F85*IF($A85&gt;=1896,mig_scale,1)</f>
        <v>30000</v>
      </c>
      <c r="G85" s="50" t="n">
        <f aca="false">Paths!G85*IF($A85&gt;=1896,mig_scale,1)</f>
        <v>30000</v>
      </c>
      <c r="H85" s="50" t="n">
        <f aca="false">Paths!H85*IF($A85&gt;=1896,mig_scale,1)</f>
        <v>20000</v>
      </c>
      <c r="I85" s="50" t="n">
        <f aca="false">E85*Paths!I85+(F85+G85+H85)*dep_asia</f>
        <v>44400</v>
      </c>
      <c r="J85" s="65" t="n">
        <f aca="false">Labour!AL85</f>
        <v>267537.17965412</v>
      </c>
      <c r="K85" s="50" t="n">
        <f aca="false">SUM(E85:H85)-I85+J85</f>
        <v>413137.17965412</v>
      </c>
      <c r="L85" s="50" t="n">
        <f aca="false">B85+C85+D85+K85</f>
        <v>22425751.1041449</v>
      </c>
      <c r="M85" s="66" t="n">
        <f aca="false">IF(B85&gt;0,L85/B85-1,0)</f>
        <v>0.0340497247981255</v>
      </c>
      <c r="N85" s="50" t="n">
        <f aca="false">N84*(1+Paths!C85)+F85*(1-dep_asia)</f>
        <v>2042934.27609873</v>
      </c>
      <c r="O85" s="50" t="n">
        <f aca="false">O84*(1+Paths!C85)+G85*(1-dep_asia)</f>
        <v>634130.027604405</v>
      </c>
      <c r="P85" s="50" t="n">
        <f aca="false">P84*(1+Paths!C85)+H85*(1-dep_asia)</f>
        <v>336607.909713439</v>
      </c>
      <c r="Q85" s="50" t="n">
        <f aca="false">Q84*(1+Paths!C85)+Labour!AK85*gw_asian</f>
        <v>653703.015854833</v>
      </c>
      <c r="R85" s="50" t="n">
        <f aca="false">R84*(1+Paths!C85)+Labour!AF85*family_mult</f>
        <v>496541.394324371</v>
      </c>
      <c r="S85" s="66" t="n">
        <f aca="false">(N85+O85+P85+Q85+R85)/L85</f>
        <v>0.185675681686584</v>
      </c>
      <c r="T85" s="50" t="n">
        <f aca="false">SUM(E85:H85)*Paths!J85</f>
        <v>57000</v>
      </c>
      <c r="U85" s="65" t="n">
        <f aca="false">Paths!K85</f>
        <v>11842750</v>
      </c>
      <c r="V85" s="50" t="n">
        <f aca="false">IF(Gulf!E85=1,Gulf!B85,0)</f>
        <v>0</v>
      </c>
      <c r="W85" s="50" t="n">
        <f aca="false">L85+V85</f>
        <v>22425751.1041449</v>
      </c>
      <c r="X85" s="50" t="n">
        <f aca="false">W85+Labour!L85</f>
        <v>23392918.2651394</v>
      </c>
    </row>
    <row r="86" customFormat="false" ht="14.25" hidden="false" customHeight="false" outlineLevel="0" collapsed="false">
      <c r="A86" s="61" t="n">
        <v>1926</v>
      </c>
      <c r="B86" s="50" t="n">
        <f aca="false">L85</f>
        <v>22425751.1041449</v>
      </c>
      <c r="C86" s="65" t="n">
        <f aca="false">Paths!D86</f>
        <v>0</v>
      </c>
      <c r="D86" s="50" t="n">
        <f aca="false">B86*Paths!C86</f>
        <v>336386.266562173</v>
      </c>
      <c r="E86" s="50" t="n">
        <f aca="false">Paths!E86*IF($A86&gt;=1896,mig_scale,1)</f>
        <v>110000</v>
      </c>
      <c r="F86" s="50" t="n">
        <f aca="false">Paths!F86*IF($A86&gt;=1896,mig_scale,1)</f>
        <v>30000</v>
      </c>
      <c r="G86" s="50" t="n">
        <f aca="false">Paths!G86*IF($A86&gt;=1896,mig_scale,1)</f>
        <v>30000</v>
      </c>
      <c r="H86" s="50" t="n">
        <f aca="false">Paths!H86*IF($A86&gt;=1896,mig_scale,1)</f>
        <v>20000</v>
      </c>
      <c r="I86" s="50" t="n">
        <f aca="false">E86*Paths!I86+(F86+G86+H86)*dep_asia</f>
        <v>44400</v>
      </c>
      <c r="J86" s="65" t="n">
        <f aca="false">Labour!AL86</f>
        <v>260428.764212508</v>
      </c>
      <c r="K86" s="50" t="n">
        <f aca="false">SUM(E86:H86)-I86+J86</f>
        <v>406028.764212508</v>
      </c>
      <c r="L86" s="50" t="n">
        <f aca="false">B86+C86+D86+K86</f>
        <v>23168166.1349196</v>
      </c>
      <c r="M86" s="66" t="n">
        <f aca="false">IF(B86&gt;0,L86/B86-1,0)</f>
        <v>0.0331054700164519</v>
      </c>
      <c r="N86" s="50" t="n">
        <f aca="false">N85*(1+Paths!C86)+F86*(1-dep_asia)</f>
        <v>2095178.29024021</v>
      </c>
      <c r="O86" s="50" t="n">
        <f aca="false">O85*(1+Paths!C86)+G86*(1-dep_asia)</f>
        <v>665241.978018471</v>
      </c>
      <c r="P86" s="50" t="n">
        <f aca="false">P85*(1+Paths!C86)+H86*(1-dep_asia)</f>
        <v>356057.02835914</v>
      </c>
      <c r="Q86" s="50" t="n">
        <f aca="false">Q85*(1+Paths!C86)+Labour!AK86*gw_asian</f>
        <v>694844.777108878</v>
      </c>
      <c r="R86" s="50" t="n">
        <f aca="false">R85*(1+Paths!C86)+Labour!AF86*family_mult</f>
        <v>540324.93597762</v>
      </c>
      <c r="S86" s="66" t="n">
        <f aca="false">(N86+O86+P86+Q86+R86)/L86</f>
        <v>0.187828720856133</v>
      </c>
      <c r="T86" s="50" t="n">
        <f aca="false">SUM(E86:H86)*Paths!J86</f>
        <v>57000</v>
      </c>
      <c r="U86" s="65" t="n">
        <f aca="false">Paths!K86</f>
        <v>12039219</v>
      </c>
      <c r="V86" s="50" t="n">
        <f aca="false">IF(Gulf!E86=1,Gulf!B86,0)</f>
        <v>0</v>
      </c>
      <c r="W86" s="50" t="n">
        <f aca="false">L86+V86</f>
        <v>23168166.1349196</v>
      </c>
      <c r="X86" s="50" t="n">
        <f aca="false">W86+Labour!L86</f>
        <v>24188579.2927112</v>
      </c>
    </row>
    <row r="87" customFormat="false" ht="14.25" hidden="false" customHeight="false" outlineLevel="0" collapsed="false">
      <c r="A87" s="61" t="n">
        <v>1927</v>
      </c>
      <c r="B87" s="50" t="n">
        <f aca="false">L86</f>
        <v>23168166.1349196</v>
      </c>
      <c r="C87" s="65" t="n">
        <f aca="false">Paths!D87</f>
        <v>0</v>
      </c>
      <c r="D87" s="50" t="n">
        <f aca="false">B87*Paths!C87</f>
        <v>347522.492023794</v>
      </c>
      <c r="E87" s="50" t="n">
        <f aca="false">Paths!E87*IF($A87&gt;=1896,mig_scale,1)</f>
        <v>110000</v>
      </c>
      <c r="F87" s="50" t="n">
        <f aca="false">Paths!F87*IF($A87&gt;=1896,mig_scale,1)</f>
        <v>30000</v>
      </c>
      <c r="G87" s="50" t="n">
        <f aca="false">Paths!G87*IF($A87&gt;=1896,mig_scale,1)</f>
        <v>30000</v>
      </c>
      <c r="H87" s="50" t="n">
        <f aca="false">Paths!H87*IF($A87&gt;=1896,mig_scale,1)</f>
        <v>20000</v>
      </c>
      <c r="I87" s="50" t="n">
        <f aca="false">E87*Paths!I87+(F87+G87+H87)*dep_asia</f>
        <v>44400</v>
      </c>
      <c r="J87" s="65" t="n">
        <f aca="false">Labour!AL87</f>
        <v>264934.774771493</v>
      </c>
      <c r="K87" s="50" t="n">
        <f aca="false">SUM(E87:H87)-I87+J87</f>
        <v>410534.774771493</v>
      </c>
      <c r="L87" s="50" t="n">
        <f aca="false">B87+C87+D87+K87</f>
        <v>23926223.4017149</v>
      </c>
      <c r="M87" s="66" t="n">
        <f aca="false">IF(B87&gt;0,L87/B87-1,0)</f>
        <v>0.0327197786126336</v>
      </c>
      <c r="N87" s="50" t="n">
        <f aca="false">N86*(1+Paths!C87)+F87*(1-dep_asia)</f>
        <v>2148205.96459381</v>
      </c>
      <c r="O87" s="50" t="n">
        <f aca="false">O86*(1+Paths!C87)+G87*(1-dep_asia)</f>
        <v>696820.607688748</v>
      </c>
      <c r="P87" s="50" t="n">
        <f aca="false">P86*(1+Paths!C87)+H87*(1-dep_asia)</f>
        <v>375797.883784527</v>
      </c>
      <c r="Q87" s="50" t="n">
        <f aca="false">Q86*(1+Paths!C87)+Labour!AK87*gw_asian</f>
        <v>738328.83507796</v>
      </c>
      <c r="R87" s="50" t="n">
        <f aca="false">R86*(1+Paths!C87)+Labour!AF87*family_mult</f>
        <v>582648.788212866</v>
      </c>
      <c r="S87" s="66" t="n">
        <f aca="false">(N87+O87+P87+Q87+R87)/L87</f>
        <v>0.189825280952296</v>
      </c>
      <c r="T87" s="50" t="n">
        <f aca="false">SUM(E87:H87)*Paths!J87</f>
        <v>57000</v>
      </c>
      <c r="U87" s="65" t="n">
        <f aca="false">Paths!K87</f>
        <v>12235751</v>
      </c>
      <c r="V87" s="50" t="n">
        <f aca="false">IF(Gulf!E87=1,Gulf!B87,0)</f>
        <v>0</v>
      </c>
      <c r="W87" s="50" t="n">
        <f aca="false">L87+V87</f>
        <v>23926223.4017149</v>
      </c>
      <c r="X87" s="50" t="n">
        <f aca="false">W87+Labour!L87</f>
        <v>24999471.67867</v>
      </c>
    </row>
    <row r="88" customFormat="false" ht="14.25" hidden="false" customHeight="false" outlineLevel="0" collapsed="false">
      <c r="A88" s="61" t="n">
        <v>1928</v>
      </c>
      <c r="B88" s="50" t="n">
        <f aca="false">L87</f>
        <v>23926223.4017149</v>
      </c>
      <c r="C88" s="65" t="n">
        <f aca="false">Paths!D88</f>
        <v>0</v>
      </c>
      <c r="D88" s="50" t="n">
        <f aca="false">B88*Paths!C88</f>
        <v>358893.351025723</v>
      </c>
      <c r="E88" s="50" t="n">
        <f aca="false">Paths!E88*IF($A88&gt;=1896,mig_scale,1)</f>
        <v>110000</v>
      </c>
      <c r="F88" s="50" t="n">
        <f aca="false">Paths!F88*IF($A88&gt;=1896,mig_scale,1)</f>
        <v>30000</v>
      </c>
      <c r="G88" s="50" t="n">
        <f aca="false">Paths!G88*IF($A88&gt;=1896,mig_scale,1)</f>
        <v>30000</v>
      </c>
      <c r="H88" s="50" t="n">
        <f aca="false">Paths!H88*IF($A88&gt;=1896,mig_scale,1)</f>
        <v>20000</v>
      </c>
      <c r="I88" s="50" t="n">
        <f aca="false">E88*Paths!I88+(F88+G88+H88)*dep_asia</f>
        <v>44400</v>
      </c>
      <c r="J88" s="65" t="n">
        <f aca="false">Labour!AL88</f>
        <v>286556.559886164</v>
      </c>
      <c r="K88" s="50" t="n">
        <f aca="false">SUM(E88:H88)-I88+J88</f>
        <v>432156.559886164</v>
      </c>
      <c r="L88" s="50" t="n">
        <f aca="false">B88+C88+D88+K88</f>
        <v>24717273.3126267</v>
      </c>
      <c r="M88" s="66" t="n">
        <f aca="false">IF(B88&gt;0,L88/B88-1,0)</f>
        <v>0.0330620465098219</v>
      </c>
      <c r="N88" s="50" t="n">
        <f aca="false">N87*(1+Paths!C88)+F88*(1-dep_asia)</f>
        <v>2202029.05406272</v>
      </c>
      <c r="O88" s="50" t="n">
        <f aca="false">O87*(1+Paths!C88)+G88*(1-dep_asia)</f>
        <v>728872.916804079</v>
      </c>
      <c r="P88" s="50" t="n">
        <f aca="false">P87*(1+Paths!C88)+H88*(1-dep_asia)</f>
        <v>395834.852041295</v>
      </c>
      <c r="Q88" s="50" t="n">
        <f aca="false">Q87*(1+Paths!C88)+Labour!AK88*gw_asian</f>
        <v>784177.011777476</v>
      </c>
      <c r="R88" s="50" t="n">
        <f aca="false">R87*(1+Paths!C88)+Labour!AF88*family_mult</f>
        <v>629664.735737273</v>
      </c>
      <c r="S88" s="66" t="n">
        <f aca="false">(N88+O88+P88+Q88+R88)/L88</f>
        <v>0.191792132993939</v>
      </c>
      <c r="T88" s="50" t="n">
        <f aca="false">SUM(E88:H88)*Paths!J88</f>
        <v>57000</v>
      </c>
      <c r="U88" s="65" t="n">
        <f aca="false">Paths!K88</f>
        <v>12432347</v>
      </c>
      <c r="V88" s="50" t="n">
        <f aca="false">IF(Gulf!E88=1,Gulf!B88,0)</f>
        <v>0</v>
      </c>
      <c r="W88" s="50" t="n">
        <f aca="false">L88+V88</f>
        <v>24717273.3126267</v>
      </c>
      <c r="X88" s="50" t="n">
        <f aca="false">W88+Labour!L88</f>
        <v>25846218.2986697</v>
      </c>
    </row>
    <row r="89" customFormat="false" ht="14.25" hidden="false" customHeight="false" outlineLevel="0" collapsed="false">
      <c r="A89" s="61" t="n">
        <v>1929</v>
      </c>
      <c r="B89" s="50" t="n">
        <f aca="false">L88</f>
        <v>24717273.3126267</v>
      </c>
      <c r="C89" s="65" t="n">
        <f aca="false">Paths!D89</f>
        <v>0</v>
      </c>
      <c r="D89" s="50" t="n">
        <f aca="false">B89*Paths!C89</f>
        <v>370759.099689401</v>
      </c>
      <c r="E89" s="50" t="n">
        <f aca="false">Paths!E89*IF($A89&gt;=1896,mig_scale,1)</f>
        <v>110000</v>
      </c>
      <c r="F89" s="50" t="n">
        <f aca="false">Paths!F89*IF($A89&gt;=1896,mig_scale,1)</f>
        <v>30000</v>
      </c>
      <c r="G89" s="50" t="n">
        <f aca="false">Paths!G89*IF($A89&gt;=1896,mig_scale,1)</f>
        <v>30000</v>
      </c>
      <c r="H89" s="50" t="n">
        <f aca="false">Paths!H89*IF($A89&gt;=1896,mig_scale,1)</f>
        <v>20000</v>
      </c>
      <c r="I89" s="50" t="n">
        <f aca="false">E89*Paths!I89+(F89+G89+H89)*dep_asia</f>
        <v>44400</v>
      </c>
      <c r="J89" s="65" t="n">
        <f aca="false">Labour!AL89</f>
        <v>282622.88575562</v>
      </c>
      <c r="K89" s="50" t="n">
        <f aca="false">SUM(E89:H89)-I89+J89</f>
        <v>428222.88575562</v>
      </c>
      <c r="L89" s="50" t="n">
        <f aca="false">B89+C89+D89+K89</f>
        <v>25516255.2980718</v>
      </c>
      <c r="M89" s="66" t="n">
        <f aca="false">IF(B89&gt;0,L89/B89-1,0)</f>
        <v>0.0323248432518997</v>
      </c>
      <c r="N89" s="50" t="n">
        <f aca="false">N88*(1+Paths!C89)+F89*(1-dep_asia)</f>
        <v>2256659.48987366</v>
      </c>
      <c r="O89" s="50" t="n">
        <f aca="false">O88*(1+Paths!C89)+G89*(1-dep_asia)</f>
        <v>761406.01055614</v>
      </c>
      <c r="P89" s="50" t="n">
        <f aca="false">P88*(1+Paths!C89)+H89*(1-dep_asia)</f>
        <v>416172.374821915</v>
      </c>
      <c r="Q89" s="50" t="n">
        <f aca="false">Q88*(1+Paths!C89)+Labour!AK89*gw_asian</f>
        <v>832517.484501929</v>
      </c>
      <c r="R89" s="50" t="n">
        <f aca="false">R88*(1+Paths!C89)+Labour!AF89*family_mult</f>
        <v>681730.477960446</v>
      </c>
      <c r="S89" s="66" t="n">
        <f aca="false">(N89+O89+P89+Q89+R89)/L89</f>
        <v>0.193934642051024</v>
      </c>
      <c r="T89" s="50" t="n">
        <f aca="false">SUM(E89:H89)*Paths!J89</f>
        <v>57000</v>
      </c>
      <c r="U89" s="65" t="n">
        <f aca="false">Paths!K89</f>
        <v>12628007</v>
      </c>
      <c r="V89" s="50" t="n">
        <f aca="false">IF(Gulf!E89=1,Gulf!B89,0)</f>
        <v>0</v>
      </c>
      <c r="W89" s="50" t="n">
        <f aca="false">L89+V89</f>
        <v>25516255.2980718</v>
      </c>
      <c r="X89" s="50" t="n">
        <f aca="false">W89+Labour!L89</f>
        <v>26695767.9482515</v>
      </c>
    </row>
    <row r="90" customFormat="false" ht="14.25" hidden="false" customHeight="false" outlineLevel="0" collapsed="false">
      <c r="A90" s="61" t="n">
        <v>1930</v>
      </c>
      <c r="B90" s="50" t="n">
        <f aca="false">L89</f>
        <v>25516255.2980718</v>
      </c>
      <c r="C90" s="65" t="n">
        <f aca="false">Paths!D90</f>
        <v>0</v>
      </c>
      <c r="D90" s="50" t="n">
        <f aca="false">B90*Paths!C90</f>
        <v>306195.063576861</v>
      </c>
      <c r="E90" s="50" t="n">
        <f aca="false">Paths!E90*IF($A90&gt;=1896,mig_scale,1)</f>
        <v>30000</v>
      </c>
      <c r="F90" s="50" t="n">
        <f aca="false">Paths!F90*IF($A90&gt;=1896,mig_scale,1)</f>
        <v>12000</v>
      </c>
      <c r="G90" s="50" t="n">
        <f aca="false">Paths!G90*IF($A90&gt;=1896,mig_scale,1)</f>
        <v>12000</v>
      </c>
      <c r="H90" s="50" t="n">
        <f aca="false">Paths!H90*IF($A90&gt;=1896,mig_scale,1)</f>
        <v>8000</v>
      </c>
      <c r="I90" s="50" t="n">
        <f aca="false">E90*Paths!I90+(F90+G90+H90)*dep_asia</f>
        <v>14960</v>
      </c>
      <c r="J90" s="65" t="n">
        <f aca="false">Labour!AL90</f>
        <v>272311.425951378</v>
      </c>
      <c r="K90" s="50" t="n">
        <f aca="false">SUM(E90:H90)-I90+J90</f>
        <v>319351.425951378</v>
      </c>
      <c r="L90" s="50" t="n">
        <f aca="false">B90+C90+D90+K90</f>
        <v>26141801.7876</v>
      </c>
      <c r="M90" s="66" t="n">
        <f aca="false">IF(B90&gt;0,L90/B90-1,0)</f>
        <v>0.024515607099115</v>
      </c>
      <c r="N90" s="50" t="n">
        <f aca="false">N89*(1+Paths!C90)+F90*(1-dep_asia)</f>
        <v>2292379.40375214</v>
      </c>
      <c r="O90" s="50" t="n">
        <f aca="false">O89*(1+Paths!C90)+G90*(1-dep_asia)</f>
        <v>779182.882682814</v>
      </c>
      <c r="P90" s="50" t="n">
        <f aca="false">P89*(1+Paths!C90)+H90*(1-dep_asia)</f>
        <v>426926.443319778</v>
      </c>
      <c r="Q90" s="50" t="n">
        <f aca="false">Q89*(1+Paths!C90)+Labour!AK90*gw_asian</f>
        <v>880723.904181775</v>
      </c>
      <c r="R90" s="50" t="n">
        <f aca="false">R89*(1+Paths!C90)+Labour!AF90*family_mult</f>
        <v>730398.697495153</v>
      </c>
      <c r="S90" s="66" t="n">
        <f aca="false">(N90+O90+P90+Q90+R90)/L90</f>
        <v>0.195457504151659</v>
      </c>
      <c r="T90" s="50" t="n">
        <f aca="false">SUM(E90:H90)*Paths!J90</f>
        <v>18600</v>
      </c>
      <c r="U90" s="65" t="n">
        <f aca="false">Paths!K90</f>
        <v>12824733</v>
      </c>
      <c r="V90" s="50" t="n">
        <f aca="false">IF(Gulf!E90=1,Gulf!B90,0)</f>
        <v>0</v>
      </c>
      <c r="W90" s="50" t="n">
        <f aca="false">L90+V90</f>
        <v>26141801.7876</v>
      </c>
      <c r="X90" s="50" t="n">
        <f aca="false">W90+Labour!L90</f>
        <v>27252193.0910639</v>
      </c>
    </row>
    <row r="91" customFormat="false" ht="14.25" hidden="false" customHeight="false" outlineLevel="0" collapsed="false">
      <c r="A91" s="61" t="n">
        <v>1931</v>
      </c>
      <c r="B91" s="50" t="n">
        <f aca="false">L90</f>
        <v>26141801.7876</v>
      </c>
      <c r="C91" s="65" t="n">
        <f aca="false">Paths!D91</f>
        <v>0</v>
      </c>
      <c r="D91" s="50" t="n">
        <f aca="false">B91*Paths!C91</f>
        <v>313701.6214512</v>
      </c>
      <c r="E91" s="50" t="n">
        <f aca="false">Paths!E91*IF($A91&gt;=1896,mig_scale,1)</f>
        <v>30000</v>
      </c>
      <c r="F91" s="50" t="n">
        <f aca="false">Paths!F91*IF($A91&gt;=1896,mig_scale,1)</f>
        <v>12000</v>
      </c>
      <c r="G91" s="50" t="n">
        <f aca="false">Paths!G91*IF($A91&gt;=1896,mig_scale,1)</f>
        <v>12000</v>
      </c>
      <c r="H91" s="50" t="n">
        <f aca="false">Paths!H91*IF($A91&gt;=1896,mig_scale,1)</f>
        <v>8000</v>
      </c>
      <c r="I91" s="50" t="n">
        <f aca="false">E91*Paths!I91+(F91+G91+H91)*dep_asia</f>
        <v>14960</v>
      </c>
      <c r="J91" s="65" t="n">
        <f aca="false">Labour!AL91</f>
        <v>206989.936703589</v>
      </c>
      <c r="K91" s="50" t="n">
        <f aca="false">SUM(E91:H91)-I91+J91</f>
        <v>254029.936703589</v>
      </c>
      <c r="L91" s="50" t="n">
        <f aca="false">B91+C91+D91+K91</f>
        <v>26709533.3457548</v>
      </c>
      <c r="M91" s="66" t="n">
        <f aca="false">IF(B91&gt;0,L91/B91-1,0)</f>
        <v>0.0217173843933007</v>
      </c>
      <c r="N91" s="50" t="n">
        <f aca="false">N90*(1+Paths!C91)+F91*(1-dep_asia)</f>
        <v>2328527.95659717</v>
      </c>
      <c r="O91" s="50" t="n">
        <f aca="false">O90*(1+Paths!C91)+G91*(1-dep_asia)</f>
        <v>797173.077275008</v>
      </c>
      <c r="P91" s="50" t="n">
        <f aca="false">P90*(1+Paths!C91)+H91*(1-dep_asia)</f>
        <v>437809.560639615</v>
      </c>
      <c r="Q91" s="50" t="n">
        <f aca="false">Q90*(1+Paths!C91)+Labour!AK91*gw_asian</f>
        <v>927269.269264186</v>
      </c>
      <c r="R91" s="50" t="n">
        <f aca="false">R90*(1+Paths!C91)+Labour!AF91*family_mult</f>
        <v>787379.996691181</v>
      </c>
      <c r="S91" s="66" t="n">
        <f aca="false">(N91+O91+P91+Q91+R91)/L91</f>
        <v>0.197613331245492</v>
      </c>
      <c r="T91" s="50" t="n">
        <f aca="false">SUM(E91:H91)*Paths!J91</f>
        <v>18600</v>
      </c>
      <c r="U91" s="65" t="n">
        <f aca="false">Paths!K91</f>
        <v>13021526</v>
      </c>
      <c r="V91" s="50" t="n">
        <f aca="false">IF(Gulf!E91=1,Gulf!B91,0)</f>
        <v>0</v>
      </c>
      <c r="W91" s="50" t="n">
        <f aca="false">L91+V91</f>
        <v>26709533.3457548</v>
      </c>
      <c r="X91" s="50" t="n">
        <f aca="false">W91+Labour!L91</f>
        <v>27684264.7226091</v>
      </c>
    </row>
    <row r="92" customFormat="false" ht="14.25" hidden="false" customHeight="false" outlineLevel="0" collapsed="false">
      <c r="A92" s="61" t="n">
        <v>1932</v>
      </c>
      <c r="B92" s="50" t="n">
        <f aca="false">L91</f>
        <v>26709533.3457548</v>
      </c>
      <c r="C92" s="65" t="n">
        <f aca="false">Paths!D92</f>
        <v>0</v>
      </c>
      <c r="D92" s="50" t="n">
        <f aca="false">B92*Paths!C92</f>
        <v>320514.400149058</v>
      </c>
      <c r="E92" s="50" t="n">
        <f aca="false">Paths!E92*IF($A92&gt;=1896,mig_scale,1)</f>
        <v>30000</v>
      </c>
      <c r="F92" s="50" t="n">
        <f aca="false">Paths!F92*IF($A92&gt;=1896,mig_scale,1)</f>
        <v>12000</v>
      </c>
      <c r="G92" s="50" t="n">
        <f aca="false">Paths!G92*IF($A92&gt;=1896,mig_scale,1)</f>
        <v>12000</v>
      </c>
      <c r="H92" s="50" t="n">
        <f aca="false">Paths!H92*IF($A92&gt;=1896,mig_scale,1)</f>
        <v>8000</v>
      </c>
      <c r="I92" s="50" t="n">
        <f aca="false">E92*Paths!I92+(F92+G92+H92)*dep_asia</f>
        <v>14960</v>
      </c>
      <c r="J92" s="65" t="n">
        <f aca="false">Labour!AL92</f>
        <v>240450.359406731</v>
      </c>
      <c r="K92" s="50" t="n">
        <f aca="false">SUM(E92:H92)-I92+J92</f>
        <v>287490.359406731</v>
      </c>
      <c r="L92" s="50" t="n">
        <f aca="false">B92+C92+D92+K92</f>
        <v>27317538.1053106</v>
      </c>
      <c r="M92" s="66" t="n">
        <f aca="false">IF(B92&gt;0,L92/B92-1,0)</f>
        <v>0.0227635860082305</v>
      </c>
      <c r="N92" s="50" t="n">
        <f aca="false">N91*(1+Paths!C92)+F92*(1-dep_asia)</f>
        <v>2365110.29207634</v>
      </c>
      <c r="O92" s="50" t="n">
        <f aca="false">O91*(1+Paths!C92)+G92*(1-dep_asia)</f>
        <v>815379.154202308</v>
      </c>
      <c r="P92" s="50" t="n">
        <f aca="false">P91*(1+Paths!C92)+H92*(1-dep_asia)</f>
        <v>448823.27536729</v>
      </c>
      <c r="Q92" s="50" t="n">
        <f aca="false">Q91*(1+Paths!C92)+Labour!AK92*gw_asian</f>
        <v>969977.797105436</v>
      </c>
      <c r="R92" s="50" t="n">
        <f aca="false">R91*(1+Paths!C92)+Labour!AF92*family_mult</f>
        <v>854729.199487007</v>
      </c>
      <c r="S92" s="66" t="n">
        <f aca="false">(N92+O92+P92+Q92+R92)/L92</f>
        <v>0.199652680897262</v>
      </c>
      <c r="T92" s="50" t="n">
        <f aca="false">SUM(E92:H92)*Paths!J92</f>
        <v>18600</v>
      </c>
      <c r="U92" s="65" t="n">
        <f aca="false">Paths!K92</f>
        <v>13218388</v>
      </c>
      <c r="V92" s="50" t="n">
        <f aca="false">IF(Gulf!E92=1,Gulf!B92,0)</f>
        <v>0</v>
      </c>
      <c r="W92" s="50" t="n">
        <f aca="false">L92+V92</f>
        <v>27317538.1053106</v>
      </c>
      <c r="X92" s="50" t="n">
        <f aca="false">W92+Labour!L92</f>
        <v>28174147.7112578</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55" hidden="false" customHeight="false" outlineLevel="0" collapsed="false">
      <c r="A1" s="19" t="s">
        <v>65</v>
      </c>
    </row>
    <row r="2" customFormat="false" ht="14.25" hidden="false" customHeight="false" outlineLevel="0" collapsed="false">
      <c r="A2" s="3" t="s">
        <v>1224</v>
      </c>
    </row>
    <row r="3" customFormat="false" ht="14.25" hidden="false" customHeight="false" outlineLevel="0" collapsed="false">
      <c r="A3" s="20" t="s">
        <v>1166</v>
      </c>
    </row>
    <row r="4" customFormat="false" ht="14.25" hidden="false" customHeight="false" outlineLevel="0" collapsed="false">
      <c r="B4" s="58" t="s">
        <v>1225</v>
      </c>
      <c r="C4" s="58"/>
      <c r="D4" s="58"/>
      <c r="E4" s="58"/>
      <c r="F4" s="58"/>
      <c r="G4" s="58"/>
      <c r="H4" s="58"/>
      <c r="I4" s="58" t="s">
        <v>1226</v>
      </c>
      <c r="J4" s="58"/>
      <c r="K4" s="58"/>
      <c r="L4" s="58"/>
      <c r="M4" s="58"/>
      <c r="N4" s="58"/>
      <c r="O4" s="58"/>
      <c r="P4" s="58"/>
      <c r="Q4" s="58" t="s">
        <v>1227</v>
      </c>
      <c r="R4" s="58"/>
      <c r="S4" s="58"/>
    </row>
    <row r="5" customFormat="false" ht="54" hidden="false" customHeight="true" outlineLevel="0" collapsed="false">
      <c r="A5" s="60" t="s">
        <v>103</v>
      </c>
      <c r="B5" s="7" t="s">
        <v>1228</v>
      </c>
      <c r="C5" s="7" t="s">
        <v>1229</v>
      </c>
      <c r="D5" s="7" t="s">
        <v>1230</v>
      </c>
      <c r="E5" s="7" t="s">
        <v>1231</v>
      </c>
      <c r="F5" s="7" t="s">
        <v>1232</v>
      </c>
      <c r="G5" s="7" t="s">
        <v>1233</v>
      </c>
      <c r="H5" s="7" t="s">
        <v>1234</v>
      </c>
      <c r="I5" s="7" t="s">
        <v>1235</v>
      </c>
      <c r="J5" s="7" t="s">
        <v>1236</v>
      </c>
      <c r="K5" s="7" t="s">
        <v>1237</v>
      </c>
      <c r="L5" s="7" t="s">
        <v>1238</v>
      </c>
      <c r="M5" s="7" t="s">
        <v>1239</v>
      </c>
      <c r="N5" s="7" t="s">
        <v>1240</v>
      </c>
      <c r="O5" s="7" t="s">
        <v>1241</v>
      </c>
      <c r="P5" s="7" t="s">
        <v>1242</v>
      </c>
      <c r="Q5" s="7" t="s">
        <v>1243</v>
      </c>
      <c r="R5" s="7" t="s">
        <v>1244</v>
      </c>
      <c r="S5" s="7" t="s">
        <v>1245</v>
      </c>
    </row>
    <row r="6" customFormat="false" ht="14.25" hidden="false" customHeight="false" outlineLevel="0" collapsed="false">
      <c r="A6" s="61" t="n">
        <v>1846</v>
      </c>
      <c r="B6" s="50" t="n">
        <f aca="false">(People!B6+People!L6)/2</f>
        <v>172075</v>
      </c>
      <c r="C6" s="66" t="n">
        <f aca="false">Paths!L6*IF($A6&gt;=1896,prod_factor,1)</f>
        <v>0</v>
      </c>
      <c r="D6" s="67" t="n">
        <f aca="false">0</f>
        <v>0</v>
      </c>
      <c r="E6" s="66" t="n">
        <f aca="false">C6+D6</f>
        <v>0</v>
      </c>
      <c r="F6" s="50" t="n">
        <f aca="false">real_pc_1846</f>
        <v>150</v>
      </c>
      <c r="G6" s="68" t="n">
        <f aca="false">1-(1-Paths!M6)*IF($A6&gt;=1930,dep_severity,1)</f>
        <v>1</v>
      </c>
      <c r="H6" s="68" t="n">
        <f aca="false">IF($A6&gt;=1930,Paths!B$89+(Paths!B6-Paths!B$89)*slump_price,Paths!B6)</f>
        <v>0.74</v>
      </c>
      <c r="I6" s="69" t="n">
        <f aca="false">Labour!AO6</f>
        <v>0</v>
      </c>
      <c r="J6" s="50" t="n">
        <f aca="false">B6*F6*(1+I6)*G6*H6/1000000</f>
        <v>19.100325</v>
      </c>
      <c r="K6" s="65" t="n">
        <f aca="false">Resources!O6</f>
        <v>0</v>
      </c>
      <c r="L6" s="50" t="n">
        <f aca="false">Labour!L6*gw_rel*J6/Labour!B6</f>
        <v>0</v>
      </c>
      <c r="M6" s="65" t="n">
        <f aca="false">Champions!AQ6</f>
        <v>0</v>
      </c>
      <c r="N6" s="50" t="n">
        <f aca="false">IF(Gulf!E6=1,Gulf!D6,0)</f>
        <v>0</v>
      </c>
      <c r="O6" s="50" t="n">
        <f aca="false">J6+K6+L6+M6+N6</f>
        <v>19.100325</v>
      </c>
      <c r="P6" s="50" t="n">
        <f aca="false">O6*1000000/(B6+People!V6+Labour!L6)</f>
        <v>111</v>
      </c>
      <c r="Q6" s="48" t="n">
        <v>95</v>
      </c>
      <c r="R6" s="70" t="n">
        <f aca="false">P6/Q6</f>
        <v>1.16842105263158</v>
      </c>
      <c r="S6" s="50" t="n">
        <f aca="false">O6/H6</f>
        <v>25.81125</v>
      </c>
    </row>
    <row r="7" customFormat="false" ht="14.25" hidden="false" customHeight="false" outlineLevel="0" collapsed="false">
      <c r="A7" s="61" t="n">
        <v>1847</v>
      </c>
      <c r="B7" s="50" t="n">
        <f aca="false">(People!B7+People!L7)/2</f>
        <v>176656.125</v>
      </c>
      <c r="C7" s="66" t="n">
        <f aca="false">Paths!L7*IF($A7&gt;=1896,prod_factor,1)</f>
        <v>0.04</v>
      </c>
      <c r="D7" s="67" t="n">
        <f aca="false">IF(O6&gt;0,MIN(dev_cap,dev_return*'Debt &amp; cash'!N6/O6),0)</f>
        <v>0</v>
      </c>
      <c r="E7" s="66" t="n">
        <f aca="false">C7+D7</f>
        <v>0.04</v>
      </c>
      <c r="F7" s="50" t="n">
        <f aca="false">F6*(1+E7)</f>
        <v>156</v>
      </c>
      <c r="G7" s="68" t="n">
        <f aca="false">1-(1-Paths!M7)*IF($A7&gt;=1930,dep_severity,1)</f>
        <v>1</v>
      </c>
      <c r="H7" s="68" t="n">
        <f aca="false">IF($A7&gt;=1930,Paths!B$89+(Paths!B7-Paths!B$89)*slump_price,Paths!B7)</f>
        <v>0.74</v>
      </c>
      <c r="I7" s="69" t="n">
        <f aca="false">Labour!AO7</f>
        <v>0</v>
      </c>
      <c r="J7" s="50" t="n">
        <f aca="false">B7*F7*(1+I7)*G7*H7/1000000</f>
        <v>20.39318307</v>
      </c>
      <c r="K7" s="65" t="n">
        <f aca="false">Resources!O7</f>
        <v>0</v>
      </c>
      <c r="L7" s="50" t="n">
        <f aca="false">Labour!L7*gw_rel*J7/Labour!B7</f>
        <v>0</v>
      </c>
      <c r="M7" s="65" t="n">
        <f aca="false">Champions!AQ7</f>
        <v>0</v>
      </c>
      <c r="N7" s="50" t="n">
        <f aca="false">IF(Gulf!E7=1,Gulf!D7,0)</f>
        <v>0</v>
      </c>
      <c r="O7" s="50" t="n">
        <f aca="false">J7+K7+L7+M7+N7</f>
        <v>20.39318307</v>
      </c>
      <c r="P7" s="50" t="n">
        <f aca="false">O7*1000000/(B7+People!V7+Labour!L7)</f>
        <v>115.44</v>
      </c>
      <c r="Q7" s="48" t="n">
        <v>98</v>
      </c>
      <c r="R7" s="70" t="n">
        <f aca="false">P7/Q7</f>
        <v>1.17795918367347</v>
      </c>
      <c r="S7" s="50" t="n">
        <f aca="false">O7/H7</f>
        <v>27.5583555</v>
      </c>
    </row>
    <row r="8" customFormat="false" ht="14.25" hidden="false" customHeight="false" outlineLevel="0" collapsed="false">
      <c r="A8" s="61" t="n">
        <v>1848</v>
      </c>
      <c r="B8" s="50" t="n">
        <f aca="false">(People!B8+People!L8)/2</f>
        <v>185878.899</v>
      </c>
      <c r="C8" s="66" t="n">
        <f aca="false">Paths!L8*IF($A8&gt;=1896,prod_factor,1)</f>
        <v>0.04</v>
      </c>
      <c r="D8" s="67" t="n">
        <f aca="false">IF(O7&gt;0,MIN(dev_cap,dev_return*'Debt &amp; cash'!N7/O7),0)</f>
        <v>0</v>
      </c>
      <c r="E8" s="66" t="n">
        <f aca="false">C8+D8</f>
        <v>0.04</v>
      </c>
      <c r="F8" s="50" t="n">
        <f aca="false">F7*(1+E8)</f>
        <v>162.24</v>
      </c>
      <c r="G8" s="68" t="n">
        <f aca="false">1-(1-Paths!M8)*IF($A8&gt;=1930,dep_severity,1)</f>
        <v>1</v>
      </c>
      <c r="H8" s="68" t="n">
        <f aca="false">IF($A8&gt;=1930,Paths!B$89+(Paths!B8-Paths!B$89)*slump_price,Paths!B8)</f>
        <v>0.74</v>
      </c>
      <c r="I8" s="69" t="n">
        <f aca="false">Labour!AO8</f>
        <v>0</v>
      </c>
      <c r="J8" s="50" t="n">
        <f aca="false">B8*F8*(1+I8)*G8*H8/1000000</f>
        <v>22.3161745045824</v>
      </c>
      <c r="K8" s="65" t="n">
        <f aca="false">Resources!O8</f>
        <v>7</v>
      </c>
      <c r="L8" s="50" t="n">
        <f aca="false">Labour!L8*gw_rel*J8/Labour!B8</f>
        <v>0</v>
      </c>
      <c r="M8" s="65" t="n">
        <f aca="false">Champions!AQ8</f>
        <v>0</v>
      </c>
      <c r="N8" s="50" t="n">
        <f aca="false">IF(Gulf!E8=1,Gulf!D8,0)</f>
        <v>0</v>
      </c>
      <c r="O8" s="50" t="n">
        <f aca="false">J8+K8+L8+M8+N8</f>
        <v>29.3161745045824</v>
      </c>
      <c r="P8" s="50" t="n">
        <f aca="false">O8*1000000/(B8+People!V8+Labour!L8)</f>
        <v>157.716527601029</v>
      </c>
      <c r="Q8" s="48" t="n">
        <v>100</v>
      </c>
      <c r="R8" s="70" t="n">
        <f aca="false">P8/Q8</f>
        <v>1.57716527601029</v>
      </c>
      <c r="S8" s="50" t="n">
        <f aca="false">O8/H8</f>
        <v>39.6164520332195</v>
      </c>
    </row>
    <row r="9" customFormat="false" ht="14.25" hidden="false" customHeight="false" outlineLevel="0" collapsed="false">
      <c r="A9" s="61" t="n">
        <v>1849</v>
      </c>
      <c r="B9" s="50" t="n">
        <f aca="false">(People!B9+People!L9)/2</f>
        <v>212973.930192</v>
      </c>
      <c r="C9" s="66" t="n">
        <f aca="false">Paths!L9*IF($A9&gt;=1896,prod_factor,1)</f>
        <v>0.04</v>
      </c>
      <c r="D9" s="67" t="n">
        <f aca="false">IF(O8&gt;0,MIN(dev_cap,dev_return*'Debt &amp; cash'!N8/O8),0)</f>
        <v>0</v>
      </c>
      <c r="E9" s="66" t="n">
        <f aca="false">C9+D9</f>
        <v>0.04</v>
      </c>
      <c r="F9" s="50" t="n">
        <f aca="false">F8*(1+E9)</f>
        <v>168.7296</v>
      </c>
      <c r="G9" s="68" t="n">
        <f aca="false">1-(1-Paths!M9)*IF($A9&gt;=1930,dep_severity,1)</f>
        <v>1</v>
      </c>
      <c r="H9" s="68" t="n">
        <f aca="false">IF($A9&gt;=1930,Paths!B$89+(Paths!B9-Paths!B$89)*slump_price,Paths!B9)</f>
        <v>1.18</v>
      </c>
      <c r="I9" s="69" t="n">
        <f aca="false">Labour!AO9</f>
        <v>0</v>
      </c>
      <c r="J9" s="50" t="n">
        <f aca="false">B9*F9*(1+I9)*G9*H9/1000000</f>
        <v>42.4033071410344</v>
      </c>
      <c r="K9" s="65" t="n">
        <f aca="false">Resources!O9</f>
        <v>28</v>
      </c>
      <c r="L9" s="50" t="n">
        <f aca="false">Labour!L9*gw_rel*J9/Labour!B9</f>
        <v>0</v>
      </c>
      <c r="M9" s="65" t="n">
        <f aca="false">Champions!AQ9</f>
        <v>0</v>
      </c>
      <c r="N9" s="50" t="n">
        <f aca="false">IF(Gulf!E9=1,Gulf!D9,0)</f>
        <v>0</v>
      </c>
      <c r="O9" s="50" t="n">
        <f aca="false">J9+K9+L9+M9+N9</f>
        <v>70.4033071410344</v>
      </c>
      <c r="P9" s="50" t="n">
        <f aca="false">O9*1000000/(B9+People!V9+Labour!L9)</f>
        <v>330.572418312253</v>
      </c>
      <c r="Q9" s="48" t="n">
        <v>102</v>
      </c>
      <c r="R9" s="70" t="n">
        <f aca="false">P9/Q9</f>
        <v>3.24090606188484</v>
      </c>
      <c r="S9" s="50" t="n">
        <f aca="false">O9/H9</f>
        <v>59.6638196110461</v>
      </c>
    </row>
    <row r="10" customFormat="false" ht="14.25" hidden="false" customHeight="false" outlineLevel="0" collapsed="false">
      <c r="A10" s="61" t="n">
        <v>1850</v>
      </c>
      <c r="B10" s="50" t="n">
        <f aca="false">(People!B10+People!L10)/2</f>
        <v>251975.721633536</v>
      </c>
      <c r="C10" s="66" t="n">
        <f aca="false">Paths!L10*IF($A10&gt;=1896,prod_factor,1)</f>
        <v>0.04</v>
      </c>
      <c r="D10" s="67" t="n">
        <f aca="false">IF(O9&gt;0,MIN(dev_cap,dev_return*'Debt &amp; cash'!N9/O9),0)</f>
        <v>0</v>
      </c>
      <c r="E10" s="66" t="n">
        <f aca="false">C10+D10</f>
        <v>0.04</v>
      </c>
      <c r="F10" s="50" t="n">
        <f aca="false">F9*(1+E10)</f>
        <v>175.478784</v>
      </c>
      <c r="G10" s="68" t="n">
        <f aca="false">1-(1-Paths!M10)*IF($A10&gt;=1930,dep_severity,1)</f>
        <v>1</v>
      </c>
      <c r="H10" s="68" t="n">
        <f aca="false">IF($A10&gt;=1930,Paths!B$89+(Paths!B10-Paths!B$89)*slump_price,Paths!B10)</f>
        <v>1.1</v>
      </c>
      <c r="I10" s="69" t="n">
        <f aca="false">Labour!AO10</f>
        <v>0</v>
      </c>
      <c r="J10" s="50" t="n">
        <f aca="false">B10*F10*(1+I10)*G10*H10/1000000</f>
        <v>48.638032552753</v>
      </c>
      <c r="K10" s="65" t="n">
        <f aca="false">Resources!O10</f>
        <v>28.7</v>
      </c>
      <c r="L10" s="50" t="n">
        <f aca="false">Labour!L10*gw_rel*J10/Labour!B10</f>
        <v>0</v>
      </c>
      <c r="M10" s="65" t="n">
        <f aca="false">Champions!AQ10</f>
        <v>0</v>
      </c>
      <c r="N10" s="50" t="n">
        <f aca="false">IF(Gulf!E10=1,Gulf!D10,0)</f>
        <v>0</v>
      </c>
      <c r="O10" s="50" t="n">
        <f aca="false">J10+K10+L10+M10+N10</f>
        <v>77.338032552753</v>
      </c>
      <c r="P10" s="50" t="n">
        <f aca="false">O10*1000000/(B10+People!V10+Labour!L10)</f>
        <v>306.926524711895</v>
      </c>
      <c r="Q10" s="48" t="n">
        <v>105</v>
      </c>
      <c r="R10" s="70" t="n">
        <f aca="false">P10/Q10</f>
        <v>2.9231097591609</v>
      </c>
      <c r="S10" s="50" t="n">
        <f aca="false">O10/H10</f>
        <v>70.3073023206845</v>
      </c>
    </row>
    <row r="11" customFormat="false" ht="14.25" hidden="false" customHeight="false" outlineLevel="0" collapsed="false">
      <c r="A11" s="61" t="n">
        <v>1851</v>
      </c>
      <c r="B11" s="50" t="n">
        <f aca="false">(People!B11+People!L11)/2</f>
        <v>285761.527406604</v>
      </c>
      <c r="C11" s="66" t="n">
        <f aca="false">Paths!L11*IF($A11&gt;=1896,prod_factor,1)</f>
        <v>0.04</v>
      </c>
      <c r="D11" s="67" t="n">
        <f aca="false">IF(O10&gt;0,MIN(dev_cap,dev_return*'Debt &amp; cash'!N10/O10),0)</f>
        <v>0</v>
      </c>
      <c r="E11" s="66" t="n">
        <f aca="false">C11+D11</f>
        <v>0.04</v>
      </c>
      <c r="F11" s="50" t="n">
        <f aca="false">F10*(1+E11)</f>
        <v>182.49793536</v>
      </c>
      <c r="G11" s="68" t="n">
        <f aca="false">1-(1-Paths!M11)*IF($A11&gt;=1930,dep_severity,1)</f>
        <v>1</v>
      </c>
      <c r="H11" s="68" t="n">
        <f aca="false">IF($A11&gt;=1930,Paths!B$89+(Paths!B11-Paths!B$89)*slump_price,Paths!B11)</f>
        <v>1.02</v>
      </c>
      <c r="I11" s="69" t="n">
        <f aca="false">Labour!AO11</f>
        <v>0</v>
      </c>
      <c r="J11" s="50" t="n">
        <f aca="false">B11*F11*(1+I11)*G11*H11/1000000</f>
        <v>53.1939065321659</v>
      </c>
      <c r="K11" s="65" t="n">
        <f aca="false">Resources!O11</f>
        <v>52.5</v>
      </c>
      <c r="L11" s="50" t="n">
        <f aca="false">Labour!L11*gw_rel*J11/Labour!B11</f>
        <v>0</v>
      </c>
      <c r="M11" s="65" t="n">
        <f aca="false">Champions!AQ11</f>
        <v>0</v>
      </c>
      <c r="N11" s="50" t="n">
        <f aca="false">IF(Gulf!E11=1,Gulf!D11,0)</f>
        <v>0</v>
      </c>
      <c r="O11" s="50" t="n">
        <f aca="false">J11+K11+L11+M11+N11</f>
        <v>105.693906532166</v>
      </c>
      <c r="P11" s="50" t="n">
        <f aca="false">O11*1000000/(B11+People!V11+Labour!L11)</f>
        <v>369.867516776589</v>
      </c>
      <c r="Q11" s="48" t="n">
        <v>109</v>
      </c>
      <c r="R11" s="70" t="n">
        <f aca="false">P11/Q11</f>
        <v>3.39327997042742</v>
      </c>
      <c r="S11" s="50" t="n">
        <f aca="false">O11/H11</f>
        <v>103.621476992319</v>
      </c>
    </row>
    <row r="12" customFormat="false" ht="14.25" hidden="false" customHeight="false" outlineLevel="0" collapsed="false">
      <c r="A12" s="61" t="n">
        <v>1852</v>
      </c>
      <c r="B12" s="50" t="n">
        <f aca="false">(People!B12+People!L12)/2</f>
        <v>327202.619625857</v>
      </c>
      <c r="C12" s="66" t="n">
        <f aca="false">Paths!L12*IF($A12&gt;=1896,prod_factor,1)</f>
        <v>0.04</v>
      </c>
      <c r="D12" s="67" t="n">
        <f aca="false">IF(O11&gt;0,MIN(dev_cap,dev_return*'Debt &amp; cash'!N11/O11),0)</f>
        <v>0</v>
      </c>
      <c r="E12" s="66" t="n">
        <f aca="false">C12+D12</f>
        <v>0.04</v>
      </c>
      <c r="F12" s="50" t="n">
        <f aca="false">F11*(1+E12)</f>
        <v>189.7978527744</v>
      </c>
      <c r="G12" s="68" t="n">
        <f aca="false">1-(1-Paths!M12)*IF($A12&gt;=1930,dep_severity,1)</f>
        <v>1</v>
      </c>
      <c r="H12" s="68" t="n">
        <f aca="false">IF($A12&gt;=1930,Paths!B$89+(Paths!B12-Paths!B$89)*slump_price,Paths!B12)</f>
        <v>1</v>
      </c>
      <c r="I12" s="69" t="n">
        <f aca="false">Labour!AO12</f>
        <v>0</v>
      </c>
      <c r="J12" s="50" t="n">
        <f aca="false">B12*F12*(1+I12)*G12*H12/1000000</f>
        <v>62.1023546271465</v>
      </c>
      <c r="K12" s="65" t="n">
        <f aca="false">Resources!O12</f>
        <v>56.7</v>
      </c>
      <c r="L12" s="50" t="n">
        <f aca="false">Labour!L12*gw_rel*J12/Labour!B12</f>
        <v>0</v>
      </c>
      <c r="M12" s="65" t="n">
        <f aca="false">Champions!AQ12</f>
        <v>0</v>
      </c>
      <c r="N12" s="50" t="n">
        <f aca="false">IF(Gulf!E12=1,Gulf!D12,0)</f>
        <v>0</v>
      </c>
      <c r="O12" s="50" t="n">
        <f aca="false">J12+K12+L12+M12+N12</f>
        <v>118.802354627146</v>
      </c>
      <c r="P12" s="50" t="n">
        <f aca="false">O12*1000000/(B12+People!V12+Labour!L12)</f>
        <v>363.084973961981</v>
      </c>
      <c r="Q12" s="48" t="n">
        <v>113</v>
      </c>
      <c r="R12" s="70" t="n">
        <f aca="false">P12/Q12</f>
        <v>3.21314136249541</v>
      </c>
      <c r="S12" s="50" t="n">
        <f aca="false">O12/H12</f>
        <v>118.802354627146</v>
      </c>
    </row>
    <row r="13" customFormat="false" ht="14.25" hidden="false" customHeight="false" outlineLevel="0" collapsed="false">
      <c r="A13" s="61" t="n">
        <v>1853</v>
      </c>
      <c r="B13" s="50" t="n">
        <f aca="false">(People!B13+People!L13)/2</f>
        <v>370055.240582864</v>
      </c>
      <c r="C13" s="66" t="n">
        <f aca="false">Paths!L13*IF($A13&gt;=1896,prod_factor,1)</f>
        <v>0.04</v>
      </c>
      <c r="D13" s="67" t="n">
        <f aca="false">IF(O12&gt;0,MIN(dev_cap,dev_return*'Debt &amp; cash'!N12/O12),0)</f>
        <v>0</v>
      </c>
      <c r="E13" s="66" t="n">
        <f aca="false">C13+D13</f>
        <v>0.04</v>
      </c>
      <c r="F13" s="50" t="n">
        <f aca="false">F12*(1+E13)</f>
        <v>197.389766885376</v>
      </c>
      <c r="G13" s="68" t="n">
        <f aca="false">1-(1-Paths!M13)*IF($A13&gt;=1930,dep_severity,1)</f>
        <v>1</v>
      </c>
      <c r="H13" s="68" t="n">
        <f aca="false">IF($A13&gt;=1930,Paths!B$89+(Paths!B13-Paths!B$89)*slump_price,Paths!B13)</f>
        <v>0.99</v>
      </c>
      <c r="I13" s="69" t="n">
        <f aca="false">Labour!AO13</f>
        <v>0</v>
      </c>
      <c r="J13" s="50" t="n">
        <f aca="false">B13*F13*(1+I13)*G13*H13/1000000</f>
        <v>72.3146664966296</v>
      </c>
      <c r="K13" s="65" t="n">
        <f aca="false">Resources!O13</f>
        <v>46.9</v>
      </c>
      <c r="L13" s="50" t="n">
        <f aca="false">Labour!L13*gw_rel*J13/Labour!B13</f>
        <v>0</v>
      </c>
      <c r="M13" s="65" t="n">
        <f aca="false">Champions!AQ13</f>
        <v>0</v>
      </c>
      <c r="N13" s="50" t="n">
        <f aca="false">IF(Gulf!E13=1,Gulf!D13,0)</f>
        <v>0</v>
      </c>
      <c r="O13" s="50" t="n">
        <f aca="false">J13+K13+L13+M13+N13</f>
        <v>119.21466649663</v>
      </c>
      <c r="P13" s="50" t="n">
        <f aca="false">O13*1000000/(B13+People!V13+Labour!L13)</f>
        <v>322.153704157406</v>
      </c>
      <c r="Q13" s="48" t="n">
        <v>117</v>
      </c>
      <c r="R13" s="70" t="n">
        <f aca="false">P13/Q13</f>
        <v>2.75345046288381</v>
      </c>
      <c r="S13" s="50" t="n">
        <f aca="false">O13/H13</f>
        <v>120.418855047101</v>
      </c>
    </row>
    <row r="14" customFormat="false" ht="14.25" hidden="false" customHeight="false" outlineLevel="0" collapsed="false">
      <c r="A14" s="61" t="n">
        <v>1854</v>
      </c>
      <c r="B14" s="50" t="n">
        <f aca="false">(People!B14+People!L14)/2</f>
        <v>401710.682507527</v>
      </c>
      <c r="C14" s="66" t="n">
        <f aca="false">Paths!L14*IF($A14&gt;=1896,prod_factor,1)</f>
        <v>0.04</v>
      </c>
      <c r="D14" s="67" t="n">
        <f aca="false">IF(O13&gt;0,MIN(dev_cap,dev_return*'Debt &amp; cash'!N13/O13),0)</f>
        <v>0</v>
      </c>
      <c r="E14" s="66" t="n">
        <f aca="false">C14+D14</f>
        <v>0.04</v>
      </c>
      <c r="F14" s="50" t="n">
        <f aca="false">F13*(1+E14)</f>
        <v>205.285357560791</v>
      </c>
      <c r="G14" s="68" t="n">
        <f aca="false">1-(1-Paths!M14)*IF($A14&gt;=1930,dep_severity,1)</f>
        <v>1</v>
      </c>
      <c r="H14" s="68" t="n">
        <f aca="false">IF($A14&gt;=1930,Paths!B$89+(Paths!B14-Paths!B$89)*slump_price,Paths!B14)</f>
        <v>0.97</v>
      </c>
      <c r="I14" s="69" t="n">
        <f aca="false">Labour!AO14</f>
        <v>0</v>
      </c>
      <c r="J14" s="50" t="n">
        <f aca="false">B14*F14*(1+I14)*G14*H14/1000000</f>
        <v>79.9913614617107</v>
      </c>
      <c r="K14" s="65" t="n">
        <f aca="false">Resources!O14</f>
        <v>48.3</v>
      </c>
      <c r="L14" s="50" t="n">
        <f aca="false">Labour!L14*gw_rel*J14/Labour!B14</f>
        <v>0</v>
      </c>
      <c r="M14" s="65" t="n">
        <f aca="false">Champions!AQ14</f>
        <v>0</v>
      </c>
      <c r="N14" s="50" t="n">
        <f aca="false">IF(Gulf!E14=1,Gulf!D14,0)</f>
        <v>0</v>
      </c>
      <c r="O14" s="50" t="n">
        <f aca="false">J14+K14+L14+M14+N14</f>
        <v>128.291361461711</v>
      </c>
      <c r="P14" s="50" t="n">
        <f aca="false">O14*1000000/(B14+People!V14+Labour!L14)</f>
        <v>319.362583690581</v>
      </c>
      <c r="Q14" s="48" t="n">
        <v>121</v>
      </c>
      <c r="R14" s="70" t="n">
        <f aca="false">P14/Q14</f>
        <v>2.63936019578993</v>
      </c>
      <c r="S14" s="50" t="n">
        <f aca="false">O14/H14</f>
        <v>132.259135527537</v>
      </c>
    </row>
    <row r="15" customFormat="false" ht="14.25" hidden="false" customHeight="false" outlineLevel="0" collapsed="false">
      <c r="A15" s="61" t="n">
        <v>1855</v>
      </c>
      <c r="B15" s="50" t="n">
        <f aca="false">(People!B15+People!L15)/2</f>
        <v>430369.367967587</v>
      </c>
      <c r="C15" s="66" t="n">
        <f aca="false">Paths!L15*IF($A15&gt;=1896,prod_factor,1)</f>
        <v>0.04</v>
      </c>
      <c r="D15" s="67" t="n">
        <f aca="false">IF(O14&gt;0,MIN(dev_cap,dev_return*'Debt &amp; cash'!N14/O14),0)</f>
        <v>0</v>
      </c>
      <c r="E15" s="66" t="n">
        <f aca="false">C15+D15</f>
        <v>0.04</v>
      </c>
      <c r="F15" s="50" t="n">
        <f aca="false">F14*(1+E15)</f>
        <v>213.496771863223</v>
      </c>
      <c r="G15" s="68" t="n">
        <f aca="false">1-(1-Paths!M15)*IF($A15&gt;=1930,dep_severity,1)</f>
        <v>1</v>
      </c>
      <c r="H15" s="68" t="n">
        <f aca="false">IF($A15&gt;=1930,Paths!B$89+(Paths!B15-Paths!B$89)*slump_price,Paths!B15)</f>
        <v>0.95</v>
      </c>
      <c r="I15" s="69" t="n">
        <f aca="false">Labour!AO15</f>
        <v>0</v>
      </c>
      <c r="J15" s="50" t="n">
        <f aca="false">B15*F15*(1+I15)*G15*H15/1000000</f>
        <v>87.2883472314005</v>
      </c>
      <c r="K15" s="65" t="n">
        <f aca="false">Resources!O15</f>
        <v>38.5</v>
      </c>
      <c r="L15" s="50" t="n">
        <f aca="false">Labour!L15*gw_rel*J15/Labour!B15</f>
        <v>0</v>
      </c>
      <c r="M15" s="65" t="n">
        <f aca="false">Champions!AQ15</f>
        <v>0</v>
      </c>
      <c r="N15" s="50" t="n">
        <f aca="false">IF(Gulf!E15=1,Gulf!D15,0)</f>
        <v>0</v>
      </c>
      <c r="O15" s="50" t="n">
        <f aca="false">J15+K15+L15+M15+N15</f>
        <v>125.788347231401</v>
      </c>
      <c r="P15" s="50" t="n">
        <f aca="false">O15*1000000/(B15+People!V15+Labour!L15)</f>
        <v>292.279972957727</v>
      </c>
      <c r="Q15" s="48" t="n">
        <v>125</v>
      </c>
      <c r="R15" s="70" t="n">
        <f aca="false">P15/Q15</f>
        <v>2.33823978366182</v>
      </c>
      <c r="S15" s="50" t="n">
        <f aca="false">O15/H15</f>
        <v>132.408786559369</v>
      </c>
    </row>
    <row r="16" customFormat="false" ht="14.25" hidden="false" customHeight="false" outlineLevel="0" collapsed="false">
      <c r="A16" s="61" t="n">
        <v>1856</v>
      </c>
      <c r="B16" s="50" t="n">
        <f aca="false">(People!B16+People!L16)/2</f>
        <v>496548.242716474</v>
      </c>
      <c r="C16" s="66" t="n">
        <f aca="false">Paths!L16*IF($A16&gt;=1896,prod_factor,1)</f>
        <v>0.025</v>
      </c>
      <c r="D16" s="67" t="n">
        <f aca="false">IF(O15&gt;0,MIN(dev_cap,dev_return*'Debt &amp; cash'!N15/O15),0)</f>
        <v>0</v>
      </c>
      <c r="E16" s="66" t="n">
        <f aca="false">C16+D16</f>
        <v>0.025</v>
      </c>
      <c r="F16" s="50" t="n">
        <f aca="false">F15*(1+E16)</f>
        <v>218.834191159803</v>
      </c>
      <c r="G16" s="68" t="n">
        <f aca="false">1-(1-Paths!M16)*IF($A16&gt;=1930,dep_severity,1)</f>
        <v>1</v>
      </c>
      <c r="H16" s="68" t="n">
        <f aca="false">IF($A16&gt;=1930,Paths!B$89+(Paths!B16-Paths!B$89)*slump_price,Paths!B16)</f>
        <v>0.935</v>
      </c>
      <c r="I16" s="69" t="n">
        <f aca="false">Labour!AO16</f>
        <v>0</v>
      </c>
      <c r="J16" s="50" t="n">
        <f aca="false">B16*F16*(1+I16)*G16*H16/1000000</f>
        <v>101.598720417347</v>
      </c>
      <c r="K16" s="65" t="n">
        <f aca="false">Resources!O16</f>
        <v>39.9</v>
      </c>
      <c r="L16" s="50" t="n">
        <f aca="false">Labour!L16*gw_rel*J16/Labour!B16</f>
        <v>0</v>
      </c>
      <c r="M16" s="65" t="n">
        <f aca="false">Champions!AQ16</f>
        <v>0</v>
      </c>
      <c r="N16" s="50" t="n">
        <f aca="false">IF(Gulf!E16=1,Gulf!D16,0)</f>
        <v>0</v>
      </c>
      <c r="O16" s="50" t="n">
        <f aca="false">J16+K16+L16+M16+N16</f>
        <v>141.498720417347</v>
      </c>
      <c r="P16" s="50" t="n">
        <f aca="false">O16*1000000/(B16+People!V16+Labour!L16)</f>
        <v>284.964698783844</v>
      </c>
      <c r="Q16" s="48" t="n">
        <v>128</v>
      </c>
      <c r="R16" s="70" t="n">
        <f aca="false">P16/Q16</f>
        <v>2.22628670924878</v>
      </c>
      <c r="S16" s="50" t="n">
        <f aca="false">O16/H16</f>
        <v>151.335529858125</v>
      </c>
    </row>
    <row r="17" customFormat="false" ht="14.25" hidden="false" customHeight="false" outlineLevel="0" collapsed="false">
      <c r="A17" s="61" t="n">
        <v>1857</v>
      </c>
      <c r="B17" s="50" t="n">
        <f aca="false">(People!B17+People!L17)/2</f>
        <v>566330.273386356</v>
      </c>
      <c r="C17" s="66" t="n">
        <f aca="false">Paths!L17*IF($A17&gt;=1896,prod_factor,1)</f>
        <v>0.025</v>
      </c>
      <c r="D17" s="67" t="n">
        <f aca="false">IF(O16&gt;0,MIN(dev_cap,dev_return*'Debt &amp; cash'!N16/O16),0)</f>
        <v>0</v>
      </c>
      <c r="E17" s="66" t="n">
        <f aca="false">C17+D17</f>
        <v>0.025</v>
      </c>
      <c r="F17" s="50" t="n">
        <f aca="false">F16*(1+E17)</f>
        <v>224.305045938798</v>
      </c>
      <c r="G17" s="68" t="n">
        <f aca="false">1-(1-Paths!M17)*IF($A17&gt;=1930,dep_severity,1)</f>
        <v>0.97</v>
      </c>
      <c r="H17" s="68" t="n">
        <f aca="false">IF($A17&gt;=1930,Paths!B$89+(Paths!B17-Paths!B$89)*slump_price,Paths!B17)</f>
        <v>0.92</v>
      </c>
      <c r="I17" s="69" t="n">
        <f aca="false">Labour!AO17</f>
        <v>0</v>
      </c>
      <c r="J17" s="50" t="n">
        <f aca="false">B17*F17*(1+I17)*G17*H17/1000000</f>
        <v>113.362230580901</v>
      </c>
      <c r="K17" s="65" t="n">
        <f aca="false">Resources!O17</f>
        <v>30.1</v>
      </c>
      <c r="L17" s="50" t="n">
        <f aca="false">Labour!L17*gw_rel*J17/Labour!B17</f>
        <v>0</v>
      </c>
      <c r="M17" s="65" t="n">
        <f aca="false">Champions!AQ17</f>
        <v>0</v>
      </c>
      <c r="N17" s="50" t="n">
        <f aca="false">IF(Gulf!E17=1,Gulf!D17,0)</f>
        <v>0</v>
      </c>
      <c r="O17" s="50" t="n">
        <f aca="false">J17+K17+L17+M17+N17</f>
        <v>143.462230580901</v>
      </c>
      <c r="P17" s="50" t="n">
        <f aca="false">O17*1000000/(B17+People!V17+Labour!L17)</f>
        <v>253.319021289595</v>
      </c>
      <c r="Q17" s="48" t="n">
        <v>131</v>
      </c>
      <c r="R17" s="70" t="n">
        <f aca="false">P17/Q17</f>
        <v>1.93373298694348</v>
      </c>
      <c r="S17" s="50" t="n">
        <f aca="false">O17/H17</f>
        <v>155.937207153153</v>
      </c>
    </row>
    <row r="18" customFormat="false" ht="14.25" hidden="false" customHeight="false" outlineLevel="0" collapsed="false">
      <c r="A18" s="61" t="n">
        <v>1858</v>
      </c>
      <c r="B18" s="50" t="n">
        <f aca="false">(People!B18+People!L18)/2</f>
        <v>600879.906393605</v>
      </c>
      <c r="C18" s="66" t="n">
        <f aca="false">Paths!L18*IF($A18&gt;=1896,prod_factor,1)</f>
        <v>0.025</v>
      </c>
      <c r="D18" s="67" t="n">
        <f aca="false">IF(O17&gt;0,MIN(dev_cap,dev_return*'Debt &amp; cash'!N17/O17),0)</f>
        <v>0</v>
      </c>
      <c r="E18" s="66" t="n">
        <f aca="false">C18+D18</f>
        <v>0.025</v>
      </c>
      <c r="F18" s="50" t="n">
        <f aca="false">F17*(1+E18)</f>
        <v>229.912672087268</v>
      </c>
      <c r="G18" s="68" t="n">
        <f aca="false">1-(1-Paths!M18)*IF($A18&gt;=1930,dep_severity,1)</f>
        <v>0.98</v>
      </c>
      <c r="H18" s="68" t="n">
        <f aca="false">IF($A18&gt;=1930,Paths!B$89+(Paths!B18-Paths!B$89)*slump_price,Paths!B18)</f>
        <v>0.9067</v>
      </c>
      <c r="I18" s="69" t="n">
        <f aca="false">Labour!AO18</f>
        <v>0</v>
      </c>
      <c r="J18" s="50" t="n">
        <f aca="false">B18*F18*(1+I18)*G18*H18/1000000</f>
        <v>122.755308381825</v>
      </c>
      <c r="K18" s="65" t="n">
        <f aca="false">Resources!O18</f>
        <v>32.9</v>
      </c>
      <c r="L18" s="50" t="n">
        <f aca="false">Labour!L18*gw_rel*J18/Labour!B18</f>
        <v>0</v>
      </c>
      <c r="M18" s="65" t="n">
        <f aca="false">Champions!AQ18</f>
        <v>0</v>
      </c>
      <c r="N18" s="50" t="n">
        <f aca="false">IF(Gulf!E18=1,Gulf!D18,0)</f>
        <v>0</v>
      </c>
      <c r="O18" s="50" t="n">
        <f aca="false">J18+K18+L18+M18+N18</f>
        <v>155.655308381825</v>
      </c>
      <c r="P18" s="50" t="n">
        <f aca="false">O18*1000000/(B18+People!V18+Labour!L18)</f>
        <v>259.045620806403</v>
      </c>
      <c r="Q18" s="48" t="n">
        <v>134</v>
      </c>
      <c r="R18" s="70" t="n">
        <f aca="false">P18/Q18</f>
        <v>1.93317627467465</v>
      </c>
      <c r="S18" s="50" t="n">
        <f aca="false">O18/H18</f>
        <v>171.672337467547</v>
      </c>
    </row>
    <row r="19" customFormat="false" ht="14.25" hidden="false" customHeight="false" outlineLevel="0" collapsed="false">
      <c r="A19" s="61" t="n">
        <v>1859</v>
      </c>
      <c r="B19" s="50" t="n">
        <f aca="false">(People!B19+People!L19)/2</f>
        <v>635809.585363935</v>
      </c>
      <c r="C19" s="66" t="n">
        <f aca="false">Paths!L19*IF($A19&gt;=1896,prod_factor,1)</f>
        <v>0.025</v>
      </c>
      <c r="D19" s="67" t="n">
        <f aca="false">IF(O18&gt;0,MIN(dev_cap,dev_return*'Debt &amp; cash'!N18/O18),0)</f>
        <v>0</v>
      </c>
      <c r="E19" s="66" t="n">
        <f aca="false">C19+D19</f>
        <v>0.025</v>
      </c>
      <c r="F19" s="50" t="n">
        <f aca="false">F18*(1+E19)</f>
        <v>235.66048888945</v>
      </c>
      <c r="G19" s="68" t="n">
        <f aca="false">1-(1-Paths!M19)*IF($A19&gt;=1930,dep_severity,1)</f>
        <v>1</v>
      </c>
      <c r="H19" s="68" t="n">
        <f aca="false">IF($A19&gt;=1930,Paths!B$89+(Paths!B19-Paths!B$89)*slump_price,Paths!B19)</f>
        <v>0.8933</v>
      </c>
      <c r="I19" s="69" t="n">
        <f aca="false">Labour!AO19</f>
        <v>0</v>
      </c>
      <c r="J19" s="50" t="n">
        <f aca="false">B19*F19*(1+I19)*G19*H19/1000000</f>
        <v>133.847782129943</v>
      </c>
      <c r="K19" s="65" t="n">
        <f aca="false">Resources!O19</f>
        <v>32.2</v>
      </c>
      <c r="L19" s="50" t="n">
        <f aca="false">Labour!L19*gw_rel*J19/Labour!B19</f>
        <v>0</v>
      </c>
      <c r="M19" s="65" t="n">
        <f aca="false">Champions!AQ19</f>
        <v>0</v>
      </c>
      <c r="N19" s="50" t="n">
        <f aca="false">IF(Gulf!E19=1,Gulf!D19,0)</f>
        <v>0</v>
      </c>
      <c r="O19" s="50" t="n">
        <f aca="false">J19+K19+L19+M19+N19</f>
        <v>166.047782129943</v>
      </c>
      <c r="P19" s="50" t="n">
        <f aca="false">O19*1000000/(B19+People!V19+Labour!L19)</f>
        <v>261.159608084389</v>
      </c>
      <c r="Q19" s="48" t="n">
        <v>137</v>
      </c>
      <c r="R19" s="70" t="n">
        <f aca="false">P19/Q19</f>
        <v>1.90627451156488</v>
      </c>
      <c r="S19" s="50" t="n">
        <f aca="false">O19/H19</f>
        <v>185.881318851386</v>
      </c>
    </row>
    <row r="20" customFormat="false" ht="14.25" hidden="false" customHeight="false" outlineLevel="0" collapsed="false">
      <c r="A20" s="61" t="n">
        <v>1860</v>
      </c>
      <c r="B20" s="50" t="n">
        <f aca="false">(People!B20+People!L20)/2</f>
        <v>671843.490802938</v>
      </c>
      <c r="C20" s="66" t="n">
        <f aca="false">Paths!L20*IF($A20&gt;=1896,prod_factor,1)</f>
        <v>0.025</v>
      </c>
      <c r="D20" s="67" t="n">
        <f aca="false">IF(O19&gt;0,MIN(dev_cap,dev_return*'Debt &amp; cash'!N19/O19),0)</f>
        <v>0</v>
      </c>
      <c r="E20" s="66" t="n">
        <f aca="false">C20+D20</f>
        <v>0.025</v>
      </c>
      <c r="F20" s="50" t="n">
        <f aca="false">F19*(1+E20)</f>
        <v>241.552001111686</v>
      </c>
      <c r="G20" s="68" t="n">
        <f aca="false">1-(1-Paths!M20)*IF($A20&gt;=1930,dep_severity,1)</f>
        <v>1</v>
      </c>
      <c r="H20" s="68" t="n">
        <f aca="false">IF($A20&gt;=1930,Paths!B$89+(Paths!B20-Paths!B$89)*slump_price,Paths!B20)</f>
        <v>0.88</v>
      </c>
      <c r="I20" s="69" t="n">
        <f aca="false">Labour!AO20</f>
        <v>0</v>
      </c>
      <c r="J20" s="50" t="n">
        <f aca="false">B20*F20*(1+I20)*G20*H20/1000000</f>
        <v>142.810922880833</v>
      </c>
      <c r="K20" s="65" t="n">
        <f aca="false">Resources!O20</f>
        <v>31.5</v>
      </c>
      <c r="L20" s="50" t="n">
        <f aca="false">Labour!L20*gw_rel*J20/Labour!B20</f>
        <v>0</v>
      </c>
      <c r="M20" s="65" t="n">
        <f aca="false">Champions!AQ20</f>
        <v>0.694444444444444</v>
      </c>
      <c r="N20" s="50" t="n">
        <f aca="false">IF(Gulf!E20=1,Gulf!D20,0)</f>
        <v>0</v>
      </c>
      <c r="O20" s="50" t="n">
        <f aca="false">J20+K20+L20+M20+N20</f>
        <v>175.005367325278</v>
      </c>
      <c r="P20" s="50" t="n">
        <f aca="false">O20*1000000/(B20+People!V20+Labour!L20)</f>
        <v>260.485320943013</v>
      </c>
      <c r="Q20" s="48" t="n">
        <v>140</v>
      </c>
      <c r="R20" s="70" t="n">
        <f aca="false">P20/Q20</f>
        <v>1.86060943530724</v>
      </c>
      <c r="S20" s="50" t="n">
        <f aca="false">O20/H20</f>
        <v>198.869735596906</v>
      </c>
    </row>
    <row r="21" customFormat="false" ht="14.25" hidden="false" customHeight="false" outlineLevel="0" collapsed="false">
      <c r="A21" s="64" t="n">
        <v>1861</v>
      </c>
      <c r="B21" s="50" t="n">
        <f aca="false">(People!B21+People!L21)/2</f>
        <v>710993.769201771</v>
      </c>
      <c r="C21" s="66" t="n">
        <f aca="false">Paths!L21*IF($A21&gt;=1896,prod_factor,1)</f>
        <v>0.02</v>
      </c>
      <c r="D21" s="67" t="n">
        <f aca="false">IF(O20&gt;0,MIN(dev_cap,dev_return*'Debt &amp; cash'!N20/O20),0)</f>
        <v>0</v>
      </c>
      <c r="E21" s="66" t="n">
        <f aca="false">C21+D21</f>
        <v>0.02</v>
      </c>
      <c r="F21" s="50" t="n">
        <f aca="false">F20*(1+E21)</f>
        <v>246.38304113392</v>
      </c>
      <c r="G21" s="68" t="n">
        <f aca="false">1-(1-Paths!M21)*IF($A21&gt;=1930,dep_severity,1)</f>
        <v>0.98</v>
      </c>
      <c r="H21" s="68" t="n">
        <f aca="false">IF($A21&gt;=1930,Paths!B$89+(Paths!B21-Paths!B$89)*slump_price,Paths!B21)</f>
        <v>0.88</v>
      </c>
      <c r="I21" s="69" t="n">
        <f aca="false">Labour!AO21</f>
        <v>0</v>
      </c>
      <c r="J21" s="50" t="n">
        <f aca="false">B21*F21*(1+I21)*G21*H21/1000000</f>
        <v>151.072478428552</v>
      </c>
      <c r="K21" s="65" t="n">
        <f aca="false">Resources!O21</f>
        <v>28.7</v>
      </c>
      <c r="L21" s="50" t="n">
        <f aca="false">Labour!L21*gw_rel*J21/Labour!B21</f>
        <v>0</v>
      </c>
      <c r="M21" s="65" t="n">
        <f aca="false">Champions!AQ21</f>
        <v>0.694444444444444</v>
      </c>
      <c r="N21" s="50" t="n">
        <f aca="false">IF(Gulf!E21=1,Gulf!D21,0)</f>
        <v>0</v>
      </c>
      <c r="O21" s="50" t="n">
        <f aca="false">J21+K21+L21+M21+N21</f>
        <v>180.466922872997</v>
      </c>
      <c r="P21" s="50" t="n">
        <f aca="false">O21*1000000/(B21+People!V21+Labour!L21)</f>
        <v>253.823494227813</v>
      </c>
      <c r="Q21" s="48" t="n">
        <v>142</v>
      </c>
      <c r="R21" s="70" t="n">
        <f aca="false">P21/Q21</f>
        <v>1.78748939597051</v>
      </c>
      <c r="S21" s="50" t="n">
        <f aca="false">O21/H21</f>
        <v>205.076048719314</v>
      </c>
    </row>
    <row r="22" customFormat="false" ht="14.25" hidden="false" customHeight="false" outlineLevel="0" collapsed="false">
      <c r="A22" s="64" t="n">
        <v>1862</v>
      </c>
      <c r="B22" s="50" t="n">
        <f aca="false">(People!B22+People!L22)/2</f>
        <v>842172.206432254</v>
      </c>
      <c r="C22" s="66" t="n">
        <f aca="false">Paths!L22*IF($A22&gt;=1896,prod_factor,1)</f>
        <v>0.02</v>
      </c>
      <c r="D22" s="67" t="n">
        <f aca="false">IF(O21&gt;0,MIN(dev_cap,dev_return*'Debt &amp; cash'!N21/O21),0)</f>
        <v>0</v>
      </c>
      <c r="E22" s="66" t="n">
        <f aca="false">C22+D22</f>
        <v>0.02</v>
      </c>
      <c r="F22" s="50" t="n">
        <f aca="false">F21*(1+E22)</f>
        <v>251.310701956598</v>
      </c>
      <c r="G22" s="68" t="n">
        <f aca="false">1-(1-Paths!M22)*IF($A22&gt;=1930,dep_severity,1)</f>
        <v>0.97</v>
      </c>
      <c r="H22" s="68" t="n">
        <f aca="false">IF($A22&gt;=1930,Paths!B$89+(Paths!B22-Paths!B$89)*slump_price,Paths!B22)</f>
        <v>0.88</v>
      </c>
      <c r="I22" s="69" t="n">
        <f aca="false">Labour!AO22</f>
        <v>0</v>
      </c>
      <c r="J22" s="50" t="n">
        <f aca="false">B22*F22*(1+I22)*G22*H22/1000000</f>
        <v>180.661783909923</v>
      </c>
      <c r="K22" s="65" t="n">
        <f aca="false">Resources!O22</f>
        <v>26.6</v>
      </c>
      <c r="L22" s="50" t="n">
        <f aca="false">Labour!L22*gw_rel*J22/Labour!B22</f>
        <v>0</v>
      </c>
      <c r="M22" s="65" t="n">
        <f aca="false">Champions!AQ22</f>
        <v>0.694444444444444</v>
      </c>
      <c r="N22" s="50" t="n">
        <f aca="false">IF(Gulf!E22=1,Gulf!D22,0)</f>
        <v>0</v>
      </c>
      <c r="O22" s="50" t="n">
        <f aca="false">J22+K22+L22+M22+N22</f>
        <v>207.956228354368</v>
      </c>
      <c r="P22" s="50" t="n">
        <f aca="false">O22*1000000/(B22+People!V22+Labour!L22)</f>
        <v>246.928391564174</v>
      </c>
      <c r="Q22" s="48" t="n">
        <v>144</v>
      </c>
      <c r="R22" s="70" t="n">
        <f aca="false">P22/Q22</f>
        <v>1.71478049697343</v>
      </c>
      <c r="S22" s="50" t="n">
        <f aca="false">O22/H22</f>
        <v>236.313895857236</v>
      </c>
    </row>
    <row r="23" customFormat="false" ht="14.25" hidden="false" customHeight="false" outlineLevel="0" collapsed="false">
      <c r="A23" s="64" t="n">
        <v>1863</v>
      </c>
      <c r="B23" s="50" t="n">
        <f aca="false">(People!B23+People!L23)/2</f>
        <v>1018722.61732231</v>
      </c>
      <c r="C23" s="66" t="n">
        <f aca="false">Paths!L23*IF($A23&gt;=1896,prod_factor,1)</f>
        <v>0.02</v>
      </c>
      <c r="D23" s="67" t="n">
        <f aca="false">IF(O22&gt;0,MIN(dev_cap,dev_return*'Debt &amp; cash'!N22/O22),0)</f>
        <v>0</v>
      </c>
      <c r="E23" s="66" t="n">
        <f aca="false">C23+D23</f>
        <v>0.02</v>
      </c>
      <c r="F23" s="50" t="n">
        <f aca="false">F22*(1+E23)</f>
        <v>256.33691599573</v>
      </c>
      <c r="G23" s="68" t="n">
        <f aca="false">1-(1-Paths!M23)*IF($A23&gt;=1930,dep_severity,1)</f>
        <v>0.98</v>
      </c>
      <c r="H23" s="68" t="n">
        <f aca="false">IF($A23&gt;=1930,Paths!B$89+(Paths!B23-Paths!B$89)*slump_price,Paths!B23)</f>
        <v>0.9033</v>
      </c>
      <c r="I23" s="69" t="n">
        <f aca="false">Labour!AO23</f>
        <v>0</v>
      </c>
      <c r="J23" s="50" t="n">
        <f aca="false">B23*F23*(1+I23)*G23*H23/1000000</f>
        <v>231.166655245927</v>
      </c>
      <c r="K23" s="65" t="n">
        <f aca="false">Resources!O23</f>
        <v>26.6</v>
      </c>
      <c r="L23" s="50" t="n">
        <f aca="false">Labour!L23*gw_rel*J23/Labour!B23</f>
        <v>0</v>
      </c>
      <c r="M23" s="65" t="n">
        <f aca="false">Champions!AQ23</f>
        <v>1.38907256503952</v>
      </c>
      <c r="N23" s="50" t="n">
        <f aca="false">IF(Gulf!E23=1,Gulf!D23,0)</f>
        <v>0</v>
      </c>
      <c r="O23" s="50" t="n">
        <f aca="false">J23+K23+L23+M23+N23</f>
        <v>259.155727810967</v>
      </c>
      <c r="P23" s="50" t="n">
        <f aca="false">O23*1000000/(B23+People!V23+Labour!L23)</f>
        <v>254.392828238322</v>
      </c>
      <c r="Q23" s="48" t="n">
        <v>146</v>
      </c>
      <c r="R23" s="70" t="n">
        <f aca="false">P23/Q23</f>
        <v>1.74241663176933</v>
      </c>
      <c r="S23" s="50" t="n">
        <f aca="false">O23/H23</f>
        <v>286.898846242629</v>
      </c>
    </row>
    <row r="24" customFormat="false" ht="14.25" hidden="false" customHeight="false" outlineLevel="0" collapsed="false">
      <c r="A24" s="64" t="n">
        <v>1864</v>
      </c>
      <c r="B24" s="50" t="n">
        <f aca="false">(People!B24+People!L24)/2</f>
        <v>1121744.73396482</v>
      </c>
      <c r="C24" s="66" t="n">
        <f aca="false">Paths!L24*IF($A24&gt;=1896,prod_factor,1)</f>
        <v>0.02</v>
      </c>
      <c r="D24" s="67" t="n">
        <f aca="false">IF(O23&gt;0,MIN(dev_cap,dev_return*'Debt &amp; cash'!N23/O23),0)</f>
        <v>0</v>
      </c>
      <c r="E24" s="66" t="n">
        <f aca="false">C24+D24</f>
        <v>0.02</v>
      </c>
      <c r="F24" s="50" t="n">
        <f aca="false">F23*(1+E24)</f>
        <v>261.463654315645</v>
      </c>
      <c r="G24" s="68" t="n">
        <f aca="false">1-(1-Paths!M24)*IF($A24&gt;=1930,dep_severity,1)</f>
        <v>1</v>
      </c>
      <c r="H24" s="68" t="n">
        <f aca="false">IF($A24&gt;=1930,Paths!B$89+(Paths!B24-Paths!B$89)*slump_price,Paths!B24)</f>
        <v>0.9267</v>
      </c>
      <c r="I24" s="69" t="n">
        <f aca="false">Labour!AO24</f>
        <v>0</v>
      </c>
      <c r="J24" s="50" t="n">
        <f aca="false">B24*F24*(1+I24)*G24*H24/1000000</f>
        <v>271.796918861887</v>
      </c>
      <c r="K24" s="65" t="n">
        <f aca="false">Resources!O24</f>
        <v>41.3</v>
      </c>
      <c r="L24" s="50" t="n">
        <f aca="false">Labour!L24*gw_rel*J24/Labour!B24</f>
        <v>0</v>
      </c>
      <c r="M24" s="65" t="n">
        <f aca="false">Champions!AQ24</f>
        <v>1.38927160642296</v>
      </c>
      <c r="N24" s="50" t="n">
        <f aca="false">IF(Gulf!E24=1,Gulf!D24,0)</f>
        <v>0</v>
      </c>
      <c r="O24" s="50" t="n">
        <f aca="false">J24+K24+L24+M24+N24</f>
        <v>314.48619046831</v>
      </c>
      <c r="P24" s="50" t="n">
        <f aca="false">O24*1000000/(B24+People!V24+Labour!L24)</f>
        <v>280.354505749945</v>
      </c>
      <c r="Q24" s="48" t="n">
        <v>148</v>
      </c>
      <c r="R24" s="70" t="n">
        <f aca="false">P24/Q24</f>
        <v>1.89428720101314</v>
      </c>
      <c r="S24" s="50" t="n">
        <f aca="false">O24/H24</f>
        <v>339.361379592436</v>
      </c>
    </row>
    <row r="25" customFormat="false" ht="14.25" hidden="false" customHeight="false" outlineLevel="0" collapsed="false">
      <c r="A25" s="64" t="n">
        <v>1865</v>
      </c>
      <c r="B25" s="50" t="n">
        <f aca="false">(People!B25+People!L25)/2</f>
        <v>1188709.16024032</v>
      </c>
      <c r="C25" s="66" t="n">
        <f aca="false">Paths!L25*IF($A25&gt;=1896,prod_factor,1)</f>
        <v>0.02</v>
      </c>
      <c r="D25" s="67" t="n">
        <f aca="false">IF(O24&gt;0,MIN(dev_cap,dev_return*'Debt &amp; cash'!N24/O24),0)</f>
        <v>0</v>
      </c>
      <c r="E25" s="66" t="n">
        <f aca="false">C25+D25</f>
        <v>0.02</v>
      </c>
      <c r="F25" s="50" t="n">
        <f aca="false">F24*(1+E25)</f>
        <v>266.692927401958</v>
      </c>
      <c r="G25" s="68" t="n">
        <f aca="false">1-(1-Paths!M25)*IF($A25&gt;=1930,dep_severity,1)</f>
        <v>1</v>
      </c>
      <c r="H25" s="68" t="n">
        <f aca="false">IF($A25&gt;=1930,Paths!B$89+(Paths!B25-Paths!B$89)*slump_price,Paths!B25)</f>
        <v>0.95</v>
      </c>
      <c r="I25" s="69" t="n">
        <f aca="false">Labour!AO25</f>
        <v>0</v>
      </c>
      <c r="J25" s="50" t="n">
        <f aca="false">B25*F25*(1+I25)*G25*H25/1000000</f>
        <v>301.169309485314</v>
      </c>
      <c r="K25" s="65" t="n">
        <f aca="false">Resources!O25</f>
        <v>40.6</v>
      </c>
      <c r="L25" s="50" t="n">
        <f aca="false">Labour!L25*gw_rel*J25/Labour!B25</f>
        <v>0</v>
      </c>
      <c r="M25" s="65" t="n">
        <f aca="false">Champions!AQ25</f>
        <v>1.38949065493834</v>
      </c>
      <c r="N25" s="50" t="n">
        <f aca="false">IF(Gulf!E25=1,Gulf!D25,0)</f>
        <v>0</v>
      </c>
      <c r="O25" s="50" t="n">
        <f aca="false">J25+K25+L25+M25+N25</f>
        <v>343.158800140253</v>
      </c>
      <c r="P25" s="50" t="n">
        <f aca="false">O25*1000000/(B25+People!V25+Labour!L25)</f>
        <v>288.681884196867</v>
      </c>
      <c r="Q25" s="48" t="n">
        <v>150</v>
      </c>
      <c r="R25" s="70" t="n">
        <f aca="false">P25/Q25</f>
        <v>1.92454589464578</v>
      </c>
      <c r="S25" s="50" t="n">
        <f aca="false">O25/H25</f>
        <v>361.219789621319</v>
      </c>
    </row>
    <row r="26" customFormat="false" ht="14.25" hidden="false" customHeight="false" outlineLevel="0" collapsed="false">
      <c r="A26" s="61" t="n">
        <v>1866</v>
      </c>
      <c r="B26" s="50" t="n">
        <f aca="false">(People!B26+People!L26)/2</f>
        <v>1262111.08848369</v>
      </c>
      <c r="C26" s="66" t="n">
        <f aca="false">Paths!L26*IF($A26&gt;=1896,prod_factor,1)</f>
        <v>0.02</v>
      </c>
      <c r="D26" s="67" t="n">
        <f aca="false">IF(O25&gt;0,MIN(dev_cap,dev_return*'Debt &amp; cash'!N25/O25),0)</f>
        <v>0</v>
      </c>
      <c r="E26" s="66" t="n">
        <f aca="false">C26+D26</f>
        <v>0.02</v>
      </c>
      <c r="F26" s="50" t="n">
        <f aca="false">F25*(1+E26)</f>
        <v>272.026785949997</v>
      </c>
      <c r="G26" s="68" t="n">
        <f aca="false">1-(1-Paths!M26)*IF($A26&gt;=1930,dep_severity,1)</f>
        <v>1</v>
      </c>
      <c r="H26" s="68" t="n">
        <f aca="false">IF($A26&gt;=1930,Paths!B$89+(Paths!B26-Paths!B$89)*slump_price,Paths!B26)</f>
        <v>0.95</v>
      </c>
      <c r="I26" s="69" t="n">
        <f aca="false">Labour!AO26</f>
        <v>0</v>
      </c>
      <c r="J26" s="50" t="n">
        <f aca="false">B26*F26*(1+I26)*G26*H26/1000000</f>
        <v>326.161621766467</v>
      </c>
      <c r="K26" s="65" t="n">
        <f aca="false">Resources!O26</f>
        <v>39.2</v>
      </c>
      <c r="L26" s="50" t="n">
        <f aca="false">Labour!L26*gw_rel*J26/Labour!B26</f>
        <v>0</v>
      </c>
      <c r="M26" s="65" t="n">
        <f aca="false">Champions!AQ26</f>
        <v>1.38972232136901</v>
      </c>
      <c r="N26" s="50" t="n">
        <f aca="false">IF(Gulf!E26=1,Gulf!D26,0)</f>
        <v>0</v>
      </c>
      <c r="O26" s="50" t="n">
        <f aca="false">J26+K26+L26+M26+N26</f>
        <v>366.751344087836</v>
      </c>
      <c r="P26" s="50" t="n">
        <f aca="false">O26*1000000/(B26+People!V26+Labour!L26)</f>
        <v>290.585628661621</v>
      </c>
      <c r="Q26" s="48" t="n">
        <v>154</v>
      </c>
      <c r="R26" s="70" t="n">
        <f aca="false">P26/Q26</f>
        <v>1.8869196666339</v>
      </c>
      <c r="S26" s="50" t="n">
        <f aca="false">O26/H26</f>
        <v>386.054046408248</v>
      </c>
    </row>
    <row r="27" customFormat="false" ht="14.25" hidden="false" customHeight="false" outlineLevel="0" collapsed="false">
      <c r="A27" s="61" t="n">
        <v>1867</v>
      </c>
      <c r="B27" s="50" t="n">
        <f aca="false">(People!B27+People!L27)/2</f>
        <v>1374540.64372246</v>
      </c>
      <c r="C27" s="66" t="n">
        <f aca="false">Paths!L27*IF($A27&gt;=1896,prod_factor,1)</f>
        <v>0.02</v>
      </c>
      <c r="D27" s="67" t="n">
        <f aca="false">IF(O26&gt;0,MIN(dev_cap,dev_return*'Debt &amp; cash'!N26/O26),0)</f>
        <v>0</v>
      </c>
      <c r="E27" s="66" t="n">
        <f aca="false">C27+D27</f>
        <v>0.02</v>
      </c>
      <c r="F27" s="50" t="n">
        <f aca="false">F26*(1+E27)</f>
        <v>277.467321668997</v>
      </c>
      <c r="G27" s="68" t="n">
        <f aca="false">1-(1-Paths!M27)*IF($A27&gt;=1930,dep_severity,1)</f>
        <v>1</v>
      </c>
      <c r="H27" s="68" t="n">
        <f aca="false">IF($A27&gt;=1930,Paths!B$89+(Paths!B27-Paths!B$89)*slump_price,Paths!B27)</f>
        <v>0.95</v>
      </c>
      <c r="I27" s="69" t="n">
        <f aca="false">Labour!AO27</f>
        <v>0</v>
      </c>
      <c r="J27" s="50" t="n">
        <f aca="false">B27*F27*(1+I27)*G27*H27/1000000</f>
        <v>362.320605391908</v>
      </c>
      <c r="K27" s="65" t="n">
        <f aca="false">Resources!O27</f>
        <v>35</v>
      </c>
      <c r="L27" s="50" t="n">
        <f aca="false">Labour!L27*gw_rel*J27/Labour!B27</f>
        <v>0</v>
      </c>
      <c r="M27" s="65" t="n">
        <f aca="false">Champions!AQ27</f>
        <v>1.57761455898069</v>
      </c>
      <c r="N27" s="50" t="n">
        <f aca="false">IF(Gulf!E27=1,Gulf!D27,0)</f>
        <v>0</v>
      </c>
      <c r="O27" s="50" t="n">
        <f aca="false">J27+K27+L27+M27+N27</f>
        <v>398.898219950888</v>
      </c>
      <c r="P27" s="50" t="n">
        <f aca="false">O27*1000000/(B27+People!V27+Labour!L27)</f>
        <v>290.20474714419</v>
      </c>
      <c r="Q27" s="48" t="n">
        <v>159</v>
      </c>
      <c r="R27" s="70" t="n">
        <f aca="false">P27/Q27</f>
        <v>1.82518708895717</v>
      </c>
      <c r="S27" s="50" t="n">
        <f aca="false">O27/H27</f>
        <v>419.892863106198</v>
      </c>
    </row>
    <row r="28" customFormat="false" ht="14.25" hidden="false" customHeight="false" outlineLevel="0" collapsed="false">
      <c r="A28" s="61" t="n">
        <v>1868</v>
      </c>
      <c r="B28" s="50" t="n">
        <f aca="false">(People!B28+People!L28)/2</f>
        <v>1494673.1109787</v>
      </c>
      <c r="C28" s="66" t="n">
        <f aca="false">Paths!L28*IF($A28&gt;=1896,prod_factor,1)</f>
        <v>0.02</v>
      </c>
      <c r="D28" s="67" t="n">
        <f aca="false">IF(O27&gt;0,MIN(dev_cap,dev_return*'Debt &amp; cash'!N27/O27),0)</f>
        <v>0</v>
      </c>
      <c r="E28" s="66" t="n">
        <f aca="false">C28+D28</f>
        <v>0.02</v>
      </c>
      <c r="F28" s="50" t="n">
        <f aca="false">F27*(1+E28)</f>
        <v>283.016668102377</v>
      </c>
      <c r="G28" s="68" t="n">
        <f aca="false">1-(1-Paths!M28)*IF($A28&gt;=1930,dep_severity,1)</f>
        <v>1</v>
      </c>
      <c r="H28" s="68" t="n">
        <f aca="false">IF($A28&gt;=1930,Paths!B$89+(Paths!B28-Paths!B$89)*slump_price,Paths!B28)</f>
        <v>0.95</v>
      </c>
      <c r="I28" s="69" t="n">
        <f aca="false">Labour!AO28</f>
        <v>0</v>
      </c>
      <c r="J28" s="50" t="n">
        <f aca="false">B28*F28*(1+I28)*G28*H28/1000000</f>
        <v>401.866533582836</v>
      </c>
      <c r="K28" s="65" t="n">
        <f aca="false">Resources!O28</f>
        <v>29.8666666666667</v>
      </c>
      <c r="L28" s="50" t="n">
        <f aca="false">Labour!L28*gw_rel*J28/Labour!B28</f>
        <v>0</v>
      </c>
      <c r="M28" s="65" t="n">
        <f aca="false">Champions!AQ28</f>
        <v>2.52747198602466</v>
      </c>
      <c r="N28" s="50" t="n">
        <f aca="false">IF(Gulf!E28=1,Gulf!D28,0)</f>
        <v>0</v>
      </c>
      <c r="O28" s="50" t="n">
        <f aca="false">J28+K28+L28+M28+N28</f>
        <v>434.260672235528</v>
      </c>
      <c r="P28" s="50" t="n">
        <f aca="false">O28*1000000/(B28+People!V28+Labour!L28)</f>
        <v>290.538893786064</v>
      </c>
      <c r="Q28" s="48" t="n">
        <v>163</v>
      </c>
      <c r="R28" s="70" t="n">
        <f aca="false">P28/Q28</f>
        <v>1.7824472011415</v>
      </c>
      <c r="S28" s="50" t="n">
        <f aca="false">O28/H28</f>
        <v>457.116497090029</v>
      </c>
    </row>
    <row r="29" customFormat="false" ht="14.25" hidden="false" customHeight="false" outlineLevel="0" collapsed="false">
      <c r="A29" s="61" t="n">
        <v>1869</v>
      </c>
      <c r="B29" s="50" t="n">
        <f aca="false">(People!B29+People!L29)/2</f>
        <v>1601543.9000873</v>
      </c>
      <c r="C29" s="66" t="n">
        <f aca="false">Paths!L29*IF($A29&gt;=1896,prod_factor,1)</f>
        <v>0.02</v>
      </c>
      <c r="D29" s="67" t="n">
        <f aca="false">IF(O28&gt;0,MIN(dev_cap,dev_return*'Debt &amp; cash'!N28/O28),0)</f>
        <v>0</v>
      </c>
      <c r="E29" s="66" t="n">
        <f aca="false">C29+D29</f>
        <v>0.02</v>
      </c>
      <c r="F29" s="50" t="n">
        <f aca="false">F28*(1+E29)</f>
        <v>288.677001464424</v>
      </c>
      <c r="G29" s="68" t="n">
        <f aca="false">1-(1-Paths!M29)*IF($A29&gt;=1930,dep_severity,1)</f>
        <v>1</v>
      </c>
      <c r="H29" s="68" t="n">
        <f aca="false">IF($A29&gt;=1930,Paths!B$89+(Paths!B29-Paths!B$89)*slump_price,Paths!B29)</f>
        <v>0.95</v>
      </c>
      <c r="I29" s="69" t="n">
        <f aca="false">Labour!AO29</f>
        <v>0</v>
      </c>
      <c r="J29" s="50" t="n">
        <f aca="false">B29*F29*(1+I29)*G29*H29/1000000</f>
        <v>439.212446251299</v>
      </c>
      <c r="K29" s="65" t="n">
        <f aca="false">Resources!O29</f>
        <v>29.6333333333333</v>
      </c>
      <c r="L29" s="50" t="n">
        <f aca="false">Labour!L29*gw_rel*J29/Labour!B29</f>
        <v>0</v>
      </c>
      <c r="M29" s="65" t="n">
        <f aca="false">Champions!AQ29</f>
        <v>2.76628437359668</v>
      </c>
      <c r="N29" s="50" t="n">
        <f aca="false">IF(Gulf!E29=1,Gulf!D29,0)</f>
        <v>0</v>
      </c>
      <c r="O29" s="50" t="n">
        <f aca="false">J29+K29+L29+M29+N29</f>
        <v>471.612063958229</v>
      </c>
      <c r="P29" s="50" t="n">
        <f aca="false">O29*1000000/(B29+People!V29+Labour!L29)</f>
        <v>294.473391539578</v>
      </c>
      <c r="Q29" s="48" t="n">
        <v>168</v>
      </c>
      <c r="R29" s="70" t="n">
        <f aca="false">P29/Q29</f>
        <v>1.7528178067832</v>
      </c>
      <c r="S29" s="50" t="n">
        <f aca="false">O29/H29</f>
        <v>496.433751534978</v>
      </c>
    </row>
    <row r="30" customFormat="false" ht="14.25" hidden="false" customHeight="false" outlineLevel="0" collapsed="false">
      <c r="A30" s="64" t="n">
        <v>1870</v>
      </c>
      <c r="B30" s="50" t="n">
        <f aca="false">(People!B30+People!L30)/2</f>
        <v>1714225.23418896</v>
      </c>
      <c r="C30" s="66" t="n">
        <f aca="false">Paths!L30*IF($A30&gt;=1896,prod_factor,1)</f>
        <v>0.02</v>
      </c>
      <c r="D30" s="67" t="n">
        <f aca="false">IF(O29&gt;0,MIN(dev_cap,dev_return*'Debt &amp; cash'!N29/O29),0)</f>
        <v>0</v>
      </c>
      <c r="E30" s="66" t="n">
        <f aca="false">C30+D30</f>
        <v>0.02</v>
      </c>
      <c r="F30" s="50" t="n">
        <f aca="false">F29*(1+E30)</f>
        <v>294.450541493713</v>
      </c>
      <c r="G30" s="68" t="n">
        <f aca="false">1-(1-Paths!M30)*IF($A30&gt;=1930,dep_severity,1)</f>
        <v>1</v>
      </c>
      <c r="H30" s="68" t="n">
        <f aca="false">IF($A30&gt;=1930,Paths!B$89+(Paths!B30-Paths!B$89)*slump_price,Paths!B30)</f>
        <v>0.95</v>
      </c>
      <c r="I30" s="69" t="n">
        <f aca="false">Labour!AO30</f>
        <v>0</v>
      </c>
      <c r="J30" s="50" t="n">
        <f aca="false">B30*F30*(1+I30)*G30*H30/1000000</f>
        <v>479.516821026669</v>
      </c>
      <c r="K30" s="65" t="n">
        <f aca="false">Resources!O30</f>
        <v>29.75</v>
      </c>
      <c r="L30" s="50" t="n">
        <f aca="false">Labour!L30*gw_rel*J30/Labour!B30</f>
        <v>0</v>
      </c>
      <c r="M30" s="65" t="n">
        <f aca="false">Champions!AQ30</f>
        <v>5.21012831759502</v>
      </c>
      <c r="N30" s="50" t="n">
        <f aca="false">IF(Gulf!E30=1,Gulf!D30,0)</f>
        <v>0</v>
      </c>
      <c r="O30" s="50" t="n">
        <f aca="false">J30+K30+L30+M30+N30</f>
        <v>514.476949344264</v>
      </c>
      <c r="P30" s="50" t="n">
        <f aca="false">O30*1000000/(B30+People!V30+Labour!L30)</f>
        <v>300.122142110267</v>
      </c>
      <c r="Q30" s="48" t="n">
        <v>172</v>
      </c>
      <c r="R30" s="70" t="n">
        <f aca="false">P30/Q30</f>
        <v>1.74489617505969</v>
      </c>
      <c r="S30" s="50" t="n">
        <f aca="false">O30/H30</f>
        <v>541.554683520278</v>
      </c>
    </row>
    <row r="31" customFormat="false" ht="14.25" hidden="false" customHeight="false" outlineLevel="0" collapsed="false">
      <c r="A31" s="64" t="n">
        <v>1871</v>
      </c>
      <c r="B31" s="50" t="n">
        <f aca="false">(People!B31+People!L31)/2</f>
        <v>1829155.51363855</v>
      </c>
      <c r="C31" s="66" t="n">
        <f aca="false">Paths!L31*IF($A31&gt;=1896,prod_factor,1)</f>
        <v>0.022</v>
      </c>
      <c r="D31" s="67" t="n">
        <f aca="false">IF(O30&gt;0,MIN(dev_cap,dev_return*'Debt &amp; cash'!N30/O30),0)</f>
        <v>0</v>
      </c>
      <c r="E31" s="66" t="n">
        <f aca="false">C31+D31</f>
        <v>0.022</v>
      </c>
      <c r="F31" s="50" t="n">
        <f aca="false">F30*(1+E31)</f>
        <v>300.928453406575</v>
      </c>
      <c r="G31" s="68" t="n">
        <f aca="false">1-(1-Paths!M31)*IF($A31&gt;=1930,dep_severity,1)</f>
        <v>1</v>
      </c>
      <c r="H31" s="68" t="n">
        <f aca="false">IF($A31&gt;=1930,Paths!B$89+(Paths!B31-Paths!B$89)*slump_price,Paths!B31)</f>
        <v>0.936</v>
      </c>
      <c r="I31" s="69" t="n">
        <f aca="false">Labour!AO31</f>
        <v>0</v>
      </c>
      <c r="J31" s="50" t="n">
        <f aca="false">B31*F31*(1+I31)*G31*H31/1000000</f>
        <v>515.216463614758</v>
      </c>
      <c r="K31" s="65" t="n">
        <f aca="false">Resources!O31</f>
        <v>31.57</v>
      </c>
      <c r="L31" s="50" t="n">
        <f aca="false">Labour!L31*gw_rel*J31/Labour!B31</f>
        <v>0</v>
      </c>
      <c r="M31" s="65" t="n">
        <f aca="false">Champions!AQ31</f>
        <v>6.20712333692085</v>
      </c>
      <c r="N31" s="50" t="n">
        <f aca="false">IF(Gulf!E31=1,Gulf!D31,0)</f>
        <v>0</v>
      </c>
      <c r="O31" s="50" t="n">
        <f aca="false">J31+K31+L31+M31+N31</f>
        <v>552.993586951679</v>
      </c>
      <c r="P31" s="50" t="n">
        <f aca="false">O31*1000000/(B31+People!V31+Labour!L31)</f>
        <v>302.321799775059</v>
      </c>
      <c r="Q31" s="48" t="n">
        <v>173</v>
      </c>
      <c r="R31" s="70" t="n">
        <f aca="false">P31/Q31</f>
        <v>1.74752485419109</v>
      </c>
      <c r="S31" s="50" t="n">
        <f aca="false">O31/H31</f>
        <v>590.805114264614</v>
      </c>
    </row>
    <row r="32" customFormat="false" ht="14.25" hidden="false" customHeight="false" outlineLevel="0" collapsed="false">
      <c r="A32" s="61" t="n">
        <v>1872</v>
      </c>
      <c r="B32" s="50" t="n">
        <f aca="false">(People!B32+People!L32)/2</f>
        <v>1946269.46839768</v>
      </c>
      <c r="C32" s="66" t="n">
        <f aca="false">Paths!L32*IF($A32&gt;=1896,prod_factor,1)</f>
        <v>0.022</v>
      </c>
      <c r="D32" s="67" t="n">
        <f aca="false">IF(O31&gt;0,MIN(dev_cap,dev_return*'Debt &amp; cash'!N31/O31),0)</f>
        <v>0</v>
      </c>
      <c r="E32" s="66" t="n">
        <f aca="false">C32+D32</f>
        <v>0.022</v>
      </c>
      <c r="F32" s="50" t="n">
        <f aca="false">F31*(1+E32)</f>
        <v>307.548879381519</v>
      </c>
      <c r="G32" s="68" t="n">
        <f aca="false">1-(1-Paths!M32)*IF($A32&gt;=1930,dep_severity,1)</f>
        <v>1</v>
      </c>
      <c r="H32" s="68" t="n">
        <f aca="false">IF($A32&gt;=1930,Paths!B$89+(Paths!B32-Paths!B$89)*slump_price,Paths!B32)</f>
        <v>0.922</v>
      </c>
      <c r="I32" s="69" t="n">
        <f aca="false">Labour!AO32</f>
        <v>0</v>
      </c>
      <c r="J32" s="50" t="n">
        <f aca="false">B32*F32*(1+I32)*G32*H32/1000000</f>
        <v>551.884300449718</v>
      </c>
      <c r="K32" s="65" t="n">
        <f aca="false">Resources!O32</f>
        <v>33.39</v>
      </c>
      <c r="L32" s="50" t="n">
        <f aca="false">Labour!L32*gw_rel*J32/Labour!B32</f>
        <v>0</v>
      </c>
      <c r="M32" s="65" t="n">
        <f aca="false">Champions!AQ32</f>
        <v>7.32417130684577</v>
      </c>
      <c r="N32" s="50" t="n">
        <f aca="false">IF(Gulf!E32=1,Gulf!D32,0)</f>
        <v>0</v>
      </c>
      <c r="O32" s="50" t="n">
        <f aca="false">J32+K32+L32+M32+N32</f>
        <v>592.598471756564</v>
      </c>
      <c r="P32" s="50" t="n">
        <f aca="false">O32*1000000/(B32+People!V32+Labour!L32)</f>
        <v>304.479149151138</v>
      </c>
      <c r="Q32" s="48" t="n">
        <v>173</v>
      </c>
      <c r="R32" s="70" t="n">
        <f aca="false">P32/Q32</f>
        <v>1.75999508179849</v>
      </c>
      <c r="S32" s="50" t="n">
        <f aca="false">O32/H32</f>
        <v>642.731531189332</v>
      </c>
    </row>
    <row r="33" customFormat="false" ht="14.25" hidden="false" customHeight="false" outlineLevel="0" collapsed="false">
      <c r="A33" s="61" t="n">
        <v>1873</v>
      </c>
      <c r="B33" s="50" t="n">
        <f aca="false">(People!B33+People!L33)/2</f>
        <v>2077608.58829724</v>
      </c>
      <c r="C33" s="66" t="n">
        <f aca="false">Paths!L33*IF($A33&gt;=1896,prod_factor,1)</f>
        <v>0.022</v>
      </c>
      <c r="D33" s="67" t="n">
        <f aca="false">IF(O32&gt;0,MIN(dev_cap,dev_return*'Debt &amp; cash'!N32/O32),0)</f>
        <v>0</v>
      </c>
      <c r="E33" s="66" t="n">
        <f aca="false">C33+D33</f>
        <v>0.022</v>
      </c>
      <c r="F33" s="50" t="n">
        <f aca="false">F32*(1+E33)</f>
        <v>314.314954727913</v>
      </c>
      <c r="G33" s="68" t="n">
        <f aca="false">1-(1-Paths!M33)*IF($A33&gt;=1930,dep_severity,1)</f>
        <v>0.98</v>
      </c>
      <c r="H33" s="68" t="n">
        <f aca="false">IF($A33&gt;=1930,Paths!B$89+(Paths!B33-Paths!B$89)*slump_price,Paths!B33)</f>
        <v>0.908</v>
      </c>
      <c r="I33" s="69" t="n">
        <f aca="false">Labour!AO33</f>
        <v>0</v>
      </c>
      <c r="J33" s="50" t="n">
        <f aca="false">B33*F33*(1+I33)*G33*H33/1000000</f>
        <v>581.086386190042</v>
      </c>
      <c r="K33" s="65" t="n">
        <f aca="false">Resources!O33</f>
        <v>39.06</v>
      </c>
      <c r="L33" s="50" t="n">
        <f aca="false">Labour!L33*gw_rel*J33/Labour!B33</f>
        <v>0</v>
      </c>
      <c r="M33" s="65" t="n">
        <f aca="false">Champions!AQ33</f>
        <v>8.4282267758834</v>
      </c>
      <c r="N33" s="50" t="n">
        <f aca="false">IF(Gulf!E33=1,Gulf!D33,0)</f>
        <v>0</v>
      </c>
      <c r="O33" s="50" t="n">
        <f aca="false">J33+K33+L33+M33+N33</f>
        <v>628.574612965925</v>
      </c>
      <c r="P33" s="50" t="n">
        <f aca="false">O33*1000000/(B33+People!V33+Labour!L33)</f>
        <v>302.547176839066</v>
      </c>
      <c r="Q33" s="48" t="n">
        <v>174</v>
      </c>
      <c r="R33" s="70" t="n">
        <f aca="false">P33/Q33</f>
        <v>1.73877687838544</v>
      </c>
      <c r="S33" s="50" t="n">
        <f aca="false">O33/H33</f>
        <v>692.26278961005</v>
      </c>
    </row>
    <row r="34" customFormat="false" ht="14.25" hidden="false" customHeight="false" outlineLevel="0" collapsed="false">
      <c r="A34" s="61" t="n">
        <v>1874</v>
      </c>
      <c r="B34" s="50" t="n">
        <f aca="false">(People!B34+People!L34)/2</f>
        <v>2223443.15147488</v>
      </c>
      <c r="C34" s="66" t="n">
        <f aca="false">Paths!L34*IF($A34&gt;=1896,prod_factor,1)</f>
        <v>0.022</v>
      </c>
      <c r="D34" s="67" t="n">
        <f aca="false">IF(O33&gt;0,MIN(dev_cap,dev_return*'Debt &amp; cash'!N33/O33),0)</f>
        <v>0</v>
      </c>
      <c r="E34" s="66" t="n">
        <f aca="false">C34+D34</f>
        <v>0.022</v>
      </c>
      <c r="F34" s="50" t="n">
        <f aca="false">F33*(1+E34)</f>
        <v>321.229883731927</v>
      </c>
      <c r="G34" s="68" t="n">
        <f aca="false">1-(1-Paths!M34)*IF($A34&gt;=1930,dep_severity,1)</f>
        <v>0.97</v>
      </c>
      <c r="H34" s="68" t="n">
        <f aca="false">IF($A34&gt;=1930,Paths!B$89+(Paths!B34-Paths!B$89)*slump_price,Paths!B34)</f>
        <v>0.894</v>
      </c>
      <c r="I34" s="69" t="n">
        <f aca="false">Labour!AO34</f>
        <v>0</v>
      </c>
      <c r="J34" s="50" t="n">
        <f aca="false">B34*F34*(1+I34)*G34*H34/1000000</f>
        <v>619.371508372766</v>
      </c>
      <c r="K34" s="65" t="n">
        <f aca="false">Resources!O34</f>
        <v>41.58</v>
      </c>
      <c r="L34" s="50" t="n">
        <f aca="false">Labour!L34*gw_rel*J34/Labour!B34</f>
        <v>0</v>
      </c>
      <c r="M34" s="65" t="n">
        <f aca="false">Champions!AQ34</f>
        <v>9.41071869304915</v>
      </c>
      <c r="N34" s="50" t="n">
        <f aca="false">IF(Gulf!E34=1,Gulf!D34,0)</f>
        <v>0</v>
      </c>
      <c r="O34" s="50" t="n">
        <f aca="false">J34+K34+L34+M34+N34</f>
        <v>670.362227065815</v>
      </c>
      <c r="P34" s="50" t="n">
        <f aca="false">O34*1000000/(B34+People!V34+Labour!L34)</f>
        <v>301.497354056991</v>
      </c>
      <c r="Q34" s="48" t="n">
        <v>174</v>
      </c>
      <c r="R34" s="70" t="n">
        <f aca="false">P34/Q34</f>
        <v>1.73274341412064</v>
      </c>
      <c r="S34" s="50" t="n">
        <f aca="false">O34/H34</f>
        <v>749.8458915725</v>
      </c>
    </row>
    <row r="35" customFormat="false" ht="14.25" hidden="false" customHeight="false" outlineLevel="0" collapsed="false">
      <c r="A35" s="61" t="n">
        <v>1875</v>
      </c>
      <c r="B35" s="50" t="n">
        <f aca="false">(People!B35+People!L35)/2</f>
        <v>2372048.57135291</v>
      </c>
      <c r="C35" s="66" t="n">
        <f aca="false">Paths!L35*IF($A35&gt;=1896,prod_factor,1)</f>
        <v>0.022</v>
      </c>
      <c r="D35" s="67" t="n">
        <f aca="false">IF(O34&gt;0,MIN(dev_cap,dev_return*'Debt &amp; cash'!N34/O34),0)</f>
        <v>0</v>
      </c>
      <c r="E35" s="66" t="n">
        <f aca="false">C35+D35</f>
        <v>0.022</v>
      </c>
      <c r="F35" s="50" t="n">
        <f aca="false">F34*(1+E35)</f>
        <v>328.296941174029</v>
      </c>
      <c r="G35" s="68" t="n">
        <f aca="false">1-(1-Paths!M35)*IF($A35&gt;=1930,dep_severity,1)</f>
        <v>0.98</v>
      </c>
      <c r="H35" s="68" t="n">
        <f aca="false">IF($A35&gt;=1930,Paths!B$89+(Paths!B35-Paths!B$89)*slump_price,Paths!B35)</f>
        <v>0.88</v>
      </c>
      <c r="I35" s="69" t="n">
        <f aca="false">Labour!AO35</f>
        <v>0</v>
      </c>
      <c r="J35" s="50" t="n">
        <f aca="false">B35*F35*(1+I35)*G35*H35/1000000</f>
        <v>671.58217674729</v>
      </c>
      <c r="K35" s="65" t="n">
        <f aca="false">Resources!O35</f>
        <v>44.1</v>
      </c>
      <c r="L35" s="50" t="n">
        <f aca="false">Labour!L35*gw_rel*J35/Labour!B35</f>
        <v>0</v>
      </c>
      <c r="M35" s="65" t="n">
        <f aca="false">Champions!AQ35</f>
        <v>10.5344678930474</v>
      </c>
      <c r="N35" s="50" t="n">
        <f aca="false">IF(Gulf!E35=1,Gulf!D35,0)</f>
        <v>0</v>
      </c>
      <c r="O35" s="50" t="n">
        <f aca="false">J35+K35+L35+M35+N35</f>
        <v>726.216644640338</v>
      </c>
      <c r="P35" s="50" t="n">
        <f aca="false">O35*1000000/(B35+People!V35+Labour!L35)</f>
        <v>306.155891329889</v>
      </c>
      <c r="Q35" s="48" t="n">
        <v>175</v>
      </c>
      <c r="R35" s="70" t="n">
        <f aca="false">P35/Q35</f>
        <v>1.74946223617079</v>
      </c>
      <c r="S35" s="50" t="n">
        <f aca="false">O35/H35</f>
        <v>825.246187091293</v>
      </c>
    </row>
    <row r="36" customFormat="false" ht="14.25" hidden="false" customHeight="false" outlineLevel="0" collapsed="false">
      <c r="A36" s="61" t="n">
        <v>1876</v>
      </c>
      <c r="B36" s="50" t="n">
        <f aca="false">(People!B36+People!L36)/2</f>
        <v>2523477.49420861</v>
      </c>
      <c r="C36" s="66" t="n">
        <f aca="false">Paths!L36*IF($A36&gt;=1896,prod_factor,1)</f>
        <v>0.022</v>
      </c>
      <c r="D36" s="67" t="n">
        <f aca="false">IF(O35&gt;0,MIN(dev_cap,dev_return*'Debt &amp; cash'!N35/O35),0)</f>
        <v>0.000495719841533365</v>
      </c>
      <c r="E36" s="66" t="n">
        <f aca="false">C36+D36</f>
        <v>0.0224957198415334</v>
      </c>
      <c r="F36" s="50" t="n">
        <f aca="false">F35*(1+E36)</f>
        <v>335.682217187513</v>
      </c>
      <c r="G36" s="68" t="n">
        <f aca="false">1-(1-Paths!M36)*IF($A36&gt;=1930,dep_severity,1)</f>
        <v>1</v>
      </c>
      <c r="H36" s="68" t="n">
        <f aca="false">IF($A36&gt;=1930,Paths!B$89+(Paths!B36-Paths!B$89)*slump_price,Paths!B36)</f>
        <v>0.864</v>
      </c>
      <c r="I36" s="69" t="n">
        <f aca="false">Labour!AO36</f>
        <v>0</v>
      </c>
      <c r="J36" s="50" t="n">
        <f aca="false">B36*F36*(1+I36)*G36*H36/1000000</f>
        <v>731.882753520827</v>
      </c>
      <c r="K36" s="65" t="n">
        <f aca="false">Resources!O36</f>
        <v>48.174</v>
      </c>
      <c r="L36" s="50" t="n">
        <f aca="false">Labour!L36*gw_rel*J36/Labour!B36</f>
        <v>0</v>
      </c>
      <c r="M36" s="65" t="n">
        <f aca="false">Champions!AQ36</f>
        <v>11.6633283955279</v>
      </c>
      <c r="N36" s="50" t="n">
        <f aca="false">IF(Gulf!E36=1,Gulf!D36,0)</f>
        <v>0</v>
      </c>
      <c r="O36" s="50" t="n">
        <f aca="false">J36+K36+L36+M36+N36</f>
        <v>791.720081916355</v>
      </c>
      <c r="P36" s="50" t="n">
        <f aca="false">O36*1000000/(B36+People!V36+Labour!L36)</f>
        <v>313.741685326441</v>
      </c>
      <c r="Q36" s="48" t="n">
        <v>182</v>
      </c>
      <c r="R36" s="70" t="n">
        <f aca="false">P36/Q36</f>
        <v>1.72385541388155</v>
      </c>
      <c r="S36" s="50" t="n">
        <f aca="false">O36/H36</f>
        <v>916.342687403188</v>
      </c>
    </row>
    <row r="37" customFormat="false" ht="14.25" hidden="false" customHeight="false" outlineLevel="0" collapsed="false">
      <c r="A37" s="61" t="n">
        <v>1877</v>
      </c>
      <c r="B37" s="50" t="n">
        <f aca="false">(People!B37+People!L37)/2</f>
        <v>2678143.56659857</v>
      </c>
      <c r="C37" s="66" t="n">
        <f aca="false">Paths!L37*IF($A37&gt;=1896,prod_factor,1)</f>
        <v>0.022</v>
      </c>
      <c r="D37" s="67" t="n">
        <f aca="false">IF(O36&gt;0,MIN(dev_cap,dev_return*'Debt &amp; cash'!N36/O36),0)</f>
        <v>0.000833627964068403</v>
      </c>
      <c r="E37" s="66" t="n">
        <f aca="false">C37+D37</f>
        <v>0.0228336279640684</v>
      </c>
      <c r="F37" s="50" t="n">
        <f aca="false">F36*(1+E37)</f>
        <v>343.347060048926</v>
      </c>
      <c r="G37" s="68" t="n">
        <f aca="false">1-(1-Paths!M37)*IF($A37&gt;=1930,dep_severity,1)</f>
        <v>0.98</v>
      </c>
      <c r="H37" s="68" t="n">
        <f aca="false">IF($A37&gt;=1930,Paths!B$89+(Paths!B37-Paths!B$89)*slump_price,Paths!B37)</f>
        <v>0.848</v>
      </c>
      <c r="I37" s="69" t="n">
        <f aca="false">Labour!AO37</f>
        <v>0</v>
      </c>
      <c r="J37" s="50" t="n">
        <f aca="false">B37*F37*(1+I37)*G37*H37/1000000</f>
        <v>764.168471612649</v>
      </c>
      <c r="K37" s="65" t="n">
        <f aca="false">Resources!O37</f>
        <v>52.2473</v>
      </c>
      <c r="L37" s="50" t="n">
        <f aca="false">Labour!L37*gw_rel*J37/Labour!B37</f>
        <v>0</v>
      </c>
      <c r="M37" s="65" t="n">
        <f aca="false">Champions!AQ37</f>
        <v>12.6327718149347</v>
      </c>
      <c r="N37" s="50" t="n">
        <f aca="false">IF(Gulf!E37=1,Gulf!D37,0)</f>
        <v>0</v>
      </c>
      <c r="O37" s="50" t="n">
        <f aca="false">J37+K37+L37+M37+N37</f>
        <v>829.048543427584</v>
      </c>
      <c r="P37" s="50" t="n">
        <f aca="false">O37*1000000/(B37+People!V37+Labour!L37)</f>
        <v>309.560903966225</v>
      </c>
      <c r="Q37" s="48" t="n">
        <v>188</v>
      </c>
      <c r="R37" s="70" t="n">
        <f aca="false">P37/Q37</f>
        <v>1.64660055301183</v>
      </c>
      <c r="S37" s="50" t="n">
        <f aca="false">O37/H37</f>
        <v>977.651584230641</v>
      </c>
    </row>
    <row r="38" customFormat="false" ht="14.25" hidden="false" customHeight="false" outlineLevel="0" collapsed="false">
      <c r="A38" s="61" t="n">
        <v>1878</v>
      </c>
      <c r="B38" s="50" t="n">
        <f aca="false">(People!B38+People!L38)/2</f>
        <v>2836108.29436395</v>
      </c>
      <c r="C38" s="66" t="n">
        <f aca="false">Paths!L38*IF($A38&gt;=1896,prod_factor,1)</f>
        <v>0.022</v>
      </c>
      <c r="D38" s="67" t="n">
        <f aca="false">IF(O37&gt;0,MIN(dev_cap,dev_return*'Debt &amp; cash'!N37/O37),0)</f>
        <v>0.000796093311100124</v>
      </c>
      <c r="E38" s="66" t="n">
        <f aca="false">C38+D38</f>
        <v>0.0227960933111001</v>
      </c>
      <c r="F38" s="50" t="n">
        <f aca="false">F37*(1+E38)</f>
        <v>351.174031667893</v>
      </c>
      <c r="G38" s="68" t="n">
        <f aca="false">1-(1-Paths!M38)*IF($A38&gt;=1930,dep_severity,1)</f>
        <v>1</v>
      </c>
      <c r="H38" s="68" t="n">
        <f aca="false">IF($A38&gt;=1930,Paths!B$89+(Paths!B38-Paths!B$89)*slump_price,Paths!B38)</f>
        <v>0.832</v>
      </c>
      <c r="I38" s="69" t="n">
        <f aca="false">Labour!AO38</f>
        <v>0</v>
      </c>
      <c r="J38" s="50" t="n">
        <f aca="false">B38*F38*(1+I38)*G38*H38/1000000</f>
        <v>828.645029870145</v>
      </c>
      <c r="K38" s="65" t="n">
        <f aca="false">Resources!O38</f>
        <v>40.9199</v>
      </c>
      <c r="L38" s="50" t="n">
        <f aca="false">Labour!L38*gw_rel*J38/Labour!B38</f>
        <v>0</v>
      </c>
      <c r="M38" s="65" t="n">
        <f aca="false">Champions!AQ38</f>
        <v>13.7513935252047</v>
      </c>
      <c r="N38" s="50" t="n">
        <f aca="false">IF(Gulf!E38=1,Gulf!D38,0)</f>
        <v>0</v>
      </c>
      <c r="O38" s="50" t="n">
        <f aca="false">J38+K38+L38+M38+N38</f>
        <v>883.316323395349</v>
      </c>
      <c r="P38" s="50" t="n">
        <f aca="false">O38*1000000/(B38+People!V38+Labour!L38)</f>
        <v>311.453665274601</v>
      </c>
      <c r="Q38" s="48" t="n">
        <v>195</v>
      </c>
      <c r="R38" s="70" t="n">
        <f aca="false">P38/Q38</f>
        <v>1.59719828345949</v>
      </c>
      <c r="S38" s="50" t="n">
        <f aca="false">O38/H38</f>
        <v>1061.67827331172</v>
      </c>
    </row>
    <row r="39" customFormat="false" ht="14.25" hidden="false" customHeight="false" outlineLevel="0" collapsed="false">
      <c r="A39" s="61" t="n">
        <v>1879</v>
      </c>
      <c r="B39" s="50" t="n">
        <f aca="false">(People!B39+People!L39)/2</f>
        <v>2997074.35195686</v>
      </c>
      <c r="C39" s="66" t="n">
        <f aca="false">Paths!L39*IF($A39&gt;=1896,prod_factor,1)</f>
        <v>0.022</v>
      </c>
      <c r="D39" s="67" t="n">
        <f aca="false">IF(O38&gt;0,MIN(dev_cap,dev_return*'Debt &amp; cash'!N38/O38),0)</f>
        <v>0.0015962571534738</v>
      </c>
      <c r="E39" s="66" t="n">
        <f aca="false">C39+D39</f>
        <v>0.0235962571534738</v>
      </c>
      <c r="F39" s="50" t="n">
        <f aca="false">F38*(1+E39)</f>
        <v>359.460424424751</v>
      </c>
      <c r="G39" s="68" t="n">
        <f aca="false">1-(1-Paths!M39)*IF($A39&gt;=1930,dep_severity,1)</f>
        <v>1</v>
      </c>
      <c r="H39" s="68" t="n">
        <f aca="false">IF($A39&gt;=1930,Paths!B$89+(Paths!B39-Paths!B$89)*slump_price,Paths!B39)</f>
        <v>0.816</v>
      </c>
      <c r="I39" s="69" t="n">
        <f aca="false">Labour!AO39</f>
        <v>0</v>
      </c>
      <c r="J39" s="50" t="n">
        <f aca="false">B39*F39*(1+I39)*G39*H39/1000000</f>
        <v>879.10096876695</v>
      </c>
      <c r="K39" s="65" t="n">
        <f aca="false">Resources!O39</f>
        <v>32.3918</v>
      </c>
      <c r="L39" s="50" t="n">
        <f aca="false">Labour!L39*gw_rel*J39/Labour!B39</f>
        <v>0</v>
      </c>
      <c r="M39" s="65" t="n">
        <f aca="false">Champions!AQ39</f>
        <v>14.7098666091665</v>
      </c>
      <c r="N39" s="50" t="n">
        <f aca="false">IF(Gulf!E39=1,Gulf!D39,0)</f>
        <v>0</v>
      </c>
      <c r="O39" s="50" t="n">
        <f aca="false">J39+K39+L39+M39+N39</f>
        <v>926.202635376117</v>
      </c>
      <c r="P39" s="50" t="n">
        <f aca="false">O39*1000000/(B39+People!V39+Labour!L39)</f>
        <v>309.03558824671</v>
      </c>
      <c r="Q39" s="48" t="n">
        <v>201</v>
      </c>
      <c r="R39" s="70" t="n">
        <f aca="false">P39/Q39</f>
        <v>1.5374904887896</v>
      </c>
      <c r="S39" s="50" t="n">
        <f aca="false">O39/H39</f>
        <v>1135.05224923544</v>
      </c>
    </row>
    <row r="40" customFormat="false" ht="14.25" hidden="false" customHeight="false" outlineLevel="0" collapsed="false">
      <c r="A40" s="61" t="n">
        <v>1880</v>
      </c>
      <c r="B40" s="50" t="n">
        <f aca="false">(People!B40+People!L40)/2</f>
        <v>3165438.81504142</v>
      </c>
      <c r="C40" s="66" t="n">
        <f aca="false">Paths!L40*IF($A40&gt;=1896,prod_factor,1)</f>
        <v>0.022</v>
      </c>
      <c r="D40" s="67" t="n">
        <f aca="false">IF(O39&gt;0,MIN(dev_cap,dev_return*'Debt &amp; cash'!N39/O39),0)</f>
        <v>0.00152234505295639</v>
      </c>
      <c r="E40" s="66" t="n">
        <f aca="false">C40+D40</f>
        <v>0.0235223450529564</v>
      </c>
      <c r="F40" s="50" t="n">
        <f aca="false">F39*(1+E40)</f>
        <v>367.915776560952</v>
      </c>
      <c r="G40" s="68" t="n">
        <f aca="false">1-(1-Paths!M40)*IF($A40&gt;=1930,dep_severity,1)</f>
        <v>1</v>
      </c>
      <c r="H40" s="68" t="n">
        <f aca="false">IF($A40&gt;=1930,Paths!B$89+(Paths!B40-Paths!B$89)*slump_price,Paths!B40)</f>
        <v>0.8</v>
      </c>
      <c r="I40" s="69" t="n">
        <f aca="false">Labour!AO40</f>
        <v>0</v>
      </c>
      <c r="J40" s="50" t="n">
        <f aca="false">B40*F40*(1+I40)*G40*H40/1000000</f>
        <v>931.691903833714</v>
      </c>
      <c r="K40" s="65" t="n">
        <f aca="false">Resources!O40</f>
        <v>30.933</v>
      </c>
      <c r="L40" s="50" t="n">
        <f aca="false">Labour!L40*gw_rel*J40/Labour!B40</f>
        <v>0</v>
      </c>
      <c r="M40" s="65" t="n">
        <f aca="false">Champions!AQ40</f>
        <v>15.8523710971446</v>
      </c>
      <c r="N40" s="50" t="n">
        <f aca="false">IF(Gulf!E40=1,Gulf!D40,0)</f>
        <v>0</v>
      </c>
      <c r="O40" s="50" t="n">
        <f aca="false">J40+K40+L40+M40+N40</f>
        <v>978.477274930859</v>
      </c>
      <c r="P40" s="50" t="n">
        <f aca="false">O40*1000000/(B40+People!V40+Labour!L40)</f>
        <v>309.112679822262</v>
      </c>
      <c r="Q40" s="48" t="n">
        <v>208</v>
      </c>
      <c r="R40" s="70" t="n">
        <f aca="false">P40/Q40</f>
        <v>1.48611865299165</v>
      </c>
      <c r="S40" s="50" t="n">
        <f aca="false">O40/H40</f>
        <v>1223.09659366357</v>
      </c>
    </row>
    <row r="41" customFormat="false" ht="14.25" hidden="false" customHeight="false" outlineLevel="0" collapsed="false">
      <c r="A41" s="61" t="n">
        <v>1881</v>
      </c>
      <c r="B41" s="50" t="n">
        <f aca="false">(People!B41+People!L41)/2</f>
        <v>3337688.20549276</v>
      </c>
      <c r="C41" s="66" t="n">
        <f aca="false">Paths!L41*IF($A41&gt;=1896,prod_factor,1)</f>
        <v>0.018</v>
      </c>
      <c r="D41" s="67" t="n">
        <f aca="false">IF(O40&gt;0,MIN(dev_cap,dev_return*'Debt &amp; cash'!N40/O40),0)</f>
        <v>0.00439229854461719</v>
      </c>
      <c r="E41" s="66" t="n">
        <f aca="false">C41+D41</f>
        <v>0.0223922985446172</v>
      </c>
      <c r="F41" s="50" t="n">
        <f aca="false">F40*(1+E41)</f>
        <v>376.15425646898</v>
      </c>
      <c r="G41" s="68" t="n">
        <f aca="false">1-(1-Paths!M41)*IF($A41&gt;=1930,dep_severity,1)</f>
        <v>1</v>
      </c>
      <c r="H41" s="68" t="n">
        <f aca="false">IF($A41&gt;=1930,Paths!B$89+(Paths!B41-Paths!B$89)*slump_price,Paths!B41)</f>
        <v>0.788</v>
      </c>
      <c r="I41" s="69" t="n">
        <f aca="false">Labour!AO41</f>
        <v>0.00102537486028917</v>
      </c>
      <c r="J41" s="50" t="n">
        <f aca="false">B41*F41*(1+I41)*G41*H41/1000000</f>
        <v>990.337099304087</v>
      </c>
      <c r="K41" s="65" t="n">
        <f aca="false">Resources!O41</f>
        <v>31.17562</v>
      </c>
      <c r="L41" s="50" t="n">
        <f aca="false">Labour!L41*gw_rel*J41/Labour!B41</f>
        <v>0</v>
      </c>
      <c r="M41" s="65" t="n">
        <f aca="false">Champions!AQ41</f>
        <v>18.2382113560384</v>
      </c>
      <c r="N41" s="50" t="n">
        <f aca="false">IF(Gulf!E41=1,Gulf!D41,0)</f>
        <v>0</v>
      </c>
      <c r="O41" s="50" t="n">
        <f aca="false">J41+K41+L41+M41+N41</f>
        <v>1039.75093066013</v>
      </c>
      <c r="P41" s="50" t="n">
        <f aca="false">O41*1000000/(B41+People!V41+Labour!L41)</f>
        <v>311.518292496295</v>
      </c>
      <c r="Q41" s="48" t="n">
        <v>207</v>
      </c>
      <c r="R41" s="70" t="n">
        <f aca="false">P41/Q41</f>
        <v>1.50491928742171</v>
      </c>
      <c r="S41" s="50" t="n">
        <f aca="false">O41/H41</f>
        <v>1319.48087647224</v>
      </c>
    </row>
    <row r="42" customFormat="false" ht="14.25" hidden="false" customHeight="false" outlineLevel="0" collapsed="false">
      <c r="A42" s="61" t="n">
        <v>1882</v>
      </c>
      <c r="B42" s="50" t="n">
        <f aca="false">(People!B42+People!L42)/2</f>
        <v>3510900.92505088</v>
      </c>
      <c r="C42" s="66" t="n">
        <f aca="false">Paths!L42*IF($A42&gt;=1896,prod_factor,1)</f>
        <v>0.018</v>
      </c>
      <c r="D42" s="67" t="n">
        <f aca="false">IF(O41&gt;0,MIN(dev_cap,dev_return*'Debt &amp; cash'!N41/O41),0)</f>
        <v>0.00464174215143268</v>
      </c>
      <c r="E42" s="66" t="n">
        <f aca="false">C42+D42</f>
        <v>0.0226417421514327</v>
      </c>
      <c r="F42" s="50" t="n">
        <f aca="false">F41*(1+E42)</f>
        <v>384.671044153114</v>
      </c>
      <c r="G42" s="68" t="n">
        <f aca="false">1-(1-Paths!M42)*IF($A42&gt;=1930,dep_severity,1)</f>
        <v>1</v>
      </c>
      <c r="H42" s="68" t="n">
        <f aca="false">IF($A42&gt;=1930,Paths!B$89+(Paths!B42-Paths!B$89)*slump_price,Paths!B42)</f>
        <v>0.776</v>
      </c>
      <c r="I42" s="69" t="n">
        <f aca="false">Labour!AO42</f>
        <v>0.000956307580248885</v>
      </c>
      <c r="J42" s="50" t="n">
        <f aca="false">B42*F42*(1+I42)*G42*H42/1000000</f>
        <v>1049.02276359233</v>
      </c>
      <c r="K42" s="65" t="n">
        <f aca="false">Resources!O42</f>
        <v>31.40312</v>
      </c>
      <c r="L42" s="50" t="n">
        <f aca="false">Labour!L42*gw_rel*J42/Labour!B42</f>
        <v>0</v>
      </c>
      <c r="M42" s="65" t="n">
        <f aca="false">Champions!AQ42</f>
        <v>20.0708715625922</v>
      </c>
      <c r="N42" s="50" t="n">
        <f aca="false">IF(Gulf!E42=1,Gulf!D42,0)</f>
        <v>0</v>
      </c>
      <c r="O42" s="50" t="n">
        <f aca="false">J42+K42+L42+M42+N42</f>
        <v>1100.49675515493</v>
      </c>
      <c r="P42" s="50" t="n">
        <f aca="false">O42*1000000/(B42+People!V42+Labour!L42)</f>
        <v>313.4513843164</v>
      </c>
      <c r="Q42" s="48" t="n">
        <v>207</v>
      </c>
      <c r="R42" s="70" t="n">
        <f aca="false">P42/Q42</f>
        <v>1.51425789524831</v>
      </c>
      <c r="S42" s="50" t="n">
        <f aca="false">O42/H42</f>
        <v>1418.1659215914</v>
      </c>
    </row>
    <row r="43" customFormat="false" ht="14.25" hidden="false" customHeight="false" outlineLevel="0" collapsed="false">
      <c r="A43" s="61" t="n">
        <v>1883</v>
      </c>
      <c r="B43" s="50" t="n">
        <f aca="false">(People!B43+People!L43)/2</f>
        <v>3689577.26849316</v>
      </c>
      <c r="C43" s="66" t="n">
        <f aca="false">Paths!L43*IF($A43&gt;=1896,prod_factor,1)</f>
        <v>0.018</v>
      </c>
      <c r="D43" s="67" t="n">
        <f aca="false">IF(O42&gt;0,MIN(dev_cap,dev_return*'Debt &amp; cash'!N42/O42),0)</f>
        <v>0.00447607465799541</v>
      </c>
      <c r="E43" s="66" t="n">
        <f aca="false">C43+D43</f>
        <v>0.0224760746579954</v>
      </c>
      <c r="F43" s="50" t="n">
        <f aca="false">F42*(1+E43)</f>
        <v>393.316939260269</v>
      </c>
      <c r="G43" s="68" t="n">
        <f aca="false">1-(1-Paths!M43)*IF($A43&gt;=1930,dep_severity,1)</f>
        <v>1</v>
      </c>
      <c r="H43" s="68" t="n">
        <f aca="false">IF($A43&gt;=1930,Paths!B$89+(Paths!B43-Paths!B$89)*slump_price,Paths!B43)</f>
        <v>0.764</v>
      </c>
      <c r="I43" s="69" t="n">
        <f aca="false">Labour!AO43</f>
        <v>0.000996536943897816</v>
      </c>
      <c r="J43" s="50" t="n">
        <f aca="false">B43*F43*(1+I43)*G43*H43/1000000</f>
        <v>1109.80121102017</v>
      </c>
      <c r="K43" s="65" t="n">
        <f aca="false">Resources!O43</f>
        <v>31.63944</v>
      </c>
      <c r="L43" s="50" t="n">
        <f aca="false">Labour!L43*gw_rel*J43/Labour!B43</f>
        <v>0</v>
      </c>
      <c r="M43" s="65" t="n">
        <f aca="false">Champions!AQ43</f>
        <v>21.9129162170455</v>
      </c>
      <c r="N43" s="50" t="n">
        <f aca="false">IF(Gulf!E43=1,Gulf!D43,0)</f>
        <v>0</v>
      </c>
      <c r="O43" s="50" t="n">
        <f aca="false">J43+K43+L43+M43+N43</f>
        <v>1163.35356723722</v>
      </c>
      <c r="P43" s="50" t="n">
        <f aca="false">O43*1000000/(B43+People!V43+Labour!L43)</f>
        <v>315.308091572328</v>
      </c>
      <c r="Q43" s="48" t="n">
        <v>206</v>
      </c>
      <c r="R43" s="70" t="n">
        <f aca="false">P43/Q43</f>
        <v>1.53062180374916</v>
      </c>
      <c r="S43" s="50" t="n">
        <f aca="false">O43/H43</f>
        <v>1522.71409324243</v>
      </c>
    </row>
    <row r="44" customFormat="false" ht="14.25" hidden="false" customHeight="false" outlineLevel="0" collapsed="false">
      <c r="A44" s="61" t="n">
        <v>1884</v>
      </c>
      <c r="B44" s="50" t="n">
        <f aca="false">(People!B44+People!L44)/2</f>
        <v>3874201.31359944</v>
      </c>
      <c r="C44" s="66" t="n">
        <f aca="false">Paths!L44*IF($A44&gt;=1896,prod_factor,1)</f>
        <v>0.018</v>
      </c>
      <c r="D44" s="67" t="n">
        <f aca="false">IF(O43&gt;0,MIN(dev_cap,dev_return*'Debt &amp; cash'!N43/O43),0)</f>
        <v>0.00422724277682727</v>
      </c>
      <c r="E44" s="66" t="n">
        <f aca="false">C44+D44</f>
        <v>0.0222272427768273</v>
      </c>
      <c r="F44" s="50" t="n">
        <f aca="false">F43*(1+E44)</f>
        <v>402.059290357445</v>
      </c>
      <c r="G44" s="68" t="n">
        <f aca="false">1-(1-Paths!M44)*IF($A44&gt;=1930,dep_severity,1)</f>
        <v>0.98</v>
      </c>
      <c r="H44" s="68" t="n">
        <f aca="false">IF($A44&gt;=1930,Paths!B$89+(Paths!B44-Paths!B$89)*slump_price,Paths!B44)</f>
        <v>0.752</v>
      </c>
      <c r="I44" s="69" t="n">
        <f aca="false">Labour!AO44</f>
        <v>0.00125896622343663</v>
      </c>
      <c r="J44" s="50" t="n">
        <f aca="false">B44*F44*(1+I44)*G44*H44/1000000</f>
        <v>1149.37731233598</v>
      </c>
      <c r="K44" s="65" t="n">
        <f aca="false">Resources!O44</f>
        <v>31.8724</v>
      </c>
      <c r="L44" s="50" t="n">
        <f aca="false">Labour!L44*gw_rel*J44/Labour!B44</f>
        <v>0</v>
      </c>
      <c r="M44" s="65" t="n">
        <f aca="false">Champions!AQ44</f>
        <v>23.5381432045543</v>
      </c>
      <c r="N44" s="50" t="n">
        <f aca="false">IF(Gulf!E44=1,Gulf!D44,0)</f>
        <v>0</v>
      </c>
      <c r="O44" s="50" t="n">
        <f aca="false">J44+K44+L44+M44+N44</f>
        <v>1204.78785554053</v>
      </c>
      <c r="P44" s="50" t="n">
        <f aca="false">O44*1000000/(B44+People!V44+Labour!L44)</f>
        <v>310.97709128109</v>
      </c>
      <c r="Q44" s="48" t="n">
        <v>206</v>
      </c>
      <c r="R44" s="70" t="n">
        <f aca="false">P44/Q44</f>
        <v>1.50959753049073</v>
      </c>
      <c r="S44" s="50" t="n">
        <f aca="false">O44/H44</f>
        <v>1602.1115100273</v>
      </c>
    </row>
    <row r="45" customFormat="false" ht="14.25" hidden="false" customHeight="false" outlineLevel="0" collapsed="false">
      <c r="A45" s="61" t="n">
        <v>1885</v>
      </c>
      <c r="B45" s="50" t="n">
        <f aca="false">(People!B45+People!L45)/2</f>
        <v>4062538.19764827</v>
      </c>
      <c r="C45" s="66" t="n">
        <f aca="false">Paths!L45*IF($A45&gt;=1896,prod_factor,1)</f>
        <v>0.018</v>
      </c>
      <c r="D45" s="67" t="n">
        <f aca="false">IF(O44&gt;0,MIN(dev_cap,dev_return*'Debt &amp; cash'!N44/O44),0)</f>
        <v>0.00412696724809164</v>
      </c>
      <c r="E45" s="66" t="n">
        <f aca="false">C45+D45</f>
        <v>0.0221269672480916</v>
      </c>
      <c r="F45" s="50" t="n">
        <f aca="false">F44*(1+E45)</f>
        <v>410.955643106975</v>
      </c>
      <c r="G45" s="68" t="n">
        <f aca="false">1-(1-Paths!M45)*IF($A45&gt;=1930,dep_severity,1)</f>
        <v>0.98</v>
      </c>
      <c r="H45" s="68" t="n">
        <f aca="false">IF($A45&gt;=1930,Paths!B$89+(Paths!B45-Paths!B$89)*slump_price,Paths!B45)</f>
        <v>0.74</v>
      </c>
      <c r="I45" s="69" t="n">
        <f aca="false">Labour!AO45</f>
        <v>0.0019346049297025</v>
      </c>
      <c r="J45" s="50" t="n">
        <f aca="false">B45*F45*(1+I45)*G45*H45/1000000</f>
        <v>1213.08037775799</v>
      </c>
      <c r="K45" s="65" t="n">
        <f aca="false">Resources!O45</f>
        <v>32.27</v>
      </c>
      <c r="L45" s="50" t="n">
        <f aca="false">Labour!L45*gw_rel*J45/Labour!B45</f>
        <v>0</v>
      </c>
      <c r="M45" s="65" t="n">
        <f aca="false">Champions!AQ45</f>
        <v>27.6013743909084</v>
      </c>
      <c r="N45" s="50" t="n">
        <f aca="false">IF(Gulf!E45=1,Gulf!D45,0)</f>
        <v>0</v>
      </c>
      <c r="O45" s="50" t="n">
        <f aca="false">J45+K45+L45+M45+N45</f>
        <v>1272.9517521489</v>
      </c>
      <c r="P45" s="50" t="n">
        <f aca="false">O45*1000000/(B45+People!V45+Labour!L45)</f>
        <v>313.339023590175</v>
      </c>
      <c r="Q45" s="48" t="n">
        <v>205</v>
      </c>
      <c r="R45" s="70" t="n">
        <f aca="false">P45/Q45</f>
        <v>1.52848304190329</v>
      </c>
      <c r="S45" s="50" t="n">
        <f aca="false">O45/H45</f>
        <v>1720.20507047148</v>
      </c>
    </row>
    <row r="46" customFormat="false" ht="14.25" hidden="false" customHeight="false" outlineLevel="0" collapsed="false">
      <c r="A46" s="61" t="n">
        <v>1886</v>
      </c>
      <c r="B46" s="50" t="n">
        <f aca="false">(People!B46+People!L46)/2</f>
        <v>4257434.65886509</v>
      </c>
      <c r="C46" s="66" t="n">
        <f aca="false">Paths!L46*IF($A46&gt;=1896,prod_factor,1)</f>
        <v>0.018</v>
      </c>
      <c r="D46" s="67" t="n">
        <f aca="false">IF(O45&gt;0,MIN(dev_cap,dev_return*'Debt &amp; cash'!N45/O45),0)</f>
        <v>0.00404034343476</v>
      </c>
      <c r="E46" s="66" t="n">
        <f aca="false">C46+D46</f>
        <v>0.02204034343476</v>
      </c>
      <c r="F46" s="50" t="n">
        <f aca="false">F45*(1+E46)</f>
        <v>420.013246617506</v>
      </c>
      <c r="G46" s="68" t="n">
        <f aca="false">1-(1-Paths!M46)*IF($A46&gt;=1930,dep_severity,1)</f>
        <v>1</v>
      </c>
      <c r="H46" s="68" t="n">
        <f aca="false">IF($A46&gt;=1930,Paths!B$89+(Paths!B46-Paths!B$89)*slump_price,Paths!B46)</f>
        <v>0.738</v>
      </c>
      <c r="I46" s="69" t="n">
        <f aca="false">Labour!AO46</f>
        <v>0.00206575798668416</v>
      </c>
      <c r="J46" s="50" t="n">
        <f aca="false">B46*F46*(1+I46)*G46*H46/1000000</f>
        <v>1322.40219893528</v>
      </c>
      <c r="K46" s="65" t="n">
        <f aca="false">Resources!O46</f>
        <v>34.888</v>
      </c>
      <c r="L46" s="50" t="n">
        <f aca="false">Labour!L46*gw_rel*J46/Labour!B46</f>
        <v>0</v>
      </c>
      <c r="M46" s="65" t="n">
        <f aca="false">Champions!AQ46</f>
        <v>30.7644306718408</v>
      </c>
      <c r="N46" s="50" t="n">
        <f aca="false">IF(Gulf!E46=1,Gulf!D46,0)</f>
        <v>0</v>
      </c>
      <c r="O46" s="50" t="n">
        <f aca="false">J46+K46+L46+M46+N46</f>
        <v>1388.05462960712</v>
      </c>
      <c r="P46" s="50" t="n">
        <f aca="false">O46*1000000/(B46+People!V46+Labour!L46)</f>
        <v>326.030753453098</v>
      </c>
      <c r="Q46" s="48" t="n">
        <v>206</v>
      </c>
      <c r="R46" s="70" t="n">
        <f aca="false">P46/Q46</f>
        <v>1.58267356045193</v>
      </c>
      <c r="S46" s="50" t="n">
        <f aca="false">O46/H46</f>
        <v>1880.83283144596</v>
      </c>
    </row>
    <row r="47" customFormat="false" ht="14.25" hidden="false" customHeight="false" outlineLevel="0" collapsed="false">
      <c r="A47" s="61" t="n">
        <v>1887</v>
      </c>
      <c r="B47" s="50" t="n">
        <f aca="false">(People!B47+People!L47)/2</f>
        <v>4465588.81682466</v>
      </c>
      <c r="C47" s="66" t="n">
        <f aca="false">Paths!L47*IF($A47&gt;=1896,prod_factor,1)</f>
        <v>0.018</v>
      </c>
      <c r="D47" s="67" t="n">
        <f aca="false">IF(O46&gt;0,MIN(dev_cap,dev_return*'Debt &amp; cash'!N46/O46),0)</f>
        <v>0.00412225705257817</v>
      </c>
      <c r="E47" s="66" t="n">
        <f aca="false">C47+D47</f>
        <v>0.0221222570525782</v>
      </c>
      <c r="F47" s="50" t="n">
        <f aca="false">F46*(1+E47)</f>
        <v>429.304887624666</v>
      </c>
      <c r="G47" s="68" t="n">
        <f aca="false">1-(1-Paths!M47)*IF($A47&gt;=1930,dep_severity,1)</f>
        <v>1</v>
      </c>
      <c r="H47" s="68" t="n">
        <f aca="false">IF($A47&gt;=1930,Paths!B$89+(Paths!B47-Paths!B$89)*slump_price,Paths!B47)</f>
        <v>0.736</v>
      </c>
      <c r="I47" s="69" t="n">
        <f aca="false">Labour!AO47</f>
        <v>0.0027207545166359</v>
      </c>
      <c r="J47" s="50" t="n">
        <f aca="false">B47*F47*(1+I47)*G47*H47/1000000</f>
        <v>1414.82388506833</v>
      </c>
      <c r="K47" s="65" t="n">
        <f aca="false">Resources!O47</f>
        <v>37.933</v>
      </c>
      <c r="L47" s="50" t="n">
        <f aca="false">Labour!L47*gw_rel*J47/Labour!B47</f>
        <v>0</v>
      </c>
      <c r="M47" s="65" t="n">
        <f aca="false">Champions!AQ47</f>
        <v>33.5851161850749</v>
      </c>
      <c r="N47" s="50" t="n">
        <f aca="false">IF(Gulf!E47=1,Gulf!D47,0)</f>
        <v>0</v>
      </c>
      <c r="O47" s="50" t="n">
        <f aca="false">J47+K47+L47+M47+N47</f>
        <v>1486.34200125341</v>
      </c>
      <c r="P47" s="50" t="n">
        <f aca="false">O47*1000000/(B47+People!V47+Labour!L47)</f>
        <v>332.843452951474</v>
      </c>
      <c r="Q47" s="48" t="n">
        <v>206</v>
      </c>
      <c r="R47" s="70" t="n">
        <f aca="false">P47/Q47</f>
        <v>1.61574491724016</v>
      </c>
      <c r="S47" s="50" t="n">
        <f aca="false">O47/H47</f>
        <v>2019.48641474648</v>
      </c>
    </row>
    <row r="48" customFormat="false" ht="14.25" hidden="false" customHeight="false" outlineLevel="0" collapsed="false">
      <c r="A48" s="61" t="n">
        <v>1888</v>
      </c>
      <c r="B48" s="50" t="n">
        <f aca="false">(People!B48+People!L48)/2</f>
        <v>4668988.80432295</v>
      </c>
      <c r="C48" s="66" t="n">
        <f aca="false">Paths!L48*IF($A48&gt;=1896,prod_factor,1)</f>
        <v>0.018</v>
      </c>
      <c r="D48" s="67" t="n">
        <f aca="false">IF(O47&gt;0,MIN(dev_cap,dev_return*'Debt &amp; cash'!N47/O47),0)</f>
        <v>0.0112739132853146</v>
      </c>
      <c r="E48" s="66" t="n">
        <f aca="false">C48+D48</f>
        <v>0.0292739132853146</v>
      </c>
      <c r="F48" s="50" t="n">
        <f aca="false">F47*(1+E48)</f>
        <v>441.872321677952</v>
      </c>
      <c r="G48" s="68" t="n">
        <f aca="false">1-(1-Paths!M48)*IF($A48&gt;=1930,dep_severity,1)</f>
        <v>1</v>
      </c>
      <c r="H48" s="68" t="n">
        <f aca="false">IF($A48&gt;=1930,Paths!B$89+(Paths!B48-Paths!B$89)*slump_price,Paths!B48)</f>
        <v>0.734</v>
      </c>
      <c r="I48" s="69" t="n">
        <f aca="false">Labour!AO48</f>
        <v>0.00465550679025034</v>
      </c>
      <c r="J48" s="50" t="n">
        <f aca="false">B48*F48*(1+I48)*G48*H48/1000000</f>
        <v>1521.36303648747</v>
      </c>
      <c r="K48" s="65" t="n">
        <f aca="false">Resources!O48</f>
        <v>40.88</v>
      </c>
      <c r="L48" s="50" t="n">
        <f aca="false">Labour!L48*gw_rel*J48/Labour!B48</f>
        <v>0</v>
      </c>
      <c r="M48" s="65" t="n">
        <f aca="false">Champions!AQ48</f>
        <v>36.3313431946275</v>
      </c>
      <c r="N48" s="50" t="n">
        <f aca="false">IF(Gulf!E48=1,Gulf!D48,0)</f>
        <v>0</v>
      </c>
      <c r="O48" s="50" t="n">
        <f aca="false">J48+K48+L48+M48+N48</f>
        <v>1598.5743796821</v>
      </c>
      <c r="P48" s="50" t="n">
        <f aca="false">O48*1000000/(B48+People!V48+Labour!L48)</f>
        <v>342.381283545166</v>
      </c>
      <c r="Q48" s="48" t="n">
        <v>207</v>
      </c>
      <c r="R48" s="70" t="n">
        <f aca="false">P48/Q48</f>
        <v>1.65401586253704</v>
      </c>
      <c r="S48" s="50" t="n">
        <f aca="false">O48/H48</f>
        <v>2177.8942502481</v>
      </c>
    </row>
    <row r="49" customFormat="false" ht="14.25" hidden="false" customHeight="false" outlineLevel="0" collapsed="false">
      <c r="A49" s="61" t="n">
        <v>1889</v>
      </c>
      <c r="B49" s="50" t="n">
        <f aca="false">(People!B49+People!L49)/2</f>
        <v>4866727.82245131</v>
      </c>
      <c r="C49" s="66" t="n">
        <f aca="false">Paths!L49*IF($A49&gt;=1896,prod_factor,1)</f>
        <v>0.018</v>
      </c>
      <c r="D49" s="67" t="n">
        <f aca="false">IF(O48&gt;0,MIN(dev_cap,dev_return*'Debt &amp; cash'!N48/O48),0)</f>
        <v>0.00615605545875926</v>
      </c>
      <c r="E49" s="66" t="n">
        <f aca="false">C49+D49</f>
        <v>0.0241560554587593</v>
      </c>
      <c r="F49" s="50" t="n">
        <f aca="false">F48*(1+E49)</f>
        <v>452.546213986096</v>
      </c>
      <c r="G49" s="68" t="n">
        <f aca="false">1-(1-Paths!M49)*IF($A49&gt;=1930,dep_severity,1)</f>
        <v>1</v>
      </c>
      <c r="H49" s="68" t="n">
        <f aca="false">IF($A49&gt;=1930,Paths!B$89+(Paths!B49-Paths!B$89)*slump_price,Paths!B49)</f>
        <v>0.732</v>
      </c>
      <c r="I49" s="69" t="n">
        <f aca="false">Labour!AO49</f>
        <v>0.00710256872115081</v>
      </c>
      <c r="J49" s="50" t="n">
        <f aca="false">B49*F49*(1+I49)*G49*H49/1000000</f>
        <v>1623.62144594986</v>
      </c>
      <c r="K49" s="65" t="n">
        <f aca="false">Resources!O49</f>
        <v>43.96</v>
      </c>
      <c r="L49" s="50" t="n">
        <f aca="false">Labour!L49*gw_rel*J49/Labour!B49</f>
        <v>0</v>
      </c>
      <c r="M49" s="65" t="n">
        <f aca="false">Champions!AQ49</f>
        <v>39.5209689539671</v>
      </c>
      <c r="N49" s="50" t="n">
        <f aca="false">IF(Gulf!E49=1,Gulf!D49,0)</f>
        <v>0</v>
      </c>
      <c r="O49" s="50" t="n">
        <f aca="false">J49+K49+L49+M49+N49</f>
        <v>1707.10241490383</v>
      </c>
      <c r="P49" s="50" t="n">
        <f aca="false">O49*1000000/(B49+People!V49+Labour!L49)</f>
        <v>350.77006094908</v>
      </c>
      <c r="Q49" s="48" t="n">
        <v>207</v>
      </c>
      <c r="R49" s="70" t="n">
        <f aca="false">P49/Q49</f>
        <v>1.69454135724193</v>
      </c>
      <c r="S49" s="50" t="n">
        <f aca="false">O49/H49</f>
        <v>2332.10712418556</v>
      </c>
    </row>
    <row r="50" customFormat="false" ht="14.25" hidden="false" customHeight="false" outlineLevel="0" collapsed="false">
      <c r="A50" s="61" t="n">
        <v>1890</v>
      </c>
      <c r="B50" s="50" t="n">
        <f aca="false">(People!B50+People!L50)/2</f>
        <v>5078813.27597138</v>
      </c>
      <c r="C50" s="66" t="n">
        <f aca="false">Paths!L50*IF($A50&gt;=1896,prod_factor,1)</f>
        <v>0.018</v>
      </c>
      <c r="D50" s="67" t="n">
        <f aca="false">IF(O49&gt;0,MIN(dev_cap,dev_return*'Debt &amp; cash'!N49/O49),0)</f>
        <v>0.00119750756551933</v>
      </c>
      <c r="E50" s="66" t="n">
        <f aca="false">C50+D50</f>
        <v>0.0191975075655193</v>
      </c>
      <c r="F50" s="50" t="n">
        <f aca="false">F49*(1+E50)</f>
        <v>461.233973352841</v>
      </c>
      <c r="G50" s="68" t="n">
        <f aca="false">1-(1-Paths!M50)*IF($A50&gt;=1930,dep_severity,1)</f>
        <v>1</v>
      </c>
      <c r="H50" s="68" t="n">
        <f aca="false">IF($A50&gt;=1930,Paths!B$89+(Paths!B50-Paths!B$89)*slump_price,Paths!B50)</f>
        <v>0.73</v>
      </c>
      <c r="I50" s="69" t="n">
        <f aca="false">Labour!AO50</f>
        <v>0.0103437182323129</v>
      </c>
      <c r="J50" s="50" t="n">
        <f aca="false">B50*F50*(1+I50)*G50*H50/1000000</f>
        <v>1727.72867290614</v>
      </c>
      <c r="K50" s="65" t="n">
        <f aca="false">Resources!O50</f>
        <v>46.9</v>
      </c>
      <c r="L50" s="50" t="n">
        <f aca="false">Labour!L50*gw_rel*J50/Labour!B50</f>
        <v>39.2933428865871</v>
      </c>
      <c r="M50" s="65" t="n">
        <f aca="false">Champions!AQ50</f>
        <v>44.2519815845969</v>
      </c>
      <c r="N50" s="50" t="n">
        <f aca="false">IF(Gulf!E50=1,Gulf!D50,0)</f>
        <v>0</v>
      </c>
      <c r="O50" s="50" t="n">
        <f aca="false">J50+K50+L50+M50+N50</f>
        <v>1858.17399737732</v>
      </c>
      <c r="P50" s="50" t="n">
        <f aca="false">O50*1000000/(B50+People!V50+Labour!L50)</f>
        <v>360.134433015057</v>
      </c>
      <c r="Q50" s="48" t="n">
        <v>208</v>
      </c>
      <c r="R50" s="70" t="n">
        <f aca="false">P50/Q50</f>
        <v>1.73141554334162</v>
      </c>
      <c r="S50" s="50" t="n">
        <f aca="false">O50/H50</f>
        <v>2545.44383202373</v>
      </c>
    </row>
    <row r="51" customFormat="false" ht="14.25" hidden="false" customHeight="false" outlineLevel="0" collapsed="false">
      <c r="A51" s="61" t="n">
        <v>1891</v>
      </c>
      <c r="B51" s="50" t="n">
        <f aca="false">(People!B51+People!L51)/2</f>
        <v>5308713.78846489</v>
      </c>
      <c r="C51" s="66" t="n">
        <f aca="false">Paths!L51*IF($A51&gt;=1896,prod_factor,1)</f>
        <v>0.018</v>
      </c>
      <c r="D51" s="67" t="n">
        <f aca="false">IF(O50&gt;0,MIN(dev_cap,dev_return*'Debt &amp; cash'!N50/O50),0)</f>
        <v>0.00425286004305156</v>
      </c>
      <c r="E51" s="66" t="n">
        <f aca="false">C51+D51</f>
        <v>0.0222528600430516</v>
      </c>
      <c r="F51" s="50" t="n">
        <f aca="false">F50*(1+E51)</f>
        <v>471.497748408962</v>
      </c>
      <c r="G51" s="68" t="n">
        <f aca="false">1-(1-Paths!M51)*IF($A51&gt;=1930,dep_severity,1)</f>
        <v>1</v>
      </c>
      <c r="H51" s="68" t="n">
        <f aca="false">IF($A51&gt;=1930,Paths!B$89+(Paths!B51-Paths!B$89)*slump_price,Paths!B51)</f>
        <v>0.7217</v>
      </c>
      <c r="I51" s="69" t="n">
        <f aca="false">Labour!AO51</f>
        <v>0.0143535765784778</v>
      </c>
      <c r="J51" s="50" t="n">
        <f aca="false">B51*F51*(1+I51)*G51*H51/1000000</f>
        <v>1832.3777301074</v>
      </c>
      <c r="K51" s="65" t="n">
        <f aca="false">Resources!O51</f>
        <v>48.3</v>
      </c>
      <c r="L51" s="50" t="n">
        <f aca="false">Labour!L51*gw_rel*J51/Labour!B51</f>
        <v>64.8689959126602</v>
      </c>
      <c r="M51" s="65" t="n">
        <f aca="false">Champions!AQ51</f>
        <v>51.9727599418539</v>
      </c>
      <c r="N51" s="50" t="n">
        <f aca="false">IF(Gulf!E51=1,Gulf!D51,0)</f>
        <v>0</v>
      </c>
      <c r="O51" s="50" t="n">
        <f aca="false">J51+K51+L51+M51+N51</f>
        <v>1997.51948596192</v>
      </c>
      <c r="P51" s="50" t="n">
        <f aca="false">O51*1000000/(B51+People!V51+Labour!L51)</f>
        <v>367.172895863305</v>
      </c>
      <c r="Q51" s="48" t="n">
        <v>206</v>
      </c>
      <c r="R51" s="70" t="n">
        <f aca="false">P51/Q51</f>
        <v>1.78239269836556</v>
      </c>
      <c r="S51" s="50" t="n">
        <f aca="false">O51/H51</f>
        <v>2767.79754186215</v>
      </c>
    </row>
    <row r="52" customFormat="false" ht="14.25" hidden="false" customHeight="false" outlineLevel="0" collapsed="false">
      <c r="A52" s="61" t="n">
        <v>1892</v>
      </c>
      <c r="B52" s="50" t="n">
        <f aca="false">(People!B52+People!L52)/2</f>
        <v>5558903.43379395</v>
      </c>
      <c r="C52" s="66" t="n">
        <f aca="false">Paths!L52*IF($A52&gt;=1896,prod_factor,1)</f>
        <v>0.018</v>
      </c>
      <c r="D52" s="67" t="n">
        <f aca="false">IF(O51&gt;0,MIN(dev_cap,dev_return*'Debt &amp; cash'!N51/O51),0)</f>
        <v>0.00502814155301822</v>
      </c>
      <c r="E52" s="66" t="n">
        <f aca="false">C52+D52</f>
        <v>0.0230281415530182</v>
      </c>
      <c r="F52" s="50" t="n">
        <f aca="false">F51*(1+E52)</f>
        <v>482.355465301253</v>
      </c>
      <c r="G52" s="68" t="n">
        <f aca="false">1-(1-Paths!M52)*IF($A52&gt;=1930,dep_severity,1)</f>
        <v>1</v>
      </c>
      <c r="H52" s="68" t="n">
        <f aca="false">IF($A52&gt;=1930,Paths!B$89+(Paths!B52-Paths!B$89)*slump_price,Paths!B52)</f>
        <v>0.7133</v>
      </c>
      <c r="I52" s="69" t="n">
        <f aca="false">Labour!AO52</f>
        <v>0.018935743414871</v>
      </c>
      <c r="J52" s="50" t="n">
        <f aca="false">B52*F52*(1+I52)*G52*H52/1000000</f>
        <v>1948.83627405747</v>
      </c>
      <c r="K52" s="65" t="n">
        <f aca="false">Resources!O52</f>
        <v>49.644</v>
      </c>
      <c r="L52" s="50" t="n">
        <f aca="false">Labour!L52*gw_rel*J52/Labour!B52</f>
        <v>83.3319042519256</v>
      </c>
      <c r="M52" s="65" t="n">
        <f aca="false">Champions!AQ52</f>
        <v>60.0481131359017</v>
      </c>
      <c r="N52" s="50" t="n">
        <f aca="false">IF(Gulf!E52=1,Gulf!D52,0)</f>
        <v>0</v>
      </c>
      <c r="O52" s="50" t="n">
        <f aca="false">J52+K52+L52+M52+N52</f>
        <v>2141.8602914453</v>
      </c>
      <c r="P52" s="50" t="n">
        <f aca="false">O52*1000000/(B52+People!V52+Labour!L52)</f>
        <v>374.104996349938</v>
      </c>
      <c r="Q52" s="48" t="n">
        <v>205</v>
      </c>
      <c r="R52" s="70" t="n">
        <f aca="false">P52/Q52</f>
        <v>1.82490242121921</v>
      </c>
      <c r="S52" s="50" t="n">
        <f aca="false">O52/H52</f>
        <v>3002.74820054016</v>
      </c>
    </row>
    <row r="53" customFormat="false" ht="14.25" hidden="false" customHeight="false" outlineLevel="0" collapsed="false">
      <c r="A53" s="61" t="n">
        <v>1893</v>
      </c>
      <c r="B53" s="50" t="n">
        <f aca="false">(People!B53+People!L53)/2</f>
        <v>5827878.93081647</v>
      </c>
      <c r="C53" s="66" t="n">
        <f aca="false">Paths!L53*IF($A53&gt;=1896,prod_factor,1)</f>
        <v>0.018</v>
      </c>
      <c r="D53" s="67" t="n">
        <f aca="false">IF(O52&gt;0,MIN(dev_cap,dev_return*'Debt &amp; cash'!N52/O52),0)</f>
        <v>0.00572336348031565</v>
      </c>
      <c r="E53" s="66" t="n">
        <f aca="false">C53+D53</f>
        <v>0.0237233634803157</v>
      </c>
      <c r="F53" s="50" t="n">
        <f aca="false">F52*(1+E53)</f>
        <v>493.798559331311</v>
      </c>
      <c r="G53" s="68" t="n">
        <f aca="false">1-(1-Paths!M53)*IF($A53&gt;=1930,dep_severity,1)</f>
        <v>0.95</v>
      </c>
      <c r="H53" s="68" t="n">
        <f aca="false">IF($A53&gt;=1930,Paths!B$89+(Paths!B53-Paths!B$89)*slump_price,Paths!B53)</f>
        <v>0.705</v>
      </c>
      <c r="I53" s="69" t="n">
        <f aca="false">Labour!AO53</f>
        <v>0.0243645689040973</v>
      </c>
      <c r="J53" s="50" t="n">
        <f aca="false">B53*F53*(1+I53)*G53*H53/1000000</f>
        <v>1974.36575848855</v>
      </c>
      <c r="K53" s="65" t="n">
        <f aca="false">Resources!O53</f>
        <v>51.13528</v>
      </c>
      <c r="L53" s="50" t="n">
        <f aca="false">Labour!L53*gw_rel*J53/Labour!B53</f>
        <v>85.6846481887363</v>
      </c>
      <c r="M53" s="65" t="n">
        <f aca="false">Champions!AQ53</f>
        <v>68.8347930021527</v>
      </c>
      <c r="N53" s="50" t="n">
        <f aca="false">IF(Gulf!E53=1,Gulf!D53,0)</f>
        <v>0</v>
      </c>
      <c r="O53" s="50" t="n">
        <f aca="false">J53+K53+L53+M53+N53</f>
        <v>2180.02047967944</v>
      </c>
      <c r="P53" s="50" t="n">
        <f aca="false">O53*1000000/(B53+People!V53+Labour!L53)</f>
        <v>363.038809490396</v>
      </c>
      <c r="Q53" s="48" t="n">
        <v>203</v>
      </c>
      <c r="R53" s="70" t="n">
        <f aca="false">P53/Q53</f>
        <v>1.78836851965712</v>
      </c>
      <c r="S53" s="50" t="n">
        <f aca="false">O53/H53</f>
        <v>3092.22763075098</v>
      </c>
    </row>
    <row r="54" customFormat="false" ht="14.25" hidden="false" customHeight="false" outlineLevel="0" collapsed="false">
      <c r="A54" s="61" t="n">
        <v>1894</v>
      </c>
      <c r="B54" s="50" t="n">
        <f aca="false">(People!B54+People!L54)/2</f>
        <v>6104887.9491296</v>
      </c>
      <c r="C54" s="66" t="n">
        <f aca="false">Paths!L54*IF($A54&gt;=1896,prod_factor,1)</f>
        <v>0.018</v>
      </c>
      <c r="D54" s="67" t="n">
        <f aca="false">IF(O53&gt;0,MIN(dev_cap,dev_return*'Debt &amp; cash'!N53/O53),0)</f>
        <v>0.0050546640125356</v>
      </c>
      <c r="E54" s="66" t="n">
        <f aca="false">C54+D54</f>
        <v>0.0230546640125356</v>
      </c>
      <c r="F54" s="50" t="n">
        <f aca="false">F53*(1+E54)</f>
        <v>505.182919206569</v>
      </c>
      <c r="G54" s="68" t="n">
        <f aca="false">1-(1-Paths!M54)*IF($A54&gt;=1930,dep_severity,1)</f>
        <v>0.94</v>
      </c>
      <c r="H54" s="68" t="n">
        <f aca="false">IF($A54&gt;=1930,Paths!B$89+(Paths!B54-Paths!B$89)*slump_price,Paths!B54)</f>
        <v>0.6967</v>
      </c>
      <c r="I54" s="69" t="n">
        <f aca="false">Labour!AO54</f>
        <v>0.0303289312653617</v>
      </c>
      <c r="J54" s="50" t="n">
        <f aca="false">B54*F54*(1+I54)*G54*H54/1000000</f>
        <v>2081.01837183596</v>
      </c>
      <c r="K54" s="65" t="n">
        <f aca="false">Resources!O54</f>
        <v>52.55796</v>
      </c>
      <c r="L54" s="50" t="n">
        <f aca="false">Labour!L54*gw_rel*J54/Labour!B54</f>
        <v>90.8143232742485</v>
      </c>
      <c r="M54" s="65" t="n">
        <f aca="false">Champions!AQ54</f>
        <v>77.7576897623082</v>
      </c>
      <c r="N54" s="50" t="n">
        <f aca="false">IF(Gulf!E54=1,Gulf!D54,0)</f>
        <v>0</v>
      </c>
      <c r="O54" s="50" t="n">
        <f aca="false">J54+K54+L54+M54+N54</f>
        <v>2302.14834487251</v>
      </c>
      <c r="P54" s="50" t="n">
        <f aca="false">O54*1000000/(B54+People!V54+Labour!L54)</f>
        <v>365.921198749082</v>
      </c>
      <c r="Q54" s="48" t="n">
        <v>202</v>
      </c>
      <c r="R54" s="70" t="n">
        <f aca="false">P54/Q54</f>
        <v>1.81149108291625</v>
      </c>
      <c r="S54" s="50" t="n">
        <f aca="false">O54/H54</f>
        <v>3304.36105191978</v>
      </c>
    </row>
    <row r="55" customFormat="false" ht="14.25" hidden="false" customHeight="false" outlineLevel="0" collapsed="false">
      <c r="A55" s="61" t="n">
        <v>1895</v>
      </c>
      <c r="B55" s="50" t="n">
        <f aca="false">(People!B55+People!L55)/2</f>
        <v>6385536.47124859</v>
      </c>
      <c r="C55" s="66" t="n">
        <f aca="false">Paths!L55*IF($A55&gt;=1896,prod_factor,1)</f>
        <v>0.018</v>
      </c>
      <c r="D55" s="67" t="n">
        <f aca="false">IF(O54&gt;0,MIN(dev_cap,dev_return*'Debt &amp; cash'!N54/O54),0)</f>
        <v>0.00431717146994512</v>
      </c>
      <c r="E55" s="66" t="n">
        <f aca="false">C55+D55</f>
        <v>0.0223171714699451</v>
      </c>
      <c r="F55" s="50" t="n">
        <f aca="false">F54*(1+E55)</f>
        <v>516.457173038189</v>
      </c>
      <c r="G55" s="68" t="n">
        <f aca="false">1-(1-Paths!M55)*IF($A55&gt;=1930,dep_severity,1)</f>
        <v>0.97</v>
      </c>
      <c r="H55" s="68" t="n">
        <f aca="false">IF($A55&gt;=1930,Paths!B$89+(Paths!B55-Paths!B$89)*slump_price,Paths!B55)</f>
        <v>0.6883</v>
      </c>
      <c r="I55" s="69" t="n">
        <f aca="false">Labour!AO55</f>
        <v>0.0350337419021591</v>
      </c>
      <c r="J55" s="50" t="n">
        <f aca="false">B55*F55*(1+I55)*G55*H55/1000000</f>
        <v>2278.95481868147</v>
      </c>
      <c r="K55" s="65" t="n">
        <f aca="false">Resources!O55</f>
        <v>53.9</v>
      </c>
      <c r="L55" s="50" t="n">
        <f aca="false">Labour!L55*gw_rel*J55/Labour!B55</f>
        <v>106.13792993801</v>
      </c>
      <c r="M55" s="65" t="n">
        <f aca="false">Champions!AQ55</f>
        <v>86.8589187695228</v>
      </c>
      <c r="N55" s="50" t="n">
        <f aca="false">IF(Gulf!E55=1,Gulf!D55,0)</f>
        <v>0</v>
      </c>
      <c r="O55" s="50" t="n">
        <f aca="false">J55+K55+L55+M55+N55</f>
        <v>2525.851667389</v>
      </c>
      <c r="P55" s="50" t="n">
        <f aca="false">O55*1000000/(B55+People!V55+Labour!L55)</f>
        <v>383.069740959672</v>
      </c>
      <c r="Q55" s="48" t="n">
        <v>200</v>
      </c>
      <c r="R55" s="70" t="n">
        <f aca="false">P55/Q55</f>
        <v>1.91534870479836</v>
      </c>
      <c r="S55" s="50" t="n">
        <f aca="false">O55/H55</f>
        <v>3669.69587009879</v>
      </c>
    </row>
    <row r="56" customFormat="false" ht="14.25" hidden="false" customHeight="false" outlineLevel="0" collapsed="false">
      <c r="A56" s="61" t="n">
        <v>1896</v>
      </c>
      <c r="B56" s="50" t="n">
        <f aca="false">(People!B56+People!L56)/2</f>
        <v>6677764.61595749</v>
      </c>
      <c r="C56" s="66" t="n">
        <f aca="false">Paths!L56*IF($A56&gt;=1896,prod_factor,1)</f>
        <v>0.015</v>
      </c>
      <c r="D56" s="67" t="n">
        <f aca="false">IF(O55&gt;0,MIN(dev_cap,dev_return*'Debt &amp; cash'!N55/O55),0)</f>
        <v>0.00135183455077202</v>
      </c>
      <c r="E56" s="66" t="n">
        <f aca="false">C56+D56</f>
        <v>0.016351834550772</v>
      </c>
      <c r="F56" s="50" t="n">
        <f aca="false">F55*(1+E56)</f>
        <v>524.902195284269</v>
      </c>
      <c r="G56" s="68" t="n">
        <f aca="false">1-(1-Paths!M56)*IF($A56&gt;=1930,dep_severity,1)</f>
        <v>0.98</v>
      </c>
      <c r="H56" s="68" t="n">
        <f aca="false">IF($A56&gt;=1930,Paths!B$89+(Paths!B56-Paths!B$89)*slump_price,Paths!B56)</f>
        <v>0.68</v>
      </c>
      <c r="I56" s="69" t="n">
        <f aca="false">Labour!AO56</f>
        <v>0.0399795365090609</v>
      </c>
      <c r="J56" s="50" t="n">
        <f aca="false">B56*F56*(1+I56)*G56*H56/1000000</f>
        <v>2429.23359152102</v>
      </c>
      <c r="K56" s="65" t="n">
        <f aca="false">Resources!O56</f>
        <v>60.06651</v>
      </c>
      <c r="L56" s="50" t="n">
        <f aca="false">Labour!L56*gw_rel*J56/Labour!B56</f>
        <v>119.184304955545</v>
      </c>
      <c r="M56" s="65" t="n">
        <f aca="false">Champions!AQ56</f>
        <v>96.6553861819692</v>
      </c>
      <c r="N56" s="50" t="n">
        <f aca="false">IF(Gulf!E56=1,Gulf!D56,0)</f>
        <v>0</v>
      </c>
      <c r="O56" s="50" t="n">
        <f aca="false">J56+K56+L56+M56+N56</f>
        <v>2705.13979265854</v>
      </c>
      <c r="P56" s="50" t="n">
        <f aca="false">O56*1000000/(B56+People!V56+Labour!L56)</f>
        <v>391.646011357882</v>
      </c>
      <c r="Q56" s="48" t="n">
        <v>209</v>
      </c>
      <c r="R56" s="70" t="n">
        <f aca="false">P56/Q56</f>
        <v>1.87390436056403</v>
      </c>
      <c r="S56" s="50" t="n">
        <f aca="false">O56/H56</f>
        <v>3978.14675390962</v>
      </c>
    </row>
    <row r="57" customFormat="false" ht="14.25" hidden="false" customHeight="false" outlineLevel="0" collapsed="false">
      <c r="A57" s="61" t="n">
        <v>1897</v>
      </c>
      <c r="B57" s="50" t="n">
        <f aca="false">(People!B57+People!L57)/2</f>
        <v>6981574.55305071</v>
      </c>
      <c r="C57" s="66" t="n">
        <f aca="false">Paths!L57*IF($A57&gt;=1896,prod_factor,1)</f>
        <v>0.015</v>
      </c>
      <c r="D57" s="67" t="n">
        <f aca="false">IF(O56&gt;0,MIN(dev_cap,dev_return*'Debt &amp; cash'!N56/O56),0)</f>
        <v>0.00477682104965342</v>
      </c>
      <c r="E57" s="66" t="n">
        <f aca="false">C57+D57</f>
        <v>0.0197768210496534</v>
      </c>
      <c r="F57" s="50" t="n">
        <f aca="false">F56*(1+E57)</f>
        <v>535.283092068976</v>
      </c>
      <c r="G57" s="68" t="n">
        <f aca="false">1-(1-Paths!M57)*IF($A57&gt;=1930,dep_severity,1)</f>
        <v>1</v>
      </c>
      <c r="H57" s="68" t="n">
        <f aca="false">IF($A57&gt;=1930,Paths!B$89+(Paths!B57-Paths!B$89)*slump_price,Paths!B57)</f>
        <v>0.7</v>
      </c>
      <c r="I57" s="69" t="n">
        <f aca="false">Labour!AO57</f>
        <v>0.0452161940854498</v>
      </c>
      <c r="J57" s="50" t="n">
        <f aca="false">B57*F57*(1+I57)*G57*H57/1000000</f>
        <v>2734.26797272535</v>
      </c>
      <c r="K57" s="65" t="n">
        <f aca="false">Resources!O57</f>
        <v>66.19018</v>
      </c>
      <c r="L57" s="50" t="n">
        <f aca="false">Labour!L57*gw_rel*J57/Labour!B57</f>
        <v>143.148163945824</v>
      </c>
      <c r="M57" s="65" t="n">
        <f aca="false">Champions!AQ57</f>
        <v>107.715664464239</v>
      </c>
      <c r="N57" s="50" t="n">
        <f aca="false">IF(Gulf!E57=1,Gulf!D57,0)</f>
        <v>0</v>
      </c>
      <c r="O57" s="50" t="n">
        <f aca="false">J57+K57+L57+M57+N57</f>
        <v>3051.32198113541</v>
      </c>
      <c r="P57" s="50" t="n">
        <f aca="false">O57*1000000/(B57+People!V57+Labour!L57)</f>
        <v>421.602919634528</v>
      </c>
      <c r="Q57" s="48" t="n">
        <v>218</v>
      </c>
      <c r="R57" s="70" t="n">
        <f aca="false">P57/Q57</f>
        <v>1.93395834694737</v>
      </c>
      <c r="S57" s="50" t="n">
        <f aca="false">O57/H57</f>
        <v>4359.03140162201</v>
      </c>
    </row>
    <row r="58" customFormat="false" ht="14.25" hidden="false" customHeight="false" outlineLevel="0" collapsed="false">
      <c r="A58" s="61" t="n">
        <v>1898</v>
      </c>
      <c r="B58" s="50" t="n">
        <f aca="false">(People!B58+People!L58)/2</f>
        <v>7293891.23605361</v>
      </c>
      <c r="C58" s="66" t="n">
        <f aca="false">Paths!L58*IF($A58&gt;=1896,prod_factor,1)</f>
        <v>0.015</v>
      </c>
      <c r="D58" s="67" t="n">
        <f aca="false">IF(O57&gt;0,MIN(dev_cap,dev_return*'Debt &amp; cash'!N57/O57),0)</f>
        <v>0.00330072467921584</v>
      </c>
      <c r="E58" s="66" t="n">
        <f aca="false">C58+D58</f>
        <v>0.0183007246792158</v>
      </c>
      <c r="F58" s="50" t="n">
        <f aca="false">F57*(1+E58)</f>
        <v>545.07916056237</v>
      </c>
      <c r="G58" s="68" t="n">
        <f aca="false">1-(1-Paths!M58)*IF($A58&gt;=1930,dep_severity,1)</f>
        <v>1</v>
      </c>
      <c r="H58" s="68" t="n">
        <f aca="false">IF($A58&gt;=1930,Paths!B$89+(Paths!B58-Paths!B$89)*slump_price,Paths!B58)</f>
        <v>0.72</v>
      </c>
      <c r="I58" s="69" t="n">
        <f aca="false">Labour!AO58</f>
        <v>0.0503452594336676</v>
      </c>
      <c r="J58" s="50" t="n">
        <f aca="false">B58*F58*(1+I58)*G58*H58/1000000</f>
        <v>3006.65389127905</v>
      </c>
      <c r="K58" s="65" t="n">
        <f aca="false">Resources!O58</f>
        <v>72.282</v>
      </c>
      <c r="L58" s="50" t="n">
        <f aca="false">Labour!L58*gw_rel*J58/Labour!B58</f>
        <v>162.769151050169</v>
      </c>
      <c r="M58" s="65" t="n">
        <f aca="false">Champions!AQ58</f>
        <v>117.303381431128</v>
      </c>
      <c r="N58" s="50" t="n">
        <f aca="false">IF(Gulf!E58=1,Gulf!D58,0)</f>
        <v>0</v>
      </c>
      <c r="O58" s="50" t="n">
        <f aca="false">J58+K58+L58+M58+N58</f>
        <v>3359.00842376034</v>
      </c>
      <c r="P58" s="50" t="n">
        <f aca="false">O58*1000000/(B58+People!V58+Labour!L58)</f>
        <v>443.70897702026</v>
      </c>
      <c r="Q58" s="48" t="n">
        <v>228</v>
      </c>
      <c r="R58" s="70" t="n">
        <f aca="false">P58/Q58</f>
        <v>1.94609200447483</v>
      </c>
      <c r="S58" s="50" t="n">
        <f aca="false">O58/H58</f>
        <v>4665.28947744492</v>
      </c>
    </row>
    <row r="59" customFormat="false" ht="14.25" hidden="false" customHeight="false" outlineLevel="0" collapsed="false">
      <c r="A59" s="61" t="n">
        <v>1899</v>
      </c>
      <c r="B59" s="50" t="n">
        <f aca="false">(People!B59+People!L59)/2</f>
        <v>7616007.43055038</v>
      </c>
      <c r="C59" s="66" t="n">
        <f aca="false">Paths!L59*IF($A59&gt;=1896,prod_factor,1)</f>
        <v>0.015</v>
      </c>
      <c r="D59" s="67" t="n">
        <f aca="false">IF(O58&gt;0,MIN(dev_cap,dev_return*'Debt &amp; cash'!N58/O58),0)</f>
        <v>0.00251379134461211</v>
      </c>
      <c r="E59" s="66" t="n">
        <f aca="false">C59+D59</f>
        <v>0.0175137913446121</v>
      </c>
      <c r="F59" s="50" t="n">
        <f aca="false">F58*(1+E59)</f>
        <v>554.625563246756</v>
      </c>
      <c r="G59" s="68" t="n">
        <f aca="false">1-(1-Paths!M59)*IF($A59&gt;=1930,dep_severity,1)</f>
        <v>1</v>
      </c>
      <c r="H59" s="68" t="n">
        <f aca="false">IF($A59&gt;=1930,Paths!B$89+(Paths!B59-Paths!B$89)*slump_price,Paths!B59)</f>
        <v>0.74</v>
      </c>
      <c r="I59" s="69" t="n">
        <f aca="false">Labour!AO59</f>
        <v>0.0550880963627617</v>
      </c>
      <c r="J59" s="50" t="n">
        <f aca="false">B59*F59*(1+I59)*G59*H59/1000000</f>
        <v>3297.97747335855</v>
      </c>
      <c r="K59" s="65" t="n">
        <f aca="false">Resources!O59</f>
        <v>80.878</v>
      </c>
      <c r="L59" s="50" t="n">
        <f aca="false">Labour!L59*gw_rel*J59/Labour!B59</f>
        <v>181.657128966101</v>
      </c>
      <c r="M59" s="65" t="n">
        <f aca="false">Champions!AQ59</f>
        <v>127.585350864976</v>
      </c>
      <c r="N59" s="50" t="n">
        <f aca="false">IF(Gulf!E59=1,Gulf!D59,0)</f>
        <v>0</v>
      </c>
      <c r="O59" s="50" t="n">
        <f aca="false">J59+K59+L59+M59+N59</f>
        <v>3688.09795318963</v>
      </c>
      <c r="P59" s="50" t="n">
        <f aca="false">O59*1000000/(B59+People!V59+Labour!L59)</f>
        <v>466.277830195267</v>
      </c>
      <c r="Q59" s="48" t="n">
        <v>237</v>
      </c>
      <c r="R59" s="70" t="n">
        <f aca="false">P59/Q59</f>
        <v>1.96741700504332</v>
      </c>
      <c r="S59" s="50" t="n">
        <f aca="false">O59/H59</f>
        <v>4983.91615295896</v>
      </c>
    </row>
    <row r="60" customFormat="false" ht="14.25" hidden="false" customHeight="false" outlineLevel="0" collapsed="false">
      <c r="A60" s="61" t="n">
        <v>1900</v>
      </c>
      <c r="B60" s="50" t="n">
        <f aca="false">(People!B60+People!L60)/2</f>
        <v>7972814.50363105</v>
      </c>
      <c r="C60" s="66" t="n">
        <f aca="false">Paths!L60*IF($A60&gt;=1896,prod_factor,1)</f>
        <v>0.015</v>
      </c>
      <c r="D60" s="67" t="n">
        <f aca="false">IF(O59&gt;0,MIN(dev_cap,dev_return*'Debt &amp; cash'!N59/O59),0)</f>
        <v>0.00279421018532465</v>
      </c>
      <c r="E60" s="66" t="n">
        <f aca="false">C60+D60</f>
        <v>0.0177942101853246</v>
      </c>
      <c r="F60" s="50" t="n">
        <f aca="false">F59*(1+E60)</f>
        <v>564.494687093323</v>
      </c>
      <c r="G60" s="68" t="n">
        <f aca="false">1-(1-Paths!M60)*IF($A60&gt;=1930,dep_severity,1)</f>
        <v>1</v>
      </c>
      <c r="H60" s="68" t="n">
        <f aca="false">IF($A60&gt;=1930,Paths!B$89+(Paths!B60-Paths!B$89)*slump_price,Paths!B60)</f>
        <v>0.76</v>
      </c>
      <c r="I60" s="69" t="n">
        <f aca="false">Labour!AO60</f>
        <v>0.0596097293687781</v>
      </c>
      <c r="J60" s="50" t="n">
        <f aca="false">B60*F60*(1+I60)*G60*H60/1000000</f>
        <v>3624.3576598718</v>
      </c>
      <c r="K60" s="65" t="n">
        <f aca="false">Resources!O60</f>
        <v>89.425</v>
      </c>
      <c r="L60" s="50" t="n">
        <f aca="false">Labour!L60*gw_rel*J60/Labour!B60</f>
        <v>200.781492700903</v>
      </c>
      <c r="M60" s="65" t="n">
        <f aca="false">Champions!AQ60</f>
        <v>140.800149271594</v>
      </c>
      <c r="N60" s="50" t="n">
        <f aca="false">IF(Gulf!E60=1,Gulf!D60,0)</f>
        <v>0</v>
      </c>
      <c r="O60" s="50" t="n">
        <f aca="false">J60+K60+L60+M60+N60</f>
        <v>4055.3643018443</v>
      </c>
      <c r="P60" s="50" t="n">
        <f aca="false">O60*1000000/(B60+People!V60+Labour!L60)</f>
        <v>489.66072836913</v>
      </c>
      <c r="Q60" s="48" t="n">
        <v>246</v>
      </c>
      <c r="R60" s="70" t="n">
        <f aca="false">P60/Q60</f>
        <v>1.99049076572817</v>
      </c>
      <c r="S60" s="50" t="n">
        <f aca="false">O60/H60</f>
        <v>5336.00566032145</v>
      </c>
    </row>
    <row r="61" customFormat="false" ht="14.25" hidden="false" customHeight="false" outlineLevel="0" collapsed="false">
      <c r="A61" s="61" t="n">
        <v>1901</v>
      </c>
      <c r="B61" s="50" t="n">
        <f aca="false">(People!B61+People!L61)/2</f>
        <v>8375754.86392961</v>
      </c>
      <c r="C61" s="66" t="n">
        <f aca="false">Paths!L61*IF($A61&gt;=1896,prod_factor,1)</f>
        <v>0.015</v>
      </c>
      <c r="D61" s="67" t="n">
        <f aca="false">IF(O60&gt;0,MIN(dev_cap,dev_return*'Debt &amp; cash'!N60/O60),0)</f>
        <v>0.0047561064717416</v>
      </c>
      <c r="E61" s="66" t="n">
        <f aca="false">C61+D61</f>
        <v>0.0197561064717416</v>
      </c>
      <c r="F61" s="50" t="n">
        <f aca="false">F60*(1+E61)</f>
        <v>575.646904234271</v>
      </c>
      <c r="G61" s="68" t="n">
        <f aca="false">1-(1-Paths!M61)*IF($A61&gt;=1930,dep_severity,1)</f>
        <v>1</v>
      </c>
      <c r="H61" s="68" t="n">
        <f aca="false">IF($A61&gt;=1930,Paths!B$89+(Paths!B61-Paths!B$89)*slump_price,Paths!B61)</f>
        <v>0.772</v>
      </c>
      <c r="I61" s="69" t="n">
        <f aca="false">Labour!AO61</f>
        <v>0.0631633902618125</v>
      </c>
      <c r="J61" s="50" t="n">
        <f aca="false">B61*F61*(1+I61)*G61*H61/1000000</f>
        <v>3957.28606124736</v>
      </c>
      <c r="K61" s="65" t="n">
        <f aca="false">Resources!O61</f>
        <v>97.09</v>
      </c>
      <c r="L61" s="50" t="n">
        <f aca="false">Labour!L61*gw_rel*J61/Labour!B61</f>
        <v>219.249218099916</v>
      </c>
      <c r="M61" s="65" t="n">
        <f aca="false">Champions!AQ61</f>
        <v>161.466138469203</v>
      </c>
      <c r="N61" s="50" t="n">
        <f aca="false">IF(Gulf!E61=1,Gulf!D61,0)</f>
        <v>0</v>
      </c>
      <c r="O61" s="50" t="n">
        <f aca="false">J61+K61+L61+M61+N61</f>
        <v>4435.09141781648</v>
      </c>
      <c r="P61" s="50" t="n">
        <f aca="false">O61*1000000/(B61+People!V61+Labour!L61)</f>
        <v>509.746070966545</v>
      </c>
      <c r="Q61" s="48" t="n">
        <v>255</v>
      </c>
      <c r="R61" s="70" t="n">
        <f aca="false">P61/Q61</f>
        <v>1.9990041998688</v>
      </c>
      <c r="S61" s="50" t="n">
        <f aca="false">O61/H61</f>
        <v>5744.93706971046</v>
      </c>
    </row>
    <row r="62" customFormat="false" ht="14.25" hidden="false" customHeight="false" outlineLevel="0" collapsed="false">
      <c r="A62" s="61" t="n">
        <v>1902</v>
      </c>
      <c r="B62" s="50" t="n">
        <f aca="false">(People!B62+People!L62)/2</f>
        <v>8813377.71212087</v>
      </c>
      <c r="C62" s="66" t="n">
        <f aca="false">Paths!L62*IF($A62&gt;=1896,prod_factor,1)</f>
        <v>0.015</v>
      </c>
      <c r="D62" s="67" t="n">
        <f aca="false">IF(O61&gt;0,MIN(dev_cap,dev_return*'Debt &amp; cash'!N61/O61),0)</f>
        <v>0.00610450474846548</v>
      </c>
      <c r="E62" s="66" t="n">
        <f aca="false">C62+D62</f>
        <v>0.0211045047484655</v>
      </c>
      <c r="F62" s="50" t="n">
        <f aca="false">F61*(1+E62)</f>
        <v>587.795647058122</v>
      </c>
      <c r="G62" s="68" t="n">
        <f aca="false">1-(1-Paths!M62)*IF($A62&gt;=1930,dep_severity,1)</f>
        <v>1</v>
      </c>
      <c r="H62" s="68" t="n">
        <f aca="false">IF($A62&gt;=1930,Paths!B$89+(Paths!B62-Paths!B$89)*slump_price,Paths!B62)</f>
        <v>0.784</v>
      </c>
      <c r="I62" s="69" t="n">
        <f aca="false">Labour!AO62</f>
        <v>0.065777077107819</v>
      </c>
      <c r="J62" s="50" t="n">
        <f aca="false">B62*F62*(1+I62)*G62*H62/1000000</f>
        <v>4328.63718908489</v>
      </c>
      <c r="K62" s="65" t="n">
        <f aca="false">Resources!O62</f>
        <v>104.545</v>
      </c>
      <c r="L62" s="50" t="n">
        <f aca="false">Labour!L62*gw_rel*J62/Labour!B62</f>
        <v>240.933155611574</v>
      </c>
      <c r="M62" s="65" t="n">
        <f aca="false">Champions!AQ62</f>
        <v>182.881684610799</v>
      </c>
      <c r="N62" s="50" t="n">
        <f aca="false">IF(Gulf!E62=1,Gulf!D62,0)</f>
        <v>0</v>
      </c>
      <c r="O62" s="50" t="n">
        <f aca="false">J62+K62+L62+M62+N62</f>
        <v>4856.99702930726</v>
      </c>
      <c r="P62" s="50" t="n">
        <f aca="false">O62*1000000/(B62+People!V62+Labour!L62)</f>
        <v>530.427106265769</v>
      </c>
      <c r="Q62" s="48" t="n">
        <v>264</v>
      </c>
      <c r="R62" s="70" t="n">
        <f aca="false">P62/Q62</f>
        <v>2.00919358434003</v>
      </c>
      <c r="S62" s="50" t="n">
        <f aca="false">O62/H62</f>
        <v>6195.14927207559</v>
      </c>
    </row>
    <row r="63" customFormat="false" ht="14.25" hidden="false" customHeight="false" outlineLevel="0" collapsed="false">
      <c r="A63" s="61" t="n">
        <v>1903</v>
      </c>
      <c r="B63" s="50" t="n">
        <f aca="false">(People!B63+People!L63)/2</f>
        <v>9285653.96262742</v>
      </c>
      <c r="C63" s="66" t="n">
        <f aca="false">Paths!L63*IF($A63&gt;=1896,prod_factor,1)</f>
        <v>0.015</v>
      </c>
      <c r="D63" s="67" t="n">
        <f aca="false">IF(O62&gt;0,MIN(dev_cap,dev_return*'Debt &amp; cash'!N62/O62),0)</f>
        <v>0.00743096065182368</v>
      </c>
      <c r="E63" s="66" t="n">
        <f aca="false">C63+D63</f>
        <v>0.0224309606518237</v>
      </c>
      <c r="F63" s="50" t="n">
        <f aca="false">F62*(1+E63)</f>
        <v>600.980468088596</v>
      </c>
      <c r="G63" s="68" t="n">
        <f aca="false">1-(1-Paths!M63)*IF($A63&gt;=1930,dep_severity,1)</f>
        <v>1</v>
      </c>
      <c r="H63" s="68" t="n">
        <f aca="false">IF($A63&gt;=1930,Paths!B$89+(Paths!B63-Paths!B$89)*slump_price,Paths!B63)</f>
        <v>0.796</v>
      </c>
      <c r="I63" s="69" t="n">
        <f aca="false">Labour!AO63</f>
        <v>0.0677093186078088</v>
      </c>
      <c r="J63" s="50" t="n">
        <f aca="false">B63*F63*(1+I63)*G63*H63/1000000</f>
        <v>4742.84524015079</v>
      </c>
      <c r="K63" s="65" t="n">
        <f aca="false">Resources!O63</f>
        <v>111.44</v>
      </c>
      <c r="L63" s="50" t="n">
        <f aca="false">Labour!L63*gw_rel*J63/Labour!B63</f>
        <v>265.525523001716</v>
      </c>
      <c r="M63" s="65" t="n">
        <f aca="false">Champions!AQ63</f>
        <v>204.626161594716</v>
      </c>
      <c r="N63" s="50" t="n">
        <f aca="false">IF(Gulf!E63=1,Gulf!D63,0)</f>
        <v>0</v>
      </c>
      <c r="O63" s="50" t="n">
        <f aca="false">J63+K63+L63+M63+N63</f>
        <v>5324.43692474722</v>
      </c>
      <c r="P63" s="50" t="n">
        <f aca="false">O63*1000000/(B63+People!V63+Labour!L63)</f>
        <v>551.780827146751</v>
      </c>
      <c r="Q63" s="48" t="n">
        <v>272</v>
      </c>
      <c r="R63" s="70" t="n">
        <f aca="false">P63/Q63</f>
        <v>2.02860598215717</v>
      </c>
      <c r="S63" s="50" t="n">
        <f aca="false">O63/H63</f>
        <v>6688.99111149149</v>
      </c>
    </row>
    <row r="64" customFormat="false" ht="14.25" hidden="false" customHeight="false" outlineLevel="0" collapsed="false">
      <c r="A64" s="61" t="n">
        <v>1904</v>
      </c>
      <c r="B64" s="50" t="n">
        <f aca="false">(People!B64+People!L64)/2</f>
        <v>9787733.66056901</v>
      </c>
      <c r="C64" s="66" t="n">
        <f aca="false">Paths!L64*IF($A64&gt;=1896,prod_factor,1)</f>
        <v>0.015</v>
      </c>
      <c r="D64" s="67" t="n">
        <f aca="false">IF(O63&gt;0,MIN(dev_cap,dev_return*'Debt &amp; cash'!N63/O63),0)</f>
        <v>0.00758365640767636</v>
      </c>
      <c r="E64" s="66" t="n">
        <f aca="false">C64+D64</f>
        <v>0.0225836564076764</v>
      </c>
      <c r="F64" s="50" t="n">
        <f aca="false">F63*(1+E64)</f>
        <v>614.552804487634</v>
      </c>
      <c r="G64" s="68" t="n">
        <f aca="false">1-(1-Paths!M64)*IF($A64&gt;=1930,dep_severity,1)</f>
        <v>1</v>
      </c>
      <c r="H64" s="68" t="n">
        <f aca="false">IF($A64&gt;=1930,Paths!B$89+(Paths!B64-Paths!B$89)*slump_price,Paths!B64)</f>
        <v>0.808</v>
      </c>
      <c r="I64" s="69" t="n">
        <f aca="false">Labour!AO64</f>
        <v>0.069057429466531</v>
      </c>
      <c r="J64" s="50" t="n">
        <f aca="false">B64*F64*(1+I64)*G64*H64/1000000</f>
        <v>5195.81578160643</v>
      </c>
      <c r="K64" s="65" t="n">
        <f aca="false">Resources!O64</f>
        <v>118.125</v>
      </c>
      <c r="L64" s="50" t="n">
        <f aca="false">Labour!L64*gw_rel*J64/Labour!B64</f>
        <v>292.50303748184</v>
      </c>
      <c r="M64" s="65" t="n">
        <f aca="false">Champions!AQ64</f>
        <v>228.406243762844</v>
      </c>
      <c r="N64" s="50" t="n">
        <f aca="false">IF(Gulf!E64=1,Gulf!D64,0)</f>
        <v>0</v>
      </c>
      <c r="O64" s="50" t="n">
        <f aca="false">J64+K64+L64+M64+N64</f>
        <v>5834.85006285111</v>
      </c>
      <c r="P64" s="50" t="n">
        <f aca="false">O64*1000000/(B64+People!V64+Labour!L64)</f>
        <v>573.537568570215</v>
      </c>
      <c r="Q64" s="48" t="n">
        <v>281</v>
      </c>
      <c r="R64" s="70" t="n">
        <f aca="false">P64/Q64</f>
        <v>2.04105896288333</v>
      </c>
      <c r="S64" s="50" t="n">
        <f aca="false">O64/H64</f>
        <v>7221.34908768702</v>
      </c>
    </row>
    <row r="65" customFormat="false" ht="14.25" hidden="false" customHeight="false" outlineLevel="0" collapsed="false">
      <c r="A65" s="61" t="n">
        <v>1905</v>
      </c>
      <c r="B65" s="50" t="n">
        <f aca="false">(People!B65+People!L65)/2</f>
        <v>10316548.4093773</v>
      </c>
      <c r="C65" s="66" t="n">
        <f aca="false">Paths!L65*IF($A65&gt;=1896,prod_factor,1)</f>
        <v>0.015</v>
      </c>
      <c r="D65" s="67" t="n">
        <f aca="false">IF(O64&gt;0,MIN(dev_cap,dev_return*'Debt &amp; cash'!N64/O64),0)</f>
        <v>0.00604093896530406</v>
      </c>
      <c r="E65" s="66" t="n">
        <f aca="false">C65+D65</f>
        <v>0.0210409389653041</v>
      </c>
      <c r="F65" s="50" t="n">
        <f aca="false">F64*(1+E65)</f>
        <v>627.483572537814</v>
      </c>
      <c r="G65" s="68" t="n">
        <f aca="false">1-(1-Paths!M65)*IF($A65&gt;=1930,dep_severity,1)</f>
        <v>1</v>
      </c>
      <c r="H65" s="68" t="n">
        <f aca="false">IF($A65&gt;=1930,Paths!B$89+(Paths!B65-Paths!B$89)*slump_price,Paths!B65)</f>
        <v>0.82</v>
      </c>
      <c r="I65" s="69" t="n">
        <f aca="false">Labour!AO65</f>
        <v>0.0701353008340594</v>
      </c>
      <c r="J65" s="50" t="n">
        <f aca="false">B65*F65*(1+I65)*G65*H65/1000000</f>
        <v>5680.53609525534</v>
      </c>
      <c r="K65" s="65" t="n">
        <f aca="false">Resources!O65</f>
        <v>124.25</v>
      </c>
      <c r="L65" s="50" t="n">
        <f aca="false">Labour!L65*gw_rel*J65/Labour!B65</f>
        <v>321.60529544117</v>
      </c>
      <c r="M65" s="65" t="n">
        <f aca="false">Champions!AQ65</f>
        <v>249.323932069895</v>
      </c>
      <c r="N65" s="50" t="n">
        <f aca="false">IF(Gulf!E65=1,Gulf!D65,0)</f>
        <v>0</v>
      </c>
      <c r="O65" s="50" t="n">
        <f aca="false">J65+K65+L65+M65+N65</f>
        <v>6375.7153227664</v>
      </c>
      <c r="P65" s="50" t="n">
        <f aca="false">O65*1000000/(B65+People!V65+Labour!L65)</f>
        <v>594.450087347389</v>
      </c>
      <c r="Q65" s="48" t="n">
        <v>290</v>
      </c>
      <c r="R65" s="70" t="n">
        <f aca="false">P65/Q65</f>
        <v>2.04982788740479</v>
      </c>
      <c r="S65" s="50" t="n">
        <f aca="false">O65/H65</f>
        <v>7775.26258873952</v>
      </c>
    </row>
    <row r="66" customFormat="false" ht="14.25" hidden="false" customHeight="false" outlineLevel="0" collapsed="false">
      <c r="A66" s="61" t="n">
        <v>1906</v>
      </c>
      <c r="B66" s="50" t="n">
        <f aca="false">(People!B66+People!L66)/2</f>
        <v>10869952.7287156</v>
      </c>
      <c r="C66" s="66" t="n">
        <f aca="false">Paths!L66*IF($A66&gt;=1896,prod_factor,1)</f>
        <v>0.015</v>
      </c>
      <c r="D66" s="67" t="n">
        <f aca="false">IF(O65&gt;0,MIN(dev_cap,dev_return*'Debt &amp; cash'!N65/O65),0)</f>
        <v>0.00600180366729818</v>
      </c>
      <c r="E66" s="66" t="n">
        <f aca="false">C66+D66</f>
        <v>0.0210018036672982</v>
      </c>
      <c r="F66" s="50" t="n">
        <f aca="false">F65*(1+E66)</f>
        <v>640.661859332708</v>
      </c>
      <c r="G66" s="68" t="n">
        <f aca="false">1-(1-Paths!M66)*IF($A66&gt;=1930,dep_severity,1)</f>
        <v>1</v>
      </c>
      <c r="H66" s="68" t="n">
        <f aca="false">IF($A66&gt;=1930,Paths!B$89+(Paths!B66-Paths!B$89)*slump_price,Paths!B66)</f>
        <v>0.844</v>
      </c>
      <c r="I66" s="69" t="n">
        <f aca="false">Labour!AO66</f>
        <v>0.0710814129036121</v>
      </c>
      <c r="J66" s="50" t="n">
        <f aca="false">B66*F66*(1+I66)*G66*H66/1000000</f>
        <v>6295.37281998429</v>
      </c>
      <c r="K66" s="65" t="n">
        <f aca="false">Resources!O66</f>
        <v>136.5</v>
      </c>
      <c r="L66" s="50" t="n">
        <f aca="false">Labour!L66*gw_rel*J66/Labour!B66</f>
        <v>357.606119889443</v>
      </c>
      <c r="M66" s="65" t="n">
        <f aca="false">Champions!AQ66</f>
        <v>269.218521241307</v>
      </c>
      <c r="N66" s="50" t="n">
        <f aca="false">IF(Gulf!E66=1,Gulf!D66,0)</f>
        <v>0</v>
      </c>
      <c r="O66" s="50" t="n">
        <f aca="false">J66+K66+L66+M66+N66</f>
        <v>7058.69746111504</v>
      </c>
      <c r="P66" s="50" t="n">
        <f aca="false">O66*1000000/(B66+People!V66+Labour!L66)</f>
        <v>624.543169066081</v>
      </c>
      <c r="Q66" s="48" t="n">
        <v>305</v>
      </c>
      <c r="R66" s="70" t="n">
        <f aca="false">P66/Q66</f>
        <v>2.04768252152813</v>
      </c>
      <c r="S66" s="50" t="n">
        <f aca="false">O66/H66</f>
        <v>8363.38561743488</v>
      </c>
    </row>
    <row r="67" customFormat="false" ht="14.25" hidden="false" customHeight="false" outlineLevel="0" collapsed="false">
      <c r="A67" s="61" t="n">
        <v>1907</v>
      </c>
      <c r="B67" s="50" t="n">
        <f aca="false">(People!B67+People!L67)/2</f>
        <v>11445771.8137815</v>
      </c>
      <c r="C67" s="66" t="n">
        <f aca="false">Paths!L67*IF($A67&gt;=1896,prod_factor,1)</f>
        <v>0.015</v>
      </c>
      <c r="D67" s="67" t="n">
        <f aca="false">IF(O66&gt;0,MIN(dev_cap,dev_return*'Debt &amp; cash'!N66/O66),0)</f>
        <v>0.007346676200993</v>
      </c>
      <c r="E67" s="66" t="n">
        <f aca="false">C67+D67</f>
        <v>0.022346676200993</v>
      </c>
      <c r="F67" s="50" t="n">
        <f aca="false">F66*(1+E67)</f>
        <v>654.978522457543</v>
      </c>
      <c r="G67" s="68" t="n">
        <f aca="false">1-(1-Paths!M67)*IF($A67&gt;=1930,dep_severity,1)</f>
        <v>0.985</v>
      </c>
      <c r="H67" s="68" t="n">
        <f aca="false">IF($A67&gt;=1930,Paths!B$89+(Paths!B67-Paths!B$89)*slump_price,Paths!B67)</f>
        <v>0.868</v>
      </c>
      <c r="I67" s="69" t="n">
        <f aca="false">Labour!AO67</f>
        <v>0.0719873687627478</v>
      </c>
      <c r="J67" s="50" t="n">
        <f aca="false">B67*F67*(1+I67)*G67*H67/1000000</f>
        <v>6870.96547604982</v>
      </c>
      <c r="K67" s="65" t="n">
        <f aca="false">Resources!O67</f>
        <v>143.01</v>
      </c>
      <c r="L67" s="50" t="n">
        <f aca="false">Labour!L67*gw_rel*J67/Labour!B67</f>
        <v>380.561790959134</v>
      </c>
      <c r="M67" s="65" t="n">
        <f aca="false">Champions!AQ67</f>
        <v>294.324633298986</v>
      </c>
      <c r="N67" s="50" t="n">
        <f aca="false">IF(Gulf!E67=1,Gulf!D67,0)</f>
        <v>0</v>
      </c>
      <c r="O67" s="50" t="n">
        <f aca="false">J67+K67+L67+M67+N67</f>
        <v>7688.86190030794</v>
      </c>
      <c r="P67" s="50" t="n">
        <f aca="false">O67*1000000/(B67+People!V67+Labour!L67)</f>
        <v>646.691597600287</v>
      </c>
      <c r="Q67" s="48" t="n">
        <v>319</v>
      </c>
      <c r="R67" s="70" t="n">
        <f aca="false">P67/Q67</f>
        <v>2.02724638746172</v>
      </c>
      <c r="S67" s="50" t="n">
        <f aca="false">O67/H67</f>
        <v>8858.13582984786</v>
      </c>
    </row>
    <row r="68" customFormat="false" ht="14.25" hidden="false" customHeight="false" outlineLevel="0" collapsed="false">
      <c r="A68" s="61" t="n">
        <v>1908</v>
      </c>
      <c r="B68" s="50" t="n">
        <f aca="false">(People!B68+People!L68)/2</f>
        <v>12005754.0971655</v>
      </c>
      <c r="C68" s="66" t="n">
        <f aca="false">Paths!L68*IF($A68&gt;=1896,prod_factor,1)</f>
        <v>0.015</v>
      </c>
      <c r="D68" s="67" t="n">
        <f aca="false">IF(O67&gt;0,MIN(dev_cap,dev_return*'Debt &amp; cash'!N67/O67),0)</f>
        <v>0.00716902294476956</v>
      </c>
      <c r="E68" s="66" t="n">
        <f aca="false">C68+D68</f>
        <v>0.0221690229447696</v>
      </c>
      <c r="F68" s="50" t="n">
        <f aca="false">F67*(1+E68)</f>
        <v>669.498756350235</v>
      </c>
      <c r="G68" s="68" t="n">
        <f aca="false">1-(1-Paths!M68)*IF($A68&gt;=1930,dep_severity,1)</f>
        <v>0.95</v>
      </c>
      <c r="H68" s="68" t="n">
        <f aca="false">IF($A68&gt;=1930,Paths!B$89+(Paths!B68-Paths!B$89)*slump_price,Paths!B68)</f>
        <v>0.892</v>
      </c>
      <c r="I68" s="69" t="n">
        <f aca="false">Labour!AO68</f>
        <v>0.0724889342573388</v>
      </c>
      <c r="J68" s="50" t="n">
        <f aca="false">B68*F68*(1+I68)*G68*H68/1000000</f>
        <v>7305.0046722136</v>
      </c>
      <c r="K68" s="65" t="n">
        <f aca="false">Resources!O68</f>
        <v>148.446666666667</v>
      </c>
      <c r="L68" s="50" t="n">
        <f aca="false">Labour!L68*gw_rel*J68/Labour!B68</f>
        <v>377.759711504514</v>
      </c>
      <c r="M68" s="65" t="n">
        <f aca="false">Champions!AQ68</f>
        <v>319.530574062426</v>
      </c>
      <c r="N68" s="50" t="n">
        <f aca="false">IF(Gulf!E68=1,Gulf!D68,0)</f>
        <v>0</v>
      </c>
      <c r="O68" s="50" t="n">
        <f aca="false">J68+K68+L68+M68+N68</f>
        <v>8150.74162444721</v>
      </c>
      <c r="P68" s="50" t="n">
        <f aca="false">O68*1000000/(B68+People!V68+Labour!L68)</f>
        <v>655.186035267961</v>
      </c>
      <c r="Q68" s="48" t="n">
        <v>334</v>
      </c>
      <c r="R68" s="70" t="n">
        <f aca="false">P68/Q68</f>
        <v>1.96163483613162</v>
      </c>
      <c r="S68" s="50" t="n">
        <f aca="false">O68/H68</f>
        <v>9137.60271799014</v>
      </c>
    </row>
    <row r="69" customFormat="false" ht="14.25" hidden="false" customHeight="false" outlineLevel="0" collapsed="false">
      <c r="A69" s="61" t="n">
        <v>1909</v>
      </c>
      <c r="B69" s="50" t="n">
        <f aca="false">(People!B69+People!L69)/2</f>
        <v>12538662.9639591</v>
      </c>
      <c r="C69" s="66" t="n">
        <f aca="false">Paths!L69*IF($A69&gt;=1896,prod_factor,1)</f>
        <v>0.015</v>
      </c>
      <c r="D69" s="67" t="n">
        <f aca="false">IF(O68&gt;0,MIN(dev_cap,dev_return*'Debt &amp; cash'!N68/O68),0)</f>
        <v>0.00678670513628391</v>
      </c>
      <c r="E69" s="66" t="n">
        <f aca="false">C69+D69</f>
        <v>0.0217867051362839</v>
      </c>
      <c r="F69" s="50" t="n">
        <f aca="false">F68*(1+E69)</f>
        <v>684.084928343946</v>
      </c>
      <c r="G69" s="68" t="n">
        <f aca="false">1-(1-Paths!M69)*IF($A69&gt;=1930,dep_severity,1)</f>
        <v>1</v>
      </c>
      <c r="H69" s="68" t="n">
        <f aca="false">IF($A69&gt;=1930,Paths!B$89+(Paths!B69-Paths!B$89)*slump_price,Paths!B69)</f>
        <v>0.916</v>
      </c>
      <c r="I69" s="69" t="n">
        <f aca="false">Labour!AO69</f>
        <v>0.0736731115283528</v>
      </c>
      <c r="J69" s="50" t="n">
        <f aca="false">B69*F69*(1+I69)*G69*H69/1000000</f>
        <v>8435.84908475496</v>
      </c>
      <c r="K69" s="65" t="n">
        <f aca="false">Resources!O69</f>
        <v>154.915833333333</v>
      </c>
      <c r="L69" s="50" t="n">
        <f aca="false">Labour!L69*gw_rel*J69/Labour!B69</f>
        <v>460.530066700004</v>
      </c>
      <c r="M69" s="65" t="n">
        <f aca="false">Champions!AQ69</f>
        <v>343.804238592613</v>
      </c>
      <c r="N69" s="50" t="n">
        <f aca="false">IF(Gulf!E69=1,Gulf!D69,0)</f>
        <v>0</v>
      </c>
      <c r="O69" s="50" t="n">
        <f aca="false">J69+K69+L69+M69+N69</f>
        <v>9395.09922338091</v>
      </c>
      <c r="P69" s="50" t="n">
        <f aca="false">O69*1000000/(B69+People!V69+Labour!L69)</f>
        <v>721.710605637181</v>
      </c>
      <c r="Q69" s="48" t="n">
        <v>348</v>
      </c>
      <c r="R69" s="70" t="n">
        <f aca="false">P69/Q69</f>
        <v>2.07388105068155</v>
      </c>
      <c r="S69" s="50" t="n">
        <f aca="false">O69/H69</f>
        <v>10256.6585408089</v>
      </c>
    </row>
    <row r="70" customFormat="false" ht="14.25" hidden="false" customHeight="false" outlineLevel="0" collapsed="false">
      <c r="A70" s="61" t="n">
        <v>1910</v>
      </c>
      <c r="B70" s="50" t="n">
        <f aca="false">(People!B70+People!L70)/2</f>
        <v>13088027.011155</v>
      </c>
      <c r="C70" s="66" t="n">
        <f aca="false">Paths!L70*IF($A70&gt;=1896,prod_factor,1)</f>
        <v>0.015</v>
      </c>
      <c r="D70" s="67" t="n">
        <f aca="false">IF(O69&gt;0,MIN(dev_cap,dev_return*'Debt &amp; cash'!N69/O69),0)</f>
        <v>0.00724975505873079</v>
      </c>
      <c r="E70" s="66" t="n">
        <f aca="false">C70+D70</f>
        <v>0.0222497550587308</v>
      </c>
      <c r="F70" s="50" t="n">
        <f aca="false">F69*(1+E70)</f>
        <v>699.305650438969</v>
      </c>
      <c r="G70" s="68" t="n">
        <f aca="false">1-(1-Paths!M70)*IF($A70&gt;=1930,dep_severity,1)</f>
        <v>1</v>
      </c>
      <c r="H70" s="68" t="n">
        <f aca="false">IF($A70&gt;=1930,Paths!B$89+(Paths!B70-Paths!B$89)*slump_price,Paths!B70)</f>
        <v>0.94</v>
      </c>
      <c r="I70" s="69" t="n">
        <f aca="false">Labour!AO70</f>
        <v>0.0736134437477829</v>
      </c>
      <c r="J70" s="50" t="n">
        <f aca="false">B70*F70*(1+I70)*G70*H70/1000000</f>
        <v>9236.70375058733</v>
      </c>
      <c r="K70" s="65" t="n">
        <f aca="false">Resources!O70</f>
        <v>161.7</v>
      </c>
      <c r="L70" s="50" t="n">
        <f aca="false">Labour!L70*gw_rel*J70/Labour!B70</f>
        <v>514.446048476609</v>
      </c>
      <c r="M70" s="65" t="n">
        <f aca="false">Champions!AQ70</f>
        <v>376.461445385338</v>
      </c>
      <c r="N70" s="50" t="n">
        <f aca="false">IF(Gulf!E70=1,Gulf!D70,0)</f>
        <v>0</v>
      </c>
      <c r="O70" s="50" t="n">
        <f aca="false">J70+K70+L70+M70+N70</f>
        <v>10289.3112444493</v>
      </c>
      <c r="P70" s="50" t="n">
        <f aca="false">O70*1000000/(B70+People!V70+Labour!L70)</f>
        <v>756.662078657563</v>
      </c>
      <c r="Q70" s="48" t="n">
        <v>363</v>
      </c>
      <c r="R70" s="70" t="n">
        <f aca="false">P70/Q70</f>
        <v>2.08446853624673</v>
      </c>
      <c r="S70" s="50" t="n">
        <f aca="false">O70/H70</f>
        <v>10946.0757919673</v>
      </c>
    </row>
    <row r="71" customFormat="false" ht="14.25" hidden="false" customHeight="false" outlineLevel="0" collapsed="false">
      <c r="A71" s="61" t="n">
        <v>1911</v>
      </c>
      <c r="B71" s="50" t="n">
        <f aca="false">(People!B71+People!L71)/2</f>
        <v>13671518.8157949</v>
      </c>
      <c r="C71" s="66" t="n">
        <f aca="false">Paths!L71*IF($A71&gt;=1896,prod_factor,1)</f>
        <v>0.015</v>
      </c>
      <c r="D71" s="67" t="n">
        <f aca="false">IF(O70&gt;0,MIN(dev_cap,dev_return*'Debt &amp; cash'!N70/O70),0)</f>
        <v>0.00674036769443954</v>
      </c>
      <c r="E71" s="66" t="n">
        <f aca="false">C71+D71</f>
        <v>0.0217403676944395</v>
      </c>
      <c r="F71" s="50" t="n">
        <f aca="false">F70*(1+E71)</f>
        <v>714.508812410311</v>
      </c>
      <c r="G71" s="68" t="n">
        <f aca="false">1-(1-Paths!M71)*IF($A71&gt;=1930,dep_severity,1)</f>
        <v>1</v>
      </c>
      <c r="H71" s="68" t="n">
        <f aca="false">IF($A71&gt;=1930,Paths!B$89+(Paths!B71-Paths!B$89)*slump_price,Paths!B71)</f>
        <v>0.96</v>
      </c>
      <c r="I71" s="69" t="n">
        <f aca="false">Labour!AO71</f>
        <v>0.0737774101121341</v>
      </c>
      <c r="J71" s="50" t="n">
        <f aca="false">B71*F71*(1+I71)*G71*H71/1000000</f>
        <v>10069.5450730105</v>
      </c>
      <c r="K71" s="65" t="n">
        <f aca="false">Resources!O71</f>
        <v>167.767903333333</v>
      </c>
      <c r="L71" s="50" t="n">
        <f aca="false">Labour!L71*gw_rel*J71/Labour!B71</f>
        <v>566.598354194218</v>
      </c>
      <c r="M71" s="65" t="n">
        <f aca="false">Champions!AQ71</f>
        <v>410.321946901453</v>
      </c>
      <c r="N71" s="50" t="n">
        <f aca="false">IF(Gulf!E71=1,Gulf!D71,0)</f>
        <v>0</v>
      </c>
      <c r="O71" s="50" t="n">
        <f aca="false">J71+K71+L71+M71+N71</f>
        <v>11214.2332774395</v>
      </c>
      <c r="P71" s="50" t="n">
        <f aca="false">O71*1000000/(B71+People!V71+Labour!L71)</f>
        <v>789.178307964107</v>
      </c>
      <c r="Q71" s="48" t="n">
        <v>376</v>
      </c>
      <c r="R71" s="70" t="n">
        <f aca="false">P71/Q71</f>
        <v>2.09887847862794</v>
      </c>
      <c r="S71" s="50" t="n">
        <f aca="false">O71/H71</f>
        <v>11681.4929973328</v>
      </c>
    </row>
    <row r="72" customFormat="false" ht="14.25" hidden="false" customHeight="false" outlineLevel="0" collapsed="false">
      <c r="A72" s="61" t="n">
        <v>1912</v>
      </c>
      <c r="B72" s="50" t="n">
        <f aca="false">(People!B72+People!L72)/2</f>
        <v>14285431.7845642</v>
      </c>
      <c r="C72" s="66" t="n">
        <f aca="false">Paths!L72*IF($A72&gt;=1896,prod_factor,1)</f>
        <v>0.015</v>
      </c>
      <c r="D72" s="67" t="n">
        <f aca="false">IF(O71&gt;0,MIN(dev_cap,dev_return*'Debt &amp; cash'!N71/O71),0)</f>
        <v>0.00643691923430135</v>
      </c>
      <c r="E72" s="66" t="n">
        <f aca="false">C72+D72</f>
        <v>0.0214369192343013</v>
      </c>
      <c r="F72" s="50" t="n">
        <f aca="false">F71*(1+E72)</f>
        <v>729.825680114147</v>
      </c>
      <c r="G72" s="68" t="n">
        <f aca="false">1-(1-Paths!M72)*IF($A72&gt;=1930,dep_severity,1)</f>
        <v>1</v>
      </c>
      <c r="H72" s="68" t="n">
        <f aca="false">IF($A72&gt;=1930,Paths!B$89+(Paths!B72-Paths!B$89)*slump_price,Paths!B72)</f>
        <v>0.98</v>
      </c>
      <c r="I72" s="69" t="n">
        <f aca="false">Labour!AO72</f>
        <v>0.0739192700524647</v>
      </c>
      <c r="J72" s="50" t="n">
        <f aca="false">B72*F72*(1+I72)*G72*H72/1000000</f>
        <v>10972.6170744753</v>
      </c>
      <c r="K72" s="65" t="n">
        <f aca="false">Resources!O72</f>
        <v>174.765336666667</v>
      </c>
      <c r="L72" s="50" t="n">
        <f aca="false">Labour!L72*gw_rel*J72/Labour!B72</f>
        <v>620.725921270725</v>
      </c>
      <c r="M72" s="65" t="n">
        <f aca="false">Champions!AQ72</f>
        <v>462.909783386883</v>
      </c>
      <c r="N72" s="50" t="n">
        <f aca="false">IF(Gulf!E72=1,Gulf!D72,0)</f>
        <v>0</v>
      </c>
      <c r="O72" s="50" t="n">
        <f aca="false">J72+K72+L72+M72+N72</f>
        <v>12231.0181157995</v>
      </c>
      <c r="P72" s="50" t="n">
        <f aca="false">O72*1000000/(B72+People!V72+Labour!L72)</f>
        <v>823.575184273162</v>
      </c>
      <c r="Q72" s="48" t="n">
        <v>390</v>
      </c>
      <c r="R72" s="70" t="n">
        <f aca="false">P72/Q72</f>
        <v>2.11173124172606</v>
      </c>
      <c r="S72" s="50" t="n">
        <f aca="false">O72/H72</f>
        <v>12480.6307304077</v>
      </c>
    </row>
    <row r="73" customFormat="false" ht="14.25" hidden="false" customHeight="false" outlineLevel="0" collapsed="false">
      <c r="A73" s="61" t="n">
        <v>1913</v>
      </c>
      <c r="B73" s="50" t="n">
        <f aca="false">(People!B73+People!L73)/2</f>
        <v>14914205.9351856</v>
      </c>
      <c r="C73" s="66" t="n">
        <f aca="false">Paths!L73*IF($A73&gt;=1896,prod_factor,1)</f>
        <v>0.015</v>
      </c>
      <c r="D73" s="67" t="n">
        <f aca="false">IF(O72&gt;0,MIN(dev_cap,dev_return*'Debt &amp; cash'!N72/O72),0)</f>
        <v>0.00636414600093989</v>
      </c>
      <c r="E73" s="66" t="n">
        <f aca="false">C73+D73</f>
        <v>0.0213641460009399</v>
      </c>
      <c r="F73" s="50" t="n">
        <f aca="false">F72*(1+E73)</f>
        <v>745.417782499341</v>
      </c>
      <c r="G73" s="68" t="n">
        <f aca="false">1-(1-Paths!M73)*IF($A73&gt;=1930,dep_severity,1)</f>
        <v>1</v>
      </c>
      <c r="H73" s="68" t="n">
        <f aca="false">IF($A73&gt;=1930,Paths!B$89+(Paths!B73-Paths!B$89)*slump_price,Paths!B73)</f>
        <v>1</v>
      </c>
      <c r="I73" s="69" t="n">
        <f aca="false">Labour!AO73</f>
        <v>0.0740677873739148</v>
      </c>
      <c r="J73" s="50" t="n">
        <f aca="false">B73*F73*(1+I73)*G73*H73/1000000</f>
        <v>11940.7491888669</v>
      </c>
      <c r="K73" s="65" t="n">
        <f aca="false">Resources!O73</f>
        <v>181.44</v>
      </c>
      <c r="L73" s="50" t="n">
        <f aca="false">Labour!L73*gw_rel*J73/Labour!B73</f>
        <v>681.161730324666</v>
      </c>
      <c r="M73" s="65" t="n">
        <f aca="false">Champions!AQ73</f>
        <v>510.825253359901</v>
      </c>
      <c r="N73" s="50" t="n">
        <f aca="false">IF(Gulf!E73=1,Gulf!D73,0)</f>
        <v>0</v>
      </c>
      <c r="O73" s="50" t="n">
        <f aca="false">J73+K73+L73+M73+N73</f>
        <v>13314.1761725515</v>
      </c>
      <c r="P73" s="50" t="n">
        <f aca="false">O73*1000000/(B73+People!V73+Labour!L73)</f>
        <v>858.438898977638</v>
      </c>
      <c r="Q73" s="48" t="n">
        <v>403</v>
      </c>
      <c r="R73" s="70" t="n">
        <f aca="false">P73/Q73</f>
        <v>2.13012133741349</v>
      </c>
      <c r="S73" s="50" t="n">
        <f aca="false">O73/H73</f>
        <v>13314.1761725515</v>
      </c>
    </row>
    <row r="74" customFormat="false" ht="14.25" hidden="false" customHeight="false" outlineLevel="0" collapsed="false">
      <c r="A74" s="64" t="n">
        <v>1914</v>
      </c>
      <c r="B74" s="50" t="n">
        <f aca="false">(People!B74+People!L74)/2</f>
        <v>15511405.7618699</v>
      </c>
      <c r="C74" s="66" t="n">
        <f aca="false">Paths!L74*IF($A74&gt;=1896,prod_factor,1)</f>
        <v>0.008</v>
      </c>
      <c r="D74" s="67" t="n">
        <f aca="false">IF(O73&gt;0,MIN(dev_cap,dev_return*'Debt &amp; cash'!N73/O73),0)</f>
        <v>0.00618139156304532</v>
      </c>
      <c r="E74" s="66" t="n">
        <f aca="false">C74+D74</f>
        <v>0.0141813915630453</v>
      </c>
      <c r="F74" s="50" t="n">
        <f aca="false">F73*(1+E74)</f>
        <v>755.988843951021</v>
      </c>
      <c r="G74" s="68" t="n">
        <f aca="false">1-(1-Paths!M74)*IF($A74&gt;=1930,dep_severity,1)</f>
        <v>0.97</v>
      </c>
      <c r="H74" s="68" t="n">
        <f aca="false">IF($A74&gt;=1930,Paths!B$89+(Paths!B74-Paths!B$89)*slump_price,Paths!B74)</f>
        <v>1.01</v>
      </c>
      <c r="I74" s="69" t="n">
        <f aca="false">Labour!AO74</f>
        <v>0.0742885870988628</v>
      </c>
      <c r="J74" s="50" t="n">
        <f aca="false">B74*F74*(1+I74)*G74*H74/1000000</f>
        <v>12341.8599914715</v>
      </c>
      <c r="K74" s="65" t="n">
        <f aca="false">Resources!O74</f>
        <v>216.895</v>
      </c>
      <c r="L74" s="50" t="n">
        <f aca="false">Labour!L74*gw_rel*J74/Labour!B74</f>
        <v>677.191602279232</v>
      </c>
      <c r="M74" s="65" t="n">
        <f aca="false">Champions!AQ74</f>
        <v>639.314358421699</v>
      </c>
      <c r="N74" s="50" t="n">
        <f aca="false">IF(Gulf!E74=1,Gulf!D74,0)</f>
        <v>0</v>
      </c>
      <c r="O74" s="50" t="n">
        <f aca="false">J74+K74+L74+M74+N74</f>
        <v>13875.2609521724</v>
      </c>
      <c r="P74" s="50" t="n">
        <f aca="false">O74*1000000/(B74+People!V74+Labour!L74)</f>
        <v>861.43339869422</v>
      </c>
      <c r="Q74" s="48" t="n">
        <v>380</v>
      </c>
      <c r="R74" s="70" t="n">
        <f aca="false">P74/Q74</f>
        <v>2.26692999656374</v>
      </c>
      <c r="S74" s="50" t="n">
        <f aca="false">O74/H74</f>
        <v>13737.8821308638</v>
      </c>
    </row>
    <row r="75" customFormat="false" ht="14.25" hidden="false" customHeight="false" outlineLevel="0" collapsed="false">
      <c r="A75" s="64" t="n">
        <v>1915</v>
      </c>
      <c r="B75" s="50" t="n">
        <f aca="false">(People!B75+People!L75)/2</f>
        <v>16062060.4763471</v>
      </c>
      <c r="C75" s="66" t="n">
        <f aca="false">Paths!L75*IF($A75&gt;=1896,prod_factor,1)</f>
        <v>0.008</v>
      </c>
      <c r="D75" s="67" t="n">
        <f aca="false">IF(O74&gt;0,MIN(dev_cap,dev_return*'Debt &amp; cash'!N74/O74),0)</f>
        <v>0.00314956589358456</v>
      </c>
      <c r="E75" s="66" t="n">
        <f aca="false">C75+D75</f>
        <v>0.0111495658935846</v>
      </c>
      <c r="F75" s="50" t="n">
        <f aca="false">F74*(1+E75)</f>
        <v>764.417791381468</v>
      </c>
      <c r="G75" s="68" t="n">
        <f aca="false">1-(1-Paths!M75)*IF($A75&gt;=1930,dep_severity,1)</f>
        <v>1</v>
      </c>
      <c r="H75" s="68" t="n">
        <f aca="false">IF($A75&gt;=1930,Paths!B$89+(Paths!B75-Paths!B$89)*slump_price,Paths!B75)</f>
        <v>1.04</v>
      </c>
      <c r="I75" s="69" t="n">
        <f aca="false">Labour!AO75</f>
        <v>0.0723851328155842</v>
      </c>
      <c r="J75" s="50" t="n">
        <f aca="false">B75*F75*(1+I75)*G75*H75/1000000</f>
        <v>13693.5536278645</v>
      </c>
      <c r="K75" s="65" t="n">
        <f aca="false">Resources!O75</f>
        <v>252.7</v>
      </c>
      <c r="L75" s="50" t="n">
        <f aca="false">Labour!L75*gw_rel*J75/Labour!B75</f>
        <v>797.734409799335</v>
      </c>
      <c r="M75" s="65" t="n">
        <f aca="false">Champions!AQ75</f>
        <v>782.406810916525</v>
      </c>
      <c r="N75" s="50" t="n">
        <f aca="false">IF(Gulf!E75=1,Gulf!D75,0)</f>
        <v>0</v>
      </c>
      <c r="O75" s="50" t="n">
        <f aca="false">J75+K75+L75+M75+N75</f>
        <v>15526.3948485804</v>
      </c>
      <c r="P75" s="50" t="n">
        <f aca="false">O75*1000000/(B75+People!V75+Labour!L75)</f>
        <v>928.775405998074</v>
      </c>
      <c r="Q75" s="48" t="n">
        <v>430</v>
      </c>
      <c r="R75" s="70" t="n">
        <f aca="false">P75/Q75</f>
        <v>2.15994280464668</v>
      </c>
      <c r="S75" s="50" t="n">
        <f aca="false">O75/H75</f>
        <v>14929.2258159427</v>
      </c>
    </row>
    <row r="76" customFormat="false" ht="14.25" hidden="false" customHeight="false" outlineLevel="0" collapsed="false">
      <c r="A76" s="64" t="n">
        <v>1916</v>
      </c>
      <c r="B76" s="50" t="n">
        <f aca="false">(People!B76+People!L76)/2</f>
        <v>16586895.5231005</v>
      </c>
      <c r="C76" s="66" t="n">
        <f aca="false">Paths!L76*IF($A76&gt;=1896,prod_factor,1)</f>
        <v>0.008</v>
      </c>
      <c r="D76" s="67" t="n">
        <f aca="false">IF(O75&gt;0,MIN(dev_cap,dev_return*'Debt &amp; cash'!N75/O75),0)</f>
        <v>0.00430933895326363</v>
      </c>
      <c r="E76" s="66" t="n">
        <f aca="false">C76+D76</f>
        <v>0.0123093389532636</v>
      </c>
      <c r="F76" s="50" t="n">
        <f aca="false">F75*(1+E76)</f>
        <v>773.827269077488</v>
      </c>
      <c r="G76" s="68" t="n">
        <f aca="false">1-(1-Paths!M76)*IF($A76&gt;=1930,dep_severity,1)</f>
        <v>1</v>
      </c>
      <c r="H76" s="68" t="n">
        <f aca="false">IF($A76&gt;=1930,Paths!B$89+(Paths!B76-Paths!B$89)*slump_price,Paths!B76)</f>
        <v>1.17</v>
      </c>
      <c r="I76" s="69" t="n">
        <f aca="false">Labour!AO76</f>
        <v>0.073190321847342</v>
      </c>
      <c r="J76" s="50" t="n">
        <f aca="false">B76*F76*(1+I76)*G76*H76/1000000</f>
        <v>16116.5376934345</v>
      </c>
      <c r="K76" s="65" t="n">
        <f aca="false">Resources!O76</f>
        <v>360.85</v>
      </c>
      <c r="L76" s="50" t="n">
        <f aca="false">Labour!L76*gw_rel*J76/Labour!B76</f>
        <v>986.851356948844</v>
      </c>
      <c r="M76" s="65" t="n">
        <f aca="false">Champions!AQ76</f>
        <v>953.131407408077</v>
      </c>
      <c r="N76" s="50" t="n">
        <f aca="false">IF(Gulf!E76=1,Gulf!D76,0)</f>
        <v>0</v>
      </c>
      <c r="O76" s="50" t="n">
        <f aca="false">J76+K76+L76+M76+N76</f>
        <v>18417.3704577914</v>
      </c>
      <c r="P76" s="50" t="n">
        <f aca="false">O76*1000000/(B76+People!V76+Labour!L76)</f>
        <v>1064.72007240239</v>
      </c>
      <c r="Q76" s="48" t="n">
        <v>480</v>
      </c>
      <c r="R76" s="70" t="n">
        <f aca="false">P76/Q76</f>
        <v>2.21816681750499</v>
      </c>
      <c r="S76" s="50" t="n">
        <f aca="false">O76/H76</f>
        <v>15741.3422716166</v>
      </c>
    </row>
    <row r="77" customFormat="false" ht="14.25" hidden="false" customHeight="false" outlineLevel="0" collapsed="false">
      <c r="A77" s="64" t="n">
        <v>1917</v>
      </c>
      <c r="B77" s="50" t="n">
        <f aca="false">(People!B77+People!L77)/2</f>
        <v>17078470.1735824</v>
      </c>
      <c r="C77" s="66" t="n">
        <f aca="false">Paths!L77*IF($A77&gt;=1896,prod_factor,1)</f>
        <v>0.008</v>
      </c>
      <c r="D77" s="67" t="n">
        <f aca="false">IF(O76&gt;0,MIN(dev_cap,dev_return*'Debt &amp; cash'!N76/O76),0)</f>
        <v>0.00403000021646298</v>
      </c>
      <c r="E77" s="66" t="n">
        <f aca="false">C77+D77</f>
        <v>0.012030000216463</v>
      </c>
      <c r="F77" s="50" t="n">
        <f aca="false">F76*(1+E77)</f>
        <v>783.136411291995</v>
      </c>
      <c r="G77" s="68" t="n">
        <f aca="false">1-(1-Paths!M77)*IF($A77&gt;=1930,dep_severity,1)</f>
        <v>1</v>
      </c>
      <c r="H77" s="68" t="n">
        <f aca="false">IF($A77&gt;=1930,Paths!B$89+(Paths!B77-Paths!B$89)*slump_price,Paths!B77)</f>
        <v>1.42</v>
      </c>
      <c r="I77" s="69" t="n">
        <f aca="false">Labour!AO77</f>
        <v>0.0734853992465683</v>
      </c>
      <c r="J77" s="50" t="n">
        <f aca="false">B77*F77*(1+I77)*G77*H77/1000000</f>
        <v>20387.8236528578</v>
      </c>
      <c r="K77" s="65" t="n">
        <f aca="false">Resources!O77</f>
        <v>385</v>
      </c>
      <c r="L77" s="50" t="n">
        <f aca="false">Labour!L77*gw_rel*J77/Labour!B77</f>
        <v>1292.44560629458</v>
      </c>
      <c r="M77" s="65" t="n">
        <f aca="false">Champions!AQ77</f>
        <v>1100.01389217095</v>
      </c>
      <c r="N77" s="50" t="n">
        <f aca="false">IF(Gulf!E77=1,Gulf!D77,0)</f>
        <v>0</v>
      </c>
      <c r="O77" s="50" t="n">
        <f aca="false">J77+K77+L77+M77+N77</f>
        <v>23165.2831513233</v>
      </c>
      <c r="P77" s="50" t="n">
        <f aca="false">O77*1000000/(B77+People!V77+Labour!L77)</f>
        <v>1298.7696586967</v>
      </c>
      <c r="Q77" s="48" t="n">
        <v>580</v>
      </c>
      <c r="R77" s="70" t="n">
        <f aca="false">P77/Q77</f>
        <v>2.23925803223568</v>
      </c>
      <c r="S77" s="50" t="n">
        <f aca="false">O77/H77</f>
        <v>16313.5796840305</v>
      </c>
    </row>
    <row r="78" customFormat="false" ht="14.25" hidden="false" customHeight="false" outlineLevel="0" collapsed="false">
      <c r="A78" s="64" t="n">
        <v>1918</v>
      </c>
      <c r="B78" s="50" t="n">
        <f aca="false">(People!B78+People!L78)/2</f>
        <v>17446837.7729829</v>
      </c>
      <c r="C78" s="66" t="n">
        <f aca="false">Paths!L78*IF($A78&gt;=1896,prod_factor,1)</f>
        <v>0.008</v>
      </c>
      <c r="D78" s="67" t="n">
        <f aca="false">IF(O77&gt;0,MIN(dev_cap,dev_return*'Debt &amp; cash'!N77/O77),0)</f>
        <v>0.00457712102010398</v>
      </c>
      <c r="E78" s="66" t="n">
        <f aca="false">C78+D78</f>
        <v>0.012577121020104</v>
      </c>
      <c r="F78" s="50" t="n">
        <f aca="false">F77*(1+E78)</f>
        <v>792.986012712064</v>
      </c>
      <c r="G78" s="68" t="n">
        <f aca="false">1-(1-Paths!M78)*IF($A78&gt;=1930,dep_severity,1)</f>
        <v>1</v>
      </c>
      <c r="H78" s="68" t="n">
        <f aca="false">IF($A78&gt;=1930,Paths!B$89+(Paths!B78-Paths!B$89)*slump_price,Paths!B78)</f>
        <v>1.66</v>
      </c>
      <c r="I78" s="69" t="n">
        <f aca="false">Labour!AO78</f>
        <v>0.0742989421322764</v>
      </c>
      <c r="J78" s="50" t="n">
        <f aca="false">B78*F78*(1+I78)*G78*H78/1000000</f>
        <v>24672.6322725805</v>
      </c>
      <c r="K78" s="65" t="n">
        <f aca="false">Resources!O78</f>
        <v>362.705</v>
      </c>
      <c r="L78" s="50" t="n">
        <f aca="false">Labour!L78*gw_rel*J78/Labour!B78</f>
        <v>1584.74076522466</v>
      </c>
      <c r="M78" s="65" t="n">
        <f aca="false">Champions!AQ78</f>
        <v>1247.10486485712</v>
      </c>
      <c r="N78" s="50" t="n">
        <f aca="false">IF(Gulf!E78=1,Gulf!D78,0)</f>
        <v>0</v>
      </c>
      <c r="O78" s="50" t="n">
        <f aca="false">J78+K78+L78+M78+N78</f>
        <v>27867.1829026622</v>
      </c>
      <c r="P78" s="50" t="n">
        <f aca="false">O78*1000000/(B78+People!V78+Labour!L78)</f>
        <v>1528.53735163412</v>
      </c>
      <c r="Q78" s="48" t="n">
        <v>738</v>
      </c>
      <c r="R78" s="70" t="n">
        <f aca="false">P78/Q78</f>
        <v>2.07118882335247</v>
      </c>
      <c r="S78" s="50" t="n">
        <f aca="false">O78/H78</f>
        <v>16787.459579917</v>
      </c>
    </row>
    <row r="79" customFormat="false" ht="14.25" hidden="false" customHeight="false" outlineLevel="0" collapsed="false">
      <c r="A79" s="64" t="n">
        <v>1919</v>
      </c>
      <c r="B79" s="50" t="n">
        <f aca="false">(People!B79+People!L79)/2</f>
        <v>17870630.2891074</v>
      </c>
      <c r="C79" s="66" t="n">
        <f aca="false">Paths!L79*IF($A79&gt;=1896,prod_factor,1)</f>
        <v>0.008</v>
      </c>
      <c r="D79" s="67" t="n">
        <f aca="false">IF(O78&gt;0,MIN(dev_cap,dev_return*'Debt &amp; cash'!N78/O78),0)</f>
        <v>0.00464121146296925</v>
      </c>
      <c r="E79" s="66" t="n">
        <f aca="false">C79+D79</f>
        <v>0.0126412114629693</v>
      </c>
      <c r="F79" s="50" t="n">
        <f aca="false">F78*(1+E79)</f>
        <v>803.010316585934</v>
      </c>
      <c r="G79" s="68" t="n">
        <f aca="false">1-(1-Paths!M79)*IF($A79&gt;=1930,dep_severity,1)</f>
        <v>1</v>
      </c>
      <c r="H79" s="68" t="n">
        <f aca="false">IF($A79&gt;=1930,Paths!B$89+(Paths!B79-Paths!B$89)*slump_price,Paths!B79)</f>
        <v>1.83</v>
      </c>
      <c r="I79" s="69" t="n">
        <f aca="false">Labour!AO79</f>
        <v>0.0757679943616727</v>
      </c>
      <c r="J79" s="50" t="n">
        <f aca="false">B79*F79*(1+I79)*G79*H79/1000000</f>
        <v>28250.7969694213</v>
      </c>
      <c r="K79" s="65" t="n">
        <f aca="false">Resources!O79</f>
        <v>290.29</v>
      </c>
      <c r="L79" s="50" t="n">
        <f aca="false">Labour!L79*gw_rel*J79/Labour!B79</f>
        <v>1806.92875156756</v>
      </c>
      <c r="M79" s="65" t="n">
        <f aca="false">Champions!AQ79</f>
        <v>1313.07572545373</v>
      </c>
      <c r="N79" s="50" t="n">
        <f aca="false">IF(Gulf!E79=1,Gulf!D79,0)</f>
        <v>0</v>
      </c>
      <c r="O79" s="50" t="n">
        <f aca="false">J79+K79+L79+M79+N79</f>
        <v>31661.0914464426</v>
      </c>
      <c r="P79" s="50" t="n">
        <f aca="false">O79*1000000/(B79+People!V79+Labour!L79)</f>
        <v>1695.76007857332</v>
      </c>
      <c r="Q79" s="48" t="n">
        <v>800</v>
      </c>
      <c r="R79" s="70" t="n">
        <f aca="false">P79/Q79</f>
        <v>2.11970009821665</v>
      </c>
      <c r="S79" s="50" t="n">
        <f aca="false">O79/H79</f>
        <v>17301.1428669085</v>
      </c>
    </row>
    <row r="80" customFormat="false" ht="14.25" hidden="false" customHeight="false" outlineLevel="0" collapsed="false">
      <c r="A80" s="64" t="n">
        <v>1920</v>
      </c>
      <c r="B80" s="50" t="n">
        <f aca="false">(People!B80+People!L80)/2</f>
        <v>18469145.7103107</v>
      </c>
      <c r="C80" s="66" t="n">
        <f aca="false">Paths!L80*IF($A80&gt;=1896,prod_factor,1)</f>
        <v>0.008</v>
      </c>
      <c r="D80" s="67" t="n">
        <f aca="false">IF(O79&gt;0,MIN(dev_cap,dev_return*'Debt &amp; cash'!N79/O79),0)</f>
        <v>0.00777930878913104</v>
      </c>
      <c r="E80" s="66" t="n">
        <f aca="false">C80+D80</f>
        <v>0.015779308789131</v>
      </c>
      <c r="F80" s="50" t="n">
        <f aca="false">F79*(1+E80)</f>
        <v>815.681264332202</v>
      </c>
      <c r="G80" s="68" t="n">
        <f aca="false">1-(1-Paths!M80)*IF($A80&gt;=1930,dep_severity,1)</f>
        <v>1</v>
      </c>
      <c r="H80" s="68" t="n">
        <f aca="false">IF($A80&gt;=1930,Paths!B$89+(Paths!B80-Paths!B$89)*slump_price,Paths!B80)</f>
        <v>2.05</v>
      </c>
      <c r="I80" s="69" t="n">
        <f aca="false">Labour!AO80</f>
        <v>0.078746828004775</v>
      </c>
      <c r="J80" s="50" t="n">
        <f aca="false">B80*F80*(1+I80)*G80*H80/1000000</f>
        <v>33315.0667188816</v>
      </c>
      <c r="K80" s="65" t="n">
        <f aca="false">Resources!O80</f>
        <v>302.75</v>
      </c>
      <c r="L80" s="50" t="n">
        <f aca="false">Labour!L80*gw_rel*J80/Labour!B80</f>
        <v>2083.86761025845</v>
      </c>
      <c r="M80" s="65" t="n">
        <f aca="false">Champions!AQ80</f>
        <v>1385.12457047799</v>
      </c>
      <c r="N80" s="50" t="n">
        <f aca="false">IF(Gulf!E80=1,Gulf!D80,0)</f>
        <v>0</v>
      </c>
      <c r="O80" s="50" t="n">
        <f aca="false">J80+K80+L80+M80+N80</f>
        <v>37086.808899618</v>
      </c>
      <c r="P80" s="50" t="n">
        <f aca="false">O80*1000000/(B80+People!V80+Labour!L80)</f>
        <v>1923.80707853872</v>
      </c>
      <c r="Q80" s="48" t="n">
        <v>860</v>
      </c>
      <c r="R80" s="70" t="n">
        <f aca="false">P80/Q80</f>
        <v>2.23698497504503</v>
      </c>
      <c r="S80" s="50" t="n">
        <f aca="false">O80/H80</f>
        <v>18091.1262924966</v>
      </c>
    </row>
    <row r="81" customFormat="false" ht="14.25" hidden="false" customHeight="false" outlineLevel="0" collapsed="false">
      <c r="A81" s="64" t="n">
        <v>1921</v>
      </c>
      <c r="B81" s="50" t="n">
        <f aca="false">(People!B81+People!L81)/2</f>
        <v>19124062.5365033</v>
      </c>
      <c r="C81" s="66" t="n">
        <f aca="false">Paths!L81*IF($A81&gt;=1896,prod_factor,1)</f>
        <v>0.017</v>
      </c>
      <c r="D81" s="67" t="n">
        <f aca="false">IF(O80&gt;0,MIN(dev_cap,dev_return*'Debt &amp; cash'!N80/O80),0)</f>
        <v>0.00926676808384306</v>
      </c>
      <c r="E81" s="66" t="n">
        <f aca="false">C81+D81</f>
        <v>0.0262667680838431</v>
      </c>
      <c r="F81" s="50" t="n">
        <f aca="false">F80*(1+E81)</f>
        <v>837.106574932752</v>
      </c>
      <c r="G81" s="68" t="n">
        <f aca="false">1-(1-Paths!M81)*IF($A81&gt;=1930,dep_severity,1)</f>
        <v>0.93</v>
      </c>
      <c r="H81" s="68" t="n">
        <f aca="false">IF($A81&gt;=1930,Paths!B$89+(Paths!B81-Paths!B$89)*slump_price,Paths!B81)</f>
        <v>1.7</v>
      </c>
      <c r="I81" s="69" t="n">
        <f aca="false">Labour!AO81</f>
        <v>0.0808666817490618</v>
      </c>
      <c r="J81" s="50" t="n">
        <f aca="false">B81*F81*(1+I81)*G81*H81/1000000</f>
        <v>27356.7755889813</v>
      </c>
      <c r="K81" s="65" t="n">
        <f aca="false">Resources!O81</f>
        <v>224.666944444444</v>
      </c>
      <c r="L81" s="50" t="n">
        <f aca="false">Labour!L81*gw_rel*J81/Labour!B81</f>
        <v>1476.40466470057</v>
      </c>
      <c r="M81" s="65" t="n">
        <f aca="false">Champions!AQ81</f>
        <v>1254.90411515192</v>
      </c>
      <c r="N81" s="50" t="n">
        <f aca="false">IF(Gulf!E81=1,Gulf!D81,0)</f>
        <v>0</v>
      </c>
      <c r="O81" s="50" t="n">
        <f aca="false">J81+K81+L81+M81+N81</f>
        <v>30312.7513132783</v>
      </c>
      <c r="P81" s="50" t="n">
        <f aca="false">O81*1000000/(B81+People!V81+Labour!L81)</f>
        <v>1527.3576937673</v>
      </c>
      <c r="Q81" s="48" t="n">
        <v>644</v>
      </c>
      <c r="R81" s="70" t="n">
        <f aca="false">P81/Q81</f>
        <v>2.37167343752687</v>
      </c>
      <c r="S81" s="50" t="n">
        <f aca="false">O81/H81</f>
        <v>17831.0301842813</v>
      </c>
    </row>
    <row r="82" customFormat="false" ht="14.25" hidden="false" customHeight="false" outlineLevel="0" collapsed="false">
      <c r="A82" s="64" t="n">
        <v>1922</v>
      </c>
      <c r="B82" s="50" t="n">
        <f aca="false">(People!B82+People!L82)/2</f>
        <v>19828677.1146653</v>
      </c>
      <c r="C82" s="66" t="n">
        <f aca="false">Paths!L82*IF($A82&gt;=1896,prod_factor,1)</f>
        <v>0.017</v>
      </c>
      <c r="D82" s="67" t="n">
        <f aca="false">IF(O81&gt;0,MIN(dev_cap,dev_return*'Debt &amp; cash'!N81/O81),0)</f>
        <v>0.00561687613304351</v>
      </c>
      <c r="E82" s="66" t="n">
        <f aca="false">C82+D82</f>
        <v>0.0226168761330435</v>
      </c>
      <c r="F82" s="50" t="n">
        <f aca="false">F81*(1+E82)</f>
        <v>856.039310648162</v>
      </c>
      <c r="G82" s="68" t="n">
        <f aca="false">1-(1-Paths!M82)*IF($A82&gt;=1930,dep_severity,1)</f>
        <v>0.97</v>
      </c>
      <c r="H82" s="68" t="n">
        <f aca="false">IF($A82&gt;=1930,Paths!B$89+(Paths!B82-Paths!B$89)*slump_price,Paths!B82)</f>
        <v>1.58</v>
      </c>
      <c r="I82" s="69" t="n">
        <f aca="false">Labour!AO82</f>
        <v>0.0828812486022959</v>
      </c>
      <c r="J82" s="50" t="n">
        <f aca="false">B82*F82*(1+I82)*G82*H82/1000000</f>
        <v>28170.6653272648</v>
      </c>
      <c r="K82" s="65" t="n">
        <f aca="false">Resources!O82</f>
        <v>261.908888888889</v>
      </c>
      <c r="L82" s="50" t="n">
        <f aca="false">Labour!L82*gw_rel*J82/Labour!B82</f>
        <v>1520.85886824996</v>
      </c>
      <c r="M82" s="65" t="n">
        <f aca="false">Champions!AQ82</f>
        <v>1494.7586884037</v>
      </c>
      <c r="N82" s="50" t="n">
        <f aca="false">IF(Gulf!E82=1,Gulf!D82,0)</f>
        <v>0</v>
      </c>
      <c r="O82" s="50" t="n">
        <f aca="false">J82+K82+L82+M82+N82</f>
        <v>31448.1917728073</v>
      </c>
      <c r="P82" s="50" t="n">
        <f aca="false">O82*1000000/(B82+People!V82+Labour!L82)</f>
        <v>1528.24148553658</v>
      </c>
      <c r="Q82" s="48" t="n">
        <v>680</v>
      </c>
      <c r="R82" s="70" t="n">
        <f aca="false">P82/Q82</f>
        <v>2.24741394931849</v>
      </c>
      <c r="S82" s="50" t="n">
        <f aca="false">O82/H82</f>
        <v>19903.9188435489</v>
      </c>
    </row>
    <row r="83" customFormat="false" ht="14.25" hidden="false" customHeight="false" outlineLevel="0" collapsed="false">
      <c r="A83" s="61" t="n">
        <v>1923</v>
      </c>
      <c r="B83" s="50" t="n">
        <f aca="false">(People!B83+People!L83)/2</f>
        <v>20563562.2530038</v>
      </c>
      <c r="C83" s="66" t="n">
        <f aca="false">Paths!L83*IF($A83&gt;=1896,prod_factor,1)</f>
        <v>0.017</v>
      </c>
      <c r="D83" s="67" t="n">
        <f aca="false">IF(O82&gt;0,MIN(dev_cap,dev_return*'Debt &amp; cash'!N82/O82),0)</f>
        <v>0.0054645251210777</v>
      </c>
      <c r="E83" s="66" t="n">
        <f aca="false">C83+D83</f>
        <v>0.0224645251210777</v>
      </c>
      <c r="F83" s="50" t="n">
        <f aca="false">F82*(1+E83)</f>
        <v>875.269827246848</v>
      </c>
      <c r="G83" s="68" t="n">
        <f aca="false">1-(1-Paths!M83)*IF($A83&gt;=1930,dep_severity,1)</f>
        <v>1</v>
      </c>
      <c r="H83" s="68" t="n">
        <f aca="false">IF($A83&gt;=1930,Paths!B$89+(Paths!B83-Paths!B$89)*slump_price,Paths!B83)</f>
        <v>1.62</v>
      </c>
      <c r="I83" s="69" t="n">
        <f aca="false">Labour!AO83</f>
        <v>0.0864733410548045</v>
      </c>
      <c r="J83" s="50" t="n">
        <f aca="false">B83*F83*(1+I83)*G83*H83/1000000</f>
        <v>31679.2139314627</v>
      </c>
      <c r="K83" s="65" t="n">
        <f aca="false">Resources!O83</f>
        <v>314.79</v>
      </c>
      <c r="L83" s="50" t="n">
        <f aca="false">Labour!L83*gw_rel*J83/Labour!B83</f>
        <v>1836.45342114792</v>
      </c>
      <c r="M83" s="65" t="n">
        <f aca="false">Champions!AQ83</f>
        <v>1750.4450414553</v>
      </c>
      <c r="N83" s="50" t="n">
        <f aca="false">IF(Gulf!E83=1,Gulf!D83,0)</f>
        <v>0</v>
      </c>
      <c r="O83" s="50" t="n">
        <f aca="false">J83+K83+L83+M83+N83</f>
        <v>35580.902394066</v>
      </c>
      <c r="P83" s="50" t="n">
        <f aca="false">O83*1000000/(B83+People!V83+Labour!L83)</f>
        <v>1662.81320370493</v>
      </c>
      <c r="Q83" s="48" t="n">
        <v>770</v>
      </c>
      <c r="R83" s="70" t="n">
        <f aca="false">P83/Q83</f>
        <v>2.15949766714927</v>
      </c>
      <c r="S83" s="50" t="n">
        <f aca="false">O83/H83</f>
        <v>21963.519996337</v>
      </c>
    </row>
    <row r="84" customFormat="false" ht="14.25" hidden="false" customHeight="false" outlineLevel="0" collapsed="false">
      <c r="A84" s="61" t="n">
        <v>1924</v>
      </c>
      <c r="B84" s="50" t="n">
        <f aca="false">(People!B84+People!L84)/2</f>
        <v>21314265.1363005</v>
      </c>
      <c r="C84" s="66" t="n">
        <f aca="false">Paths!L84*IF($A84&gt;=1896,prod_factor,1)</f>
        <v>0.017</v>
      </c>
      <c r="D84" s="67" t="n">
        <f aca="false">IF(O83&gt;0,MIN(dev_cap,dev_return*'Debt &amp; cash'!N83/O83),0)</f>
        <v>0.00752727640564427</v>
      </c>
      <c r="E84" s="66" t="n">
        <f aca="false">C84+D84</f>
        <v>0.0245272764056443</v>
      </c>
      <c r="F84" s="50" t="n">
        <f aca="false">F83*(1+E84)</f>
        <v>896.737812229252</v>
      </c>
      <c r="G84" s="68" t="n">
        <f aca="false">1-(1-Paths!M84)*IF($A84&gt;=1930,dep_severity,1)</f>
        <v>1</v>
      </c>
      <c r="H84" s="68" t="n">
        <f aca="false">IF($A84&gt;=1930,Paths!B$89+(Paths!B84-Paths!B$89)*slump_price,Paths!B84)</f>
        <v>1.62</v>
      </c>
      <c r="I84" s="69" t="n">
        <f aca="false">Labour!AO84</f>
        <v>0.0879472890924516</v>
      </c>
      <c r="J84" s="50" t="n">
        <f aca="false">B84*F84*(1+I84)*G84*H84/1000000</f>
        <v>33686.7191280948</v>
      </c>
      <c r="K84" s="65" t="n">
        <f aca="false">Resources!O84</f>
        <v>364.381111111111</v>
      </c>
      <c r="L84" s="50" t="n">
        <f aca="false">Labour!L84*gw_rel*J84/Labour!B84</f>
        <v>2041.29253782504</v>
      </c>
      <c r="M84" s="65" t="n">
        <f aca="false">Champions!AQ84</f>
        <v>1955.83327771928</v>
      </c>
      <c r="N84" s="50" t="n">
        <f aca="false">IF(Gulf!E84=1,Gulf!D84,0)</f>
        <v>0</v>
      </c>
      <c r="O84" s="50" t="n">
        <f aca="false">J84+K84+L84+M84+N84</f>
        <v>38048.2260547502</v>
      </c>
      <c r="P84" s="50" t="n">
        <f aca="false">O84*1000000/(B84+People!V84+Labour!L84)</f>
        <v>1712.46764945499</v>
      </c>
      <c r="Q84" s="48" t="n">
        <v>760</v>
      </c>
      <c r="R84" s="70" t="n">
        <f aca="false">P84/Q84</f>
        <v>2.25324690717762</v>
      </c>
      <c r="S84" s="50" t="n">
        <f aca="false">O84/H84</f>
        <v>23486.5592930557</v>
      </c>
    </row>
    <row r="85" customFormat="false" ht="14.25" hidden="false" customHeight="false" outlineLevel="0" collapsed="false">
      <c r="A85" s="61" t="n">
        <v>1925</v>
      </c>
      <c r="B85" s="50" t="n">
        <f aca="false">(People!B85+People!L85)/2</f>
        <v>22056527.7316245</v>
      </c>
      <c r="C85" s="66" t="n">
        <f aca="false">Paths!L85*IF($A85&gt;=1896,prod_factor,1)</f>
        <v>0.017</v>
      </c>
      <c r="D85" s="67" t="n">
        <f aca="false">IF(O84&gt;0,MIN(dev_cap,dev_return*'Debt &amp; cash'!N84/O84),0)</f>
        <v>0.00741430160187274</v>
      </c>
      <c r="E85" s="66" t="n">
        <f aca="false">C85+D85</f>
        <v>0.0244143016018727</v>
      </c>
      <c r="F85" s="50" t="n">
        <f aca="false">F84*(1+E85)</f>
        <v>918.63103963482</v>
      </c>
      <c r="G85" s="68" t="n">
        <f aca="false">1-(1-Paths!M85)*IF($A85&gt;=1930,dep_severity,1)</f>
        <v>1</v>
      </c>
      <c r="H85" s="68" t="n">
        <f aca="false">IF($A85&gt;=1930,Paths!B$89+(Paths!B85-Paths!B$89)*slump_price,Paths!B85)</f>
        <v>1.65</v>
      </c>
      <c r="I85" s="69" t="n">
        <f aca="false">Labour!AO85</f>
        <v>0.0881517804439824</v>
      </c>
      <c r="J85" s="50" t="n">
        <f aca="false">B85*F85*(1+I85)*G85*H85/1000000</f>
        <v>36379.0774307065</v>
      </c>
      <c r="K85" s="65" t="n">
        <f aca="false">Resources!O85</f>
        <v>377.222222222222</v>
      </c>
      <c r="L85" s="50" t="n">
        <f aca="false">Labour!L85*gw_rel*J85/Labour!B85</f>
        <v>2278.86206532406</v>
      </c>
      <c r="M85" s="65" t="n">
        <f aca="false">Champions!AQ85</f>
        <v>2128.69900157085</v>
      </c>
      <c r="N85" s="50" t="n">
        <f aca="false">IF(Gulf!E85=1,Gulf!D85,0)</f>
        <v>0</v>
      </c>
      <c r="O85" s="50" t="n">
        <f aca="false">J85+K85+L85+M85+N85</f>
        <v>41163.8607198236</v>
      </c>
      <c r="P85" s="50" t="n">
        <f aca="false">O85*1000000/(B85+People!V85+Labour!L85)</f>
        <v>1787.89116654859</v>
      </c>
      <c r="Q85" s="48" t="n">
        <v>787</v>
      </c>
      <c r="R85" s="70" t="n">
        <f aca="false">P85/Q85</f>
        <v>2.27178038951537</v>
      </c>
      <c r="S85" s="50" t="n">
        <f aca="false">O85/H85</f>
        <v>24947.7943756507</v>
      </c>
    </row>
    <row r="86" customFormat="false" ht="14.25" hidden="false" customHeight="false" outlineLevel="0" collapsed="false">
      <c r="A86" s="61" t="n">
        <v>1926</v>
      </c>
      <c r="B86" s="50" t="n">
        <f aca="false">(People!B86+People!L86)/2</f>
        <v>22796958.6195322</v>
      </c>
      <c r="C86" s="66" t="n">
        <f aca="false">Paths!L86*IF($A86&gt;=1896,prod_factor,1)</f>
        <v>0.017</v>
      </c>
      <c r="D86" s="67" t="n">
        <f aca="false">IF(O85&gt;0,MIN(dev_cap,dev_return*'Debt &amp; cash'!N85/O85),0)</f>
        <v>0.00746286425977156</v>
      </c>
      <c r="E86" s="66" t="n">
        <f aca="false">C86+D86</f>
        <v>0.0244628642597716</v>
      </c>
      <c r="F86" s="50" t="n">
        <f aca="false">F85*(1+E86)</f>
        <v>941.10338606222</v>
      </c>
      <c r="G86" s="68" t="n">
        <f aca="false">1-(1-Paths!M86)*IF($A86&gt;=1930,dep_severity,1)</f>
        <v>1</v>
      </c>
      <c r="H86" s="68" t="n">
        <f aca="false">IF($A86&gt;=1930,Paths!B$89+(Paths!B86-Paths!B$89)*slump_price,Paths!B86)</f>
        <v>1.62</v>
      </c>
      <c r="I86" s="69" t="n">
        <f aca="false">Labour!AO86</f>
        <v>0.0895946841081861</v>
      </c>
      <c r="J86" s="50" t="n">
        <f aca="false">B86*F86*(1+I86)*G86*H86/1000000</f>
        <v>37869.9068784857</v>
      </c>
      <c r="K86" s="65" t="n">
        <f aca="false">Resources!O86</f>
        <v>385.536666666667</v>
      </c>
      <c r="L86" s="50" t="n">
        <f aca="false">Labour!L86*gw_rel*J86/Labour!B86</f>
        <v>2421.56056917679</v>
      </c>
      <c r="M86" s="65" t="n">
        <f aca="false">Champions!AQ86</f>
        <v>2301.92219982847</v>
      </c>
      <c r="N86" s="50" t="n">
        <f aca="false">IF(Gulf!E86=1,Gulf!D86,0)</f>
        <v>0</v>
      </c>
      <c r="O86" s="50" t="n">
        <f aca="false">J86+K86+L86+M86+N86</f>
        <v>42978.9263141576</v>
      </c>
      <c r="P86" s="50" t="n">
        <f aca="false">O86*1000000/(B86+People!V86+Labour!L86)</f>
        <v>1804.52010893482</v>
      </c>
      <c r="Q86" s="48" t="n">
        <v>820</v>
      </c>
      <c r="R86" s="70" t="n">
        <f aca="false">P86/Q86</f>
        <v>2.20063427918881</v>
      </c>
      <c r="S86" s="50" t="n">
        <f aca="false">O86/H86</f>
        <v>26530.2014284923</v>
      </c>
    </row>
    <row r="87" customFormat="false" ht="14.25" hidden="false" customHeight="false" outlineLevel="0" collapsed="false">
      <c r="A87" s="61" t="n">
        <v>1927</v>
      </c>
      <c r="B87" s="50" t="n">
        <f aca="false">(People!B87+People!L87)/2</f>
        <v>23547194.7683172</v>
      </c>
      <c r="C87" s="66" t="n">
        <f aca="false">Paths!L87*IF($A87&gt;=1896,prod_factor,1)</f>
        <v>0.017</v>
      </c>
      <c r="D87" s="67" t="n">
        <f aca="false">IF(O86&gt;0,MIN(dev_cap,dev_return*'Debt &amp; cash'!N86/O86),0)</f>
        <v>0.00731679421626587</v>
      </c>
      <c r="E87" s="66" t="n">
        <f aca="false">C87+D87</f>
        <v>0.0243167942162659</v>
      </c>
      <c r="F87" s="50" t="n">
        <f aca="false">F86*(1+E87)</f>
        <v>963.988003437326</v>
      </c>
      <c r="G87" s="68" t="n">
        <f aca="false">1-(1-Paths!M87)*IF($A87&gt;=1930,dep_severity,1)</f>
        <v>1</v>
      </c>
      <c r="H87" s="68" t="n">
        <f aca="false">IF($A87&gt;=1930,Paths!B$89+(Paths!B87-Paths!B$89)*slump_price,Paths!B87)</f>
        <v>1.58</v>
      </c>
      <c r="I87" s="69" t="n">
        <f aca="false">Labour!AO87</f>
        <v>0.0909721540294292</v>
      </c>
      <c r="J87" s="50" t="n">
        <f aca="false">B87*F87*(1+I87)*G87*H87/1000000</f>
        <v>39127.4511637654</v>
      </c>
      <c r="K87" s="65" t="n">
        <f aca="false">Resources!O87</f>
        <v>415.874861111111</v>
      </c>
      <c r="L87" s="50" t="n">
        <f aca="false">Labour!L87*gw_rel*J87/Labour!B87</f>
        <v>2547.67802985422</v>
      </c>
      <c r="M87" s="65" t="n">
        <f aca="false">Champions!AQ87</f>
        <v>2501.30392148636</v>
      </c>
      <c r="N87" s="50" t="n">
        <f aca="false">IF(Gulf!E87=1,Gulf!D87,0)</f>
        <v>0</v>
      </c>
      <c r="O87" s="50" t="n">
        <f aca="false">J87+K87+L87+M87+N87</f>
        <v>44592.3079762171</v>
      </c>
      <c r="P87" s="50" t="n">
        <f aca="false">O87*1000000/(B87+People!V87+Labour!L87)</f>
        <v>1811.19031425309</v>
      </c>
      <c r="Q87" s="48" t="n">
        <v>805</v>
      </c>
      <c r="R87" s="70" t="n">
        <f aca="false">P87/Q87</f>
        <v>2.24992585621502</v>
      </c>
      <c r="S87" s="50" t="n">
        <f aca="false">O87/H87</f>
        <v>28222.979731783</v>
      </c>
    </row>
    <row r="88" customFormat="false" ht="14.25" hidden="false" customHeight="false" outlineLevel="0" collapsed="false">
      <c r="A88" s="61" t="n">
        <v>1928</v>
      </c>
      <c r="B88" s="50" t="n">
        <f aca="false">(People!B88+People!L88)/2</f>
        <v>24321748.3571708</v>
      </c>
      <c r="C88" s="66" t="n">
        <f aca="false">Paths!L88*IF($A88&gt;=1896,prod_factor,1)</f>
        <v>0.017</v>
      </c>
      <c r="D88" s="67" t="n">
        <f aca="false">IF(O87&gt;0,MIN(dev_cap,dev_return*'Debt &amp; cash'!N87/O87),0)</f>
        <v>0.00695222535587789</v>
      </c>
      <c r="E88" s="66" t="n">
        <f aca="false">C88+D88</f>
        <v>0.0239522253558779</v>
      </c>
      <c r="F88" s="50" t="n">
        <f aca="false">F87*(1+E88)</f>
        <v>987.077661336019</v>
      </c>
      <c r="G88" s="68" t="n">
        <f aca="false">1-(1-Paths!M88)*IF($A88&gt;=1930,dep_severity,1)</f>
        <v>1</v>
      </c>
      <c r="H88" s="68" t="n">
        <f aca="false">IF($A88&gt;=1930,Paths!B$89+(Paths!B88-Paths!B$89)*slump_price,Paths!B88)</f>
        <v>1.6</v>
      </c>
      <c r="I88" s="69" t="n">
        <f aca="false">Labour!AO88</f>
        <v>0.0915389183359532</v>
      </c>
      <c r="J88" s="50" t="n">
        <f aca="false">B88*F88*(1+I88)*G88*H88/1000000</f>
        <v>41928.1134461287</v>
      </c>
      <c r="K88" s="65" t="n">
        <f aca="false">Resources!O88</f>
        <v>445.568425555556</v>
      </c>
      <c r="L88" s="50" t="n">
        <f aca="false">Labour!L88*gw_rel*J88/Labour!B88</f>
        <v>2780.25909475442</v>
      </c>
      <c r="M88" s="65" t="n">
        <f aca="false">Champions!AQ88</f>
        <v>2702.96847690223</v>
      </c>
      <c r="N88" s="50" t="n">
        <f aca="false">IF(Gulf!E88=1,Gulf!D88,0)</f>
        <v>0</v>
      </c>
      <c r="O88" s="50" t="n">
        <f aca="false">J88+K88+L88+M88+N88</f>
        <v>47856.9094433409</v>
      </c>
      <c r="P88" s="50" t="n">
        <f aca="false">O88*1000000/(B88+People!V88+Labour!L88)</f>
        <v>1880.37743404352</v>
      </c>
      <c r="Q88" s="48" t="n">
        <v>815</v>
      </c>
      <c r="R88" s="70" t="n">
        <f aca="false">P88/Q88</f>
        <v>2.30721157551353</v>
      </c>
      <c r="S88" s="50" t="n">
        <f aca="false">O88/H88</f>
        <v>29910.568402088</v>
      </c>
    </row>
    <row r="89" customFormat="false" ht="14.25" hidden="false" customHeight="false" outlineLevel="0" collapsed="false">
      <c r="A89" s="61" t="n">
        <v>1929</v>
      </c>
      <c r="B89" s="50" t="n">
        <f aca="false">(People!B89+People!L89)/2</f>
        <v>25116764.3053493</v>
      </c>
      <c r="C89" s="66" t="n">
        <f aca="false">Paths!L89*IF($A89&gt;=1896,prod_factor,1)</f>
        <v>0.017</v>
      </c>
      <c r="D89" s="67" t="n">
        <f aca="false">IF(O88&gt;0,MIN(dev_cap,dev_return*'Debt &amp; cash'!N88/O88),0)</f>
        <v>0.00846886365860664</v>
      </c>
      <c r="E89" s="66" t="n">
        <f aca="false">C89+D89</f>
        <v>0.0254688636586066</v>
      </c>
      <c r="F89" s="50" t="n">
        <f aca="false">F88*(1+E89)</f>
        <v>1012.21740771304</v>
      </c>
      <c r="G89" s="68" t="n">
        <f aca="false">1-(1-Paths!M89)*IF($A89&gt;=1930,dep_severity,1)</f>
        <v>1</v>
      </c>
      <c r="H89" s="68" t="n">
        <f aca="false">IF($A89&gt;=1930,Paths!B$89+(Paths!B89-Paths!B$89)*slump_price,Paths!B89)</f>
        <v>1.6</v>
      </c>
      <c r="I89" s="69" t="n">
        <f aca="false">Labour!AO89</f>
        <v>0.0922606711358874</v>
      </c>
      <c r="J89" s="50" t="n">
        <f aca="false">B89*F89*(1+I89)*G89*H89/1000000</f>
        <v>44430.7629725919</v>
      </c>
      <c r="K89" s="65" t="n">
        <f aca="false">Resources!O89</f>
        <v>472.5</v>
      </c>
      <c r="L89" s="50" t="n">
        <f aca="false">Labour!L89*gw_rel*J89/Labour!B89</f>
        <v>2980.7437629073</v>
      </c>
      <c r="M89" s="65" t="n">
        <f aca="false">Champions!AQ89</f>
        <v>2897.3220134825</v>
      </c>
      <c r="N89" s="50" t="n">
        <f aca="false">IF(Gulf!E89=1,Gulf!D89,0)</f>
        <v>0</v>
      </c>
      <c r="O89" s="50" t="n">
        <f aca="false">J89+K89+L89+M89+N89</f>
        <v>50781.3287489817</v>
      </c>
      <c r="P89" s="50" t="n">
        <f aca="false">O89*1000000/(B89+People!V89+Labour!L89)</f>
        <v>1931.12237275492</v>
      </c>
      <c r="Q89" s="48" t="n">
        <v>859</v>
      </c>
      <c r="R89" s="70" t="n">
        <f aca="false">P89/Q89</f>
        <v>2.24810520693239</v>
      </c>
      <c r="S89" s="50" t="n">
        <f aca="false">O89/H89</f>
        <v>31738.3304681136</v>
      </c>
    </row>
    <row r="90" customFormat="false" ht="14.25" hidden="false" customHeight="false" outlineLevel="0" collapsed="false">
      <c r="A90" s="61" t="n">
        <v>1930</v>
      </c>
      <c r="B90" s="50" t="n">
        <f aca="false">(People!B90+People!L90)/2</f>
        <v>25829028.5428359</v>
      </c>
      <c r="C90" s="66" t="n">
        <f aca="false">Paths!L90*IF($A90&gt;=1896,prod_factor,1)</f>
        <v>0</v>
      </c>
      <c r="D90" s="67" t="n">
        <f aca="false">IF(O89&gt;0,MIN(dev_cap,dev_return*'Debt &amp; cash'!N89/O89),0)</f>
        <v>0.0086240033497194</v>
      </c>
      <c r="E90" s="66" t="n">
        <f aca="false">C90+D90</f>
        <v>0.0086240033497194</v>
      </c>
      <c r="F90" s="50" t="n">
        <f aca="false">F89*(1+E90)</f>
        <v>1020.9467740278</v>
      </c>
      <c r="G90" s="68" t="n">
        <f aca="false">1-(1-Paths!M90)*IF($A90&gt;=1930,dep_severity,1)</f>
        <v>0.94</v>
      </c>
      <c r="H90" s="68" t="n">
        <f aca="false">IF($A90&gt;=1930,Paths!B$89+(Paths!B90-Paths!B$89)*slump_price,Paths!B90)</f>
        <v>1.558</v>
      </c>
      <c r="I90" s="69" t="n">
        <f aca="false">Labour!AO90</f>
        <v>0.0931511482122293</v>
      </c>
      <c r="J90" s="50" t="n">
        <f aca="false">B90*F90*(1+I90)*G90*H90/1000000</f>
        <v>42216.9345923213</v>
      </c>
      <c r="K90" s="65" t="n">
        <f aca="false">Resources!O90</f>
        <v>329</v>
      </c>
      <c r="L90" s="50" t="n">
        <f aca="false">Labour!L90*gw_rel*J90/Labour!B90</f>
        <v>2592.72607354905</v>
      </c>
      <c r="M90" s="65" t="n">
        <f aca="false">Champions!AQ90</f>
        <v>2474.55259004819</v>
      </c>
      <c r="N90" s="50" t="n">
        <f aca="false">IF(Gulf!E90=1,Gulf!D90,0)</f>
        <v>0</v>
      </c>
      <c r="O90" s="50" t="n">
        <f aca="false">J90+K90+L90+M90+N90</f>
        <v>47613.2132559185</v>
      </c>
      <c r="P90" s="50" t="n">
        <f aca="false">O90*1000000/(B90+People!V90+Labour!L90)</f>
        <v>1767.41791499487</v>
      </c>
      <c r="Q90" s="48" t="n">
        <v>748</v>
      </c>
      <c r="R90" s="70" t="n">
        <f aca="false">P90/Q90</f>
        <v>2.36285817512683</v>
      </c>
      <c r="S90" s="50" t="n">
        <f aca="false">O90/H90</f>
        <v>30560.4706392288</v>
      </c>
    </row>
    <row r="91" customFormat="false" ht="14.25" hidden="false" customHeight="false" outlineLevel="0" collapsed="false">
      <c r="A91" s="61" t="n">
        <v>1931</v>
      </c>
      <c r="B91" s="50" t="n">
        <f aca="false">(People!B91+People!L91)/2</f>
        <v>26425667.5666774</v>
      </c>
      <c r="C91" s="66" t="n">
        <f aca="false">Paths!L91*IF($A91&gt;=1896,prod_factor,1)</f>
        <v>0</v>
      </c>
      <c r="D91" s="67" t="n">
        <f aca="false">IF(O90&gt;0,MIN(dev_cap,dev_return*'Debt &amp; cash'!N90/O90),0)</f>
        <v>0.00603793628666955</v>
      </c>
      <c r="E91" s="66" t="n">
        <f aca="false">C91+D91</f>
        <v>0.00603793628666955</v>
      </c>
      <c r="F91" s="50" t="n">
        <f aca="false">F90*(1+E91)</f>
        <v>1027.11118560146</v>
      </c>
      <c r="G91" s="68" t="n">
        <f aca="false">1-(1-Paths!M91)*IF($A91&gt;=1930,dep_severity,1)</f>
        <v>0.89</v>
      </c>
      <c r="H91" s="68" t="n">
        <f aca="false">IF($A91&gt;=1930,Paths!B$89+(Paths!B91-Paths!B$89)*slump_price,Paths!B91)</f>
        <v>1.462</v>
      </c>
      <c r="I91" s="69" t="n">
        <f aca="false">Labour!AO91</f>
        <v>0.0937236679384052</v>
      </c>
      <c r="J91" s="50" t="n">
        <f aca="false">B91*F91*(1+I91)*G91*H91/1000000</f>
        <v>38626.7719608459</v>
      </c>
      <c r="K91" s="65" t="n">
        <f aca="false">Resources!O91</f>
        <v>186.9</v>
      </c>
      <c r="L91" s="50" t="n">
        <f aca="false">Labour!L91*gw_rel*J91/Labour!B91</f>
        <v>2035.39805282291</v>
      </c>
      <c r="M91" s="65" t="n">
        <f aca="false">Champions!AQ91</f>
        <v>2104.98390053676</v>
      </c>
      <c r="N91" s="50" t="n">
        <f aca="false">IF(Gulf!E91=1,Gulf!D91,0)</f>
        <v>0</v>
      </c>
      <c r="O91" s="50" t="n">
        <f aca="false">J91+K91+L91+M91+N91</f>
        <v>42954.0539142056</v>
      </c>
      <c r="P91" s="50" t="n">
        <f aca="false">O91*1000000/(B91+People!V91+Labour!L91)</f>
        <v>1567.64337638761</v>
      </c>
      <c r="Q91" s="48" t="n">
        <v>624</v>
      </c>
      <c r="R91" s="70" t="n">
        <f aca="false">P91/Q91</f>
        <v>2.51224900062117</v>
      </c>
      <c r="S91" s="50" t="n">
        <f aca="false">O91/H91</f>
        <v>29380.337834614</v>
      </c>
    </row>
    <row r="92" customFormat="false" ht="14.25" hidden="false" customHeight="false" outlineLevel="0" collapsed="false">
      <c r="A92" s="61" t="n">
        <v>1932</v>
      </c>
      <c r="B92" s="50" t="n">
        <f aca="false">(People!B92+People!L92)/2</f>
        <v>27013535.7255327</v>
      </c>
      <c r="C92" s="66" t="n">
        <f aca="false">Paths!L92*IF($A92&gt;=1896,prod_factor,1)</f>
        <v>0</v>
      </c>
      <c r="D92" s="67" t="n">
        <f aca="false">IF(O91&gt;0,MIN(dev_cap,dev_return*'Debt &amp; cash'!N91/O91),0)</f>
        <v>0.00172746162064509</v>
      </c>
      <c r="E92" s="66" t="n">
        <f aca="false">C92+D92</f>
        <v>0.00172746162064509</v>
      </c>
      <c r="F92" s="50" t="n">
        <f aca="false">F91*(1+E92)</f>
        <v>1028.88548075473</v>
      </c>
      <c r="G92" s="68" t="n">
        <f aca="false">1-(1-Paths!M92)*IF($A92&gt;=1930,dep_severity,1)</f>
        <v>0.86</v>
      </c>
      <c r="H92" s="68" t="n">
        <f aca="false">IF($A92&gt;=1930,Paths!B$89+(Paths!B92-Paths!B$89)*slump_price,Paths!B92)</f>
        <v>1.372</v>
      </c>
      <c r="I92" s="69" t="n">
        <f aca="false">Labour!AO92</f>
        <v>0.0954831416411457</v>
      </c>
      <c r="J92" s="50" t="n">
        <f aca="false">B92*F92*(1+I92)*G92*H92/1000000</f>
        <v>35925.8234546612</v>
      </c>
      <c r="K92" s="65" t="n">
        <f aca="false">Resources!O92</f>
        <v>152.145</v>
      </c>
      <c r="L92" s="50" t="n">
        <f aca="false">Labour!L92*gw_rel*J92/Labour!B92</f>
        <v>1627.45953867121</v>
      </c>
      <c r="M92" s="65" t="n">
        <f aca="false">Champions!AQ92</f>
        <v>1789.90539750499</v>
      </c>
      <c r="N92" s="50" t="n">
        <f aca="false">IF(Gulf!E92=1,Gulf!D92,0)</f>
        <v>0</v>
      </c>
      <c r="O92" s="50" t="n">
        <f aca="false">J92+K92+L92+M92+N92</f>
        <v>39495.3333908374</v>
      </c>
      <c r="P92" s="50" t="n">
        <f aca="false">O92*1000000/(B92+People!V92+Labour!L92)</f>
        <v>1417.11975022343</v>
      </c>
      <c r="Q92" s="48" t="n">
        <v>476</v>
      </c>
      <c r="R92" s="70" t="n">
        <f aca="false">P92/Q92</f>
        <v>2.97714233240216</v>
      </c>
      <c r="S92" s="50" t="n">
        <f aca="false">O92/H92</f>
        <v>28786.6861449252</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55" hidden="false" customHeight="false" outlineLevel="0" collapsed="false">
      <c r="A1" s="19" t="s">
        <v>1246</v>
      </c>
    </row>
    <row r="2" customFormat="false" ht="14.25" hidden="false" customHeight="false" outlineLevel="0" collapsed="false">
      <c r="A2" s="3" t="s">
        <v>1247</v>
      </c>
    </row>
    <row r="3" customFormat="false" ht="14.25" hidden="false" customHeight="false" outlineLevel="0" collapsed="false">
      <c r="A3" s="20" t="s">
        <v>1166</v>
      </c>
    </row>
    <row r="4" customFormat="false" ht="14.25" hidden="false" customHeight="false" outlineLevel="0" collapsed="false">
      <c r="B4" s="58" t="s">
        <v>1248</v>
      </c>
      <c r="C4" s="58"/>
      <c r="D4" s="58"/>
      <c r="E4" s="58"/>
      <c r="F4" s="58"/>
      <c r="G4" s="58" t="s">
        <v>1249</v>
      </c>
      <c r="H4" s="58"/>
      <c r="I4" s="58" t="s">
        <v>125</v>
      </c>
      <c r="J4" s="58"/>
      <c r="K4" s="58"/>
      <c r="L4" s="58"/>
      <c r="M4" s="58"/>
      <c r="N4" s="58" t="s">
        <v>1250</v>
      </c>
      <c r="O4" s="58"/>
      <c r="P4" s="58" t="s">
        <v>1251</v>
      </c>
      <c r="Q4" s="58"/>
      <c r="R4" s="58"/>
    </row>
    <row r="5" customFormat="false" ht="54" hidden="false" customHeight="true" outlineLevel="0" collapsed="false">
      <c r="A5" s="60" t="s">
        <v>103</v>
      </c>
      <c r="B5" s="7" t="s">
        <v>1252</v>
      </c>
      <c r="C5" s="7" t="s">
        <v>1253</v>
      </c>
      <c r="D5" s="7" t="s">
        <v>1254</v>
      </c>
      <c r="E5" s="7" t="s">
        <v>1255</v>
      </c>
      <c r="F5" s="7" t="s">
        <v>1256</v>
      </c>
      <c r="G5" s="7" t="s">
        <v>1257</v>
      </c>
      <c r="H5" s="7" t="s">
        <v>1258</v>
      </c>
      <c r="I5" s="7" t="s">
        <v>1259</v>
      </c>
      <c r="J5" s="7" t="s">
        <v>1260</v>
      </c>
      <c r="K5" s="7" t="s">
        <v>14</v>
      </c>
      <c r="L5" s="7" t="s">
        <v>1261</v>
      </c>
      <c r="M5" s="7" t="s">
        <v>1262</v>
      </c>
      <c r="N5" s="7" t="s">
        <v>1263</v>
      </c>
      <c r="O5" s="7" t="s">
        <v>1264</v>
      </c>
      <c r="P5" s="7" t="s">
        <v>1265</v>
      </c>
      <c r="Q5" s="7" t="s">
        <v>1266</v>
      </c>
      <c r="R5" s="7" t="s">
        <v>1267</v>
      </c>
    </row>
    <row r="6" customFormat="false" ht="14.25" hidden="false" customHeight="fals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fals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fals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fals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fals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fals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fals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fals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fals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fals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fals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fals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fals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fals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fals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fals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fals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fals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fals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fals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fals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fals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fals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fals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fals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fals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fals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fals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fals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fals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fals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fals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fals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fals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fals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fals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fals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fals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fals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fals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fals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fals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fals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fals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fals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fals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fals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fals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fals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fals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fals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fals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fals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fals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fals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fals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fals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fals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fals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fals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fals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fals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fals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fals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fals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fals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fals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fals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fals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fals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fals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fals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fals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fals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fals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fals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fals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fals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fals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fals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fals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fals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fals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fals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fals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fals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fals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55" hidden="false" customHeight="false" outlineLevel="0" collapsed="false">
      <c r="A1" s="19" t="s">
        <v>69</v>
      </c>
    </row>
    <row r="2" customFormat="false" ht="14.25" hidden="false" customHeight="false" outlineLevel="0" collapsed="false">
      <c r="A2" s="3" t="s">
        <v>1268</v>
      </c>
    </row>
    <row r="3" customFormat="false" ht="14.25" hidden="false" customHeight="false" outlineLevel="0" collapsed="false">
      <c r="A3" s="20" t="s">
        <v>1166</v>
      </c>
    </row>
    <row r="4" customFormat="false" ht="14.25" hidden="false" customHeight="false" outlineLevel="0" collapsed="false">
      <c r="B4" s="58" t="s">
        <v>1269</v>
      </c>
      <c r="C4" s="58"/>
      <c r="D4" s="58"/>
      <c r="E4" s="58"/>
      <c r="F4" s="58"/>
      <c r="G4" s="58"/>
      <c r="H4" s="58"/>
      <c r="I4" s="58"/>
      <c r="J4" s="58"/>
      <c r="K4" s="58"/>
      <c r="L4" s="58"/>
      <c r="M4" s="58"/>
      <c r="N4" s="58" t="s">
        <v>1270</v>
      </c>
      <c r="O4" s="58"/>
      <c r="P4" s="58"/>
      <c r="Q4" s="58"/>
      <c r="R4" s="58"/>
      <c r="S4" s="58"/>
      <c r="T4" s="58"/>
      <c r="U4" s="58"/>
      <c r="V4" s="58"/>
      <c r="W4" s="58"/>
      <c r="X4" s="58"/>
      <c r="Y4" s="58"/>
      <c r="Z4" s="58" t="s">
        <v>1271</v>
      </c>
      <c r="AA4" s="58"/>
      <c r="AB4" s="58"/>
      <c r="AC4" s="58"/>
    </row>
    <row r="5" customFormat="false" ht="54" hidden="false" customHeight="true" outlineLevel="0" collapsed="false">
      <c r="A5" s="60" t="s">
        <v>103</v>
      </c>
      <c r="B5" s="7" t="s">
        <v>1272</v>
      </c>
      <c r="C5" s="7" t="s">
        <v>1273</v>
      </c>
      <c r="D5" s="7" t="s">
        <v>1274</v>
      </c>
      <c r="E5" s="7" t="s">
        <v>1275</v>
      </c>
      <c r="F5" s="7" t="s">
        <v>1276</v>
      </c>
      <c r="G5" s="7" t="s">
        <v>1277</v>
      </c>
      <c r="H5" s="7" t="s">
        <v>1278</v>
      </c>
      <c r="I5" s="7" t="s">
        <v>1279</v>
      </c>
      <c r="J5" s="7" t="s">
        <v>1280</v>
      </c>
      <c r="K5" s="7" t="s">
        <v>1281</v>
      </c>
      <c r="L5" s="7" t="s">
        <v>333</v>
      </c>
      <c r="M5" s="7" t="s">
        <v>1282</v>
      </c>
      <c r="N5" s="7" t="s">
        <v>1283</v>
      </c>
      <c r="O5" s="7" t="s">
        <v>35</v>
      </c>
      <c r="P5" s="7" t="s">
        <v>1284</v>
      </c>
      <c r="Q5" s="7" t="s">
        <v>1285</v>
      </c>
      <c r="R5" s="7" t="s">
        <v>1286</v>
      </c>
      <c r="S5" s="7" t="s">
        <v>1287</v>
      </c>
      <c r="T5" s="7" t="s">
        <v>1288</v>
      </c>
      <c r="U5" s="7" t="s">
        <v>1289</v>
      </c>
      <c r="V5" s="7" t="s">
        <v>1290</v>
      </c>
      <c r="W5" s="7" t="s">
        <v>1291</v>
      </c>
      <c r="X5" s="7" t="s">
        <v>1292</v>
      </c>
      <c r="Y5" s="7" t="s">
        <v>1293</v>
      </c>
      <c r="Z5" s="7" t="s">
        <v>1294</v>
      </c>
      <c r="AA5" s="7" t="s">
        <v>1295</v>
      </c>
      <c r="AB5" s="7" t="s">
        <v>1296</v>
      </c>
      <c r="AC5" s="7" t="s">
        <v>29</v>
      </c>
    </row>
    <row r="6" customFormat="false" ht="14.25" hidden="false" customHeight="false" outlineLevel="0" collapsed="false">
      <c r="A6" s="61" t="n">
        <v>1846</v>
      </c>
      <c r="B6" s="56" t="n">
        <f aca="false">Economy!O6*Paths!N6*Paths!O6*cust_coll</f>
        <v>0.41256702</v>
      </c>
      <c r="C6" s="56" t="n">
        <f aca="false">(Economy!J6+Economy!L6+Economy!M6+Economy!N6)*Paths!P6*Paths!Q6</f>
        <v>0.4870582875</v>
      </c>
      <c r="D6" s="56" t="n">
        <f aca="false">Resources!P6+Resources!Q6</f>
        <v>0</v>
      </c>
      <c r="E6" s="56" t="n">
        <f aca="false">Paths!S6*(1-canal_opcost)*canal_share</f>
        <v>0</v>
      </c>
      <c r="F6" s="56" t="n">
        <f aca="false">Economy!O6*Paths!R6</f>
        <v>0</v>
      </c>
      <c r="G6" s="56" t="n">
        <f aca="false">SUMPRODUCT((Events!$B$6:$B$174&lt;=$A6)*(Events!$C$6:$C$174&gt;=$A6)*(Events!$E$6:$E$174="Receipt")*Events!$H$6:$H$174)</f>
        <v>0</v>
      </c>
      <c r="H6" s="72" t="n">
        <f aca="false">Loans!Y6</f>
        <v>0</v>
      </c>
      <c r="I6" s="56" t="n">
        <f aca="false">0</f>
        <v>0</v>
      </c>
      <c r="J6" s="72" t="n">
        <f aca="false">Labour!Q6</f>
        <v>0</v>
      </c>
      <c r="K6" s="72" t="n">
        <f aca="false">Champions!BD6</f>
        <v>0</v>
      </c>
      <c r="L6" s="72" t="n">
        <f aca="false">Abroad!N6</f>
        <v>0</v>
      </c>
      <c r="M6" s="56" t="n">
        <f aca="false">SUM(B6:L6)</f>
        <v>0.8996253075</v>
      </c>
      <c r="N6" s="56" t="n">
        <f aca="false">(Paths!W6*army_cost+Paths!X6*res_cost)*Economy!H6/1000000</f>
        <v>0.259</v>
      </c>
      <c r="O6" s="72" t="n">
        <f aca="false">Navy!Y6</f>
        <v>0</v>
      </c>
      <c r="P6" s="56" t="n">
        <f aca="false">SUMPRODUCT((Events!$B$6:$B$174&lt;=$A6)*(Events!$C$6:$C$174&gt;=$A6)*(Events!$E$6:$E$174="War &amp; operations")*Events!$H$6:$H$174)</f>
        <v>0</v>
      </c>
      <c r="Q6" s="56" t="n">
        <f aca="false">Economy!O6*Paths!T6</f>
        <v>0.34380585</v>
      </c>
      <c r="R6" s="56" t="n">
        <f aca="false">Economy!O6*Paths!U6</f>
        <v>0.19100325</v>
      </c>
      <c r="S6" s="56" t="n">
        <f aca="false">Economy!O6*Paths!V6+SUMPRODUCT((Events!$B$6:$B$174&lt;=$A6)*(Events!$C$6:$C$174&gt;=$A6)*(Events!$E$6:$E$174="Programme")*Events!$H$6:$H$174)+SUMPRODUCT((Events!$B$6:$B$174&lt;=$A6)*(Events!$C$6:$C$174&gt;=$A6)*(Events!$E$6:$E$174="Investment")*Events!$H$6:$H$174)</f>
        <v>0</v>
      </c>
      <c r="T6" s="56" t="n">
        <f aca="false">(People!T6*assist_cost+Labour!AD6*talent_cost+Labour!L6*gw_admin)*Economy!H6/1000000</f>
        <v>0.01776</v>
      </c>
      <c r="U6" s="56" t="n">
        <f aca="false">SUMPRODUCT((Events!$B$6:$B$174&lt;=$A6)*(Events!$C$6:$C$174&gt;=$A6)*(Events!$E$6:$E$174="Purchase")*Events!$H$6:$H$174)</f>
        <v>0</v>
      </c>
      <c r="V6" s="56" t="n">
        <f aca="false">SUMPRODUCT((Events!$B$6:$B$174&lt;=$A6)*(Events!$C$6:$C$174&gt;=$A6)*(Events!$E$6:$E$174="Subsidy &amp; guarantee")*Events!$H$6:$H$174)+SUMPRODUCT((Events!$B$6:$B$174&lt;=$A6)*(Events!$C$6:$C$174&gt;=$A6)*(Events!$E$6:$E$174="Relief")*Events!$H$6:$H$174)</f>
        <v>0</v>
      </c>
      <c r="W6" s="56" t="n">
        <f aca="false">SUMPRODUCT((Events!$B$6:$B$174&lt;=$A6)*(Events!$C$6:$C$174&gt;=$A6)*(Events!$E$6:$E$174="Bank rescue &amp; capital")*Events!$H$6:$H$174)</f>
        <v>0</v>
      </c>
      <c r="X6" s="56" t="n">
        <f aca="false">0</f>
        <v>0</v>
      </c>
      <c r="Y6" s="56" t="n">
        <f aca="false">SUM(N6:X6)</f>
        <v>0.8115691</v>
      </c>
      <c r="Z6" s="56" t="n">
        <f aca="false">M6-Y6</f>
        <v>0.0880562075</v>
      </c>
      <c r="AA6" s="66" t="n">
        <f aca="false">M6/Economy!O6</f>
        <v>0.0471</v>
      </c>
      <c r="AB6" s="66" t="n">
        <f aca="false">Y6/Economy!O6</f>
        <v>0.0424898058017337</v>
      </c>
      <c r="AC6" s="66" t="n">
        <f aca="false">(N6+O6+P6)/Economy!O6</f>
        <v>0.0135599786914621</v>
      </c>
    </row>
    <row r="7" customFormat="false" ht="14.25" hidden="false" customHeight="false" outlineLevel="0" collapsed="false">
      <c r="A7" s="61" t="n">
        <v>1847</v>
      </c>
      <c r="B7" s="56" t="n">
        <f aca="false">Economy!O7*Paths!N7*Paths!O7*cust_coll</f>
        <v>0.435647334014568</v>
      </c>
      <c r="C7" s="56" t="n">
        <f aca="false">(Economy!J7+Economy!L7+Economy!M7+Economy!N7)*Paths!P7*Paths!Q7</f>
        <v>0.520026168285</v>
      </c>
      <c r="D7" s="56" t="n">
        <f aca="false">Resources!P7+Resources!Q7</f>
        <v>0</v>
      </c>
      <c r="E7" s="56" t="n">
        <f aca="false">Paths!S7*(1-canal_opcost)*canal_share</f>
        <v>0</v>
      </c>
      <c r="F7" s="56" t="n">
        <f aca="false">Economy!O7*Paths!R7</f>
        <v>0.0004078636614</v>
      </c>
      <c r="G7" s="56" t="n">
        <f aca="false">SUMPRODUCT((Events!$B$6:$B$174&lt;=$A7)*(Events!$C$6:$C$174&gt;=$A7)*(Events!$E$6:$E$174="Receipt")*Events!$H$6:$H$174)</f>
        <v>0</v>
      </c>
      <c r="H7" s="72" t="n">
        <f aca="false">Loans!Y7</f>
        <v>0</v>
      </c>
      <c r="I7" s="56" t="n">
        <f aca="false">'Debt &amp; cash'!S6*fund_yield</f>
        <v>0</v>
      </c>
      <c r="J7" s="72" t="n">
        <f aca="false">Labour!Q7</f>
        <v>0</v>
      </c>
      <c r="K7" s="72" t="n">
        <f aca="false">Champions!BD7</f>
        <v>0</v>
      </c>
      <c r="L7" s="72" t="n">
        <f aca="false">Abroad!N7</f>
        <v>0.0002292039</v>
      </c>
      <c r="M7" s="56" t="n">
        <f aca="false">SUM(B7:L7)</f>
        <v>0.956310569860968</v>
      </c>
      <c r="N7" s="56" t="n">
        <f aca="false">(Paths!W7*army_cost+Paths!X7*res_cost)*Economy!H7/1000000</f>
        <v>0.7881</v>
      </c>
      <c r="O7" s="72" t="n">
        <f aca="false">Navy!Y7</f>
        <v>0</v>
      </c>
      <c r="P7" s="56" t="n">
        <f aca="false">SUMPRODUCT((Events!$B$6:$B$174&lt;=$A7)*(Events!$C$6:$C$174&gt;=$A7)*(Events!$E$6:$E$174="War &amp; operations")*Events!$H$6:$H$174)</f>
        <v>0</v>
      </c>
      <c r="Q7" s="56" t="n">
        <f aca="false">Economy!O7*Paths!T7</f>
        <v>0.373195250181</v>
      </c>
      <c r="R7" s="56" t="n">
        <f aca="false">Economy!O7*Paths!U7</f>
        <v>0.220246377156</v>
      </c>
      <c r="S7" s="56" t="n">
        <f aca="false">Economy!O7*Paths!V7+SUMPRODUCT((Events!$B$6:$B$174&lt;=$A7)*(Events!$C$6:$C$174&gt;=$A7)*(Events!$E$6:$E$174="Programme")*Events!$H$6:$H$174)+SUMPRODUCT((Events!$B$6:$B$174&lt;=$A7)*(Events!$C$6:$C$174&gt;=$A7)*(Events!$E$6:$E$174="Investment")*Events!$H$6:$H$174)</f>
        <v>0.014275228149</v>
      </c>
      <c r="T7" s="56" t="n">
        <f aca="false">(People!T7*assist_cost+Labour!AD7*talent_cost+Labour!L7*gw_admin)*Economy!H7/1000000</f>
        <v>0.02664</v>
      </c>
      <c r="U7" s="56" t="n">
        <f aca="false">SUMPRODUCT((Events!$B$6:$B$174&lt;=$A7)*(Events!$C$6:$C$174&gt;=$A7)*(Events!$E$6:$E$174="Purchase")*Events!$H$6:$H$174)</f>
        <v>0</v>
      </c>
      <c r="V7" s="56" t="n">
        <f aca="false">SUMPRODUCT((Events!$B$6:$B$174&lt;=$A7)*(Events!$C$6:$C$174&gt;=$A7)*(Events!$E$6:$E$174="Subsidy &amp; guarantee")*Events!$H$6:$H$174)+SUMPRODUCT((Events!$B$6:$B$174&lt;=$A7)*(Events!$C$6:$C$174&gt;=$A7)*(Events!$E$6:$E$174="Relief")*Events!$H$6:$H$174)</f>
        <v>0</v>
      </c>
      <c r="W7" s="56" t="n">
        <f aca="false">SUMPRODUCT((Events!$B$6:$B$174&lt;=$A7)*(Events!$C$6:$C$174&gt;=$A7)*(Events!$E$6:$E$174="Bank rescue &amp; capital")*Events!$H$6:$H$174)</f>
        <v>0</v>
      </c>
      <c r="X7" s="56" t="n">
        <f aca="false">'Debt &amp; cash'!R6*Paths!Y7</f>
        <v>0.0053990331941366</v>
      </c>
      <c r="Y7" s="56" t="n">
        <f aca="false">SUM(N7:X7)</f>
        <v>1.42785588868014</v>
      </c>
      <c r="Z7" s="56" t="n">
        <f aca="false">M7-Y7</f>
        <v>-0.471545318819169</v>
      </c>
      <c r="AA7" s="66" t="n">
        <f aca="false">M7/Economy!O7</f>
        <v>0.0468936392410353</v>
      </c>
      <c r="AB7" s="66" t="n">
        <f aca="false">Y7/Economy!O7</f>
        <v>0.0700163326038409</v>
      </c>
      <c r="AC7" s="66" t="n">
        <f aca="false">(N7+O7+P7)/Economy!O7</f>
        <v>0.0386452667685487</v>
      </c>
    </row>
    <row r="8" customFormat="false" ht="14.25" hidden="false" customHeight="false" outlineLevel="0" collapsed="false">
      <c r="A8" s="61" t="n">
        <v>1848</v>
      </c>
      <c r="B8" s="56" t="n">
        <f aca="false">Economy!O8*Paths!N8*Paths!O8*cust_coll</f>
        <v>0.619087246717969</v>
      </c>
      <c r="C8" s="56" t="n">
        <f aca="false">(Economy!J8+Economy!L8+Economy!M8+Economy!N8)*Paths!P8*Paths!Q8</f>
        <v>0.569062449866851</v>
      </c>
      <c r="D8" s="56" t="n">
        <f aca="false">Resources!P8+Resources!Q8</f>
        <v>0.45</v>
      </c>
      <c r="E8" s="56" t="n">
        <f aca="false">Paths!S8*(1-canal_opcost)*canal_share</f>
        <v>0</v>
      </c>
      <c r="F8" s="56" t="n">
        <f aca="false">Economy!O8*Paths!R8</f>
        <v>0.0011726469801833</v>
      </c>
      <c r="G8" s="56" t="n">
        <f aca="false">SUMPRODUCT((Events!$B$6:$B$174&lt;=$A8)*(Events!$C$6:$C$174&gt;=$A8)*(Events!$E$6:$E$174="Receipt")*Events!$H$6:$H$174)</f>
        <v>-0.365</v>
      </c>
      <c r="H8" s="72" t="n">
        <f aca="false">Loans!Y8</f>
        <v>0</v>
      </c>
      <c r="I8" s="56" t="n">
        <f aca="false">'Debt &amp; cash'!S7*fund_yield</f>
        <v>0</v>
      </c>
      <c r="J8" s="72" t="n">
        <f aca="false">Labour!Q8</f>
        <v>0</v>
      </c>
      <c r="K8" s="72" t="n">
        <f aca="false">Champions!BD8</f>
        <v>0</v>
      </c>
      <c r="L8" s="72" t="n">
        <f aca="false">Abroad!N8</f>
        <v>0.00046704597984</v>
      </c>
      <c r="M8" s="56" t="n">
        <f aca="false">SUM(B8:L8)</f>
        <v>1.27478938954484</v>
      </c>
      <c r="N8" s="56" t="n">
        <f aca="false">(Paths!W8*army_cost+Paths!X8*res_cost)*Economy!H8/1000000</f>
        <v>0.5402</v>
      </c>
      <c r="O8" s="72" t="n">
        <f aca="false">Navy!Y8</f>
        <v>0</v>
      </c>
      <c r="P8" s="56" t="n">
        <f aca="false">SUMPRODUCT((Events!$B$6:$B$174&lt;=$A8)*(Events!$C$6:$C$174&gt;=$A8)*(Events!$E$6:$E$174="War &amp; operations")*Events!$H$6:$H$174)</f>
        <v>0</v>
      </c>
      <c r="Q8" s="56" t="n">
        <f aca="false">Economy!O8*Paths!T8</f>
        <v>0.548212463235691</v>
      </c>
      <c r="R8" s="56" t="n">
        <f aca="false">Economy!O8*Paths!U8</f>
        <v>0.342999241703614</v>
      </c>
      <c r="S8" s="56" t="n">
        <f aca="false">Economy!O8*Paths!V8+SUMPRODUCT((Events!$B$6:$B$174&lt;=$A8)*(Events!$C$6:$C$174&gt;=$A8)*(Events!$E$6:$E$174="Programme")*Events!$H$6:$H$174)+SUMPRODUCT((Events!$B$6:$B$174&lt;=$A8)*(Events!$C$6:$C$174&gt;=$A8)*(Events!$E$6:$E$174="Investment")*Events!$H$6:$H$174)</f>
        <v>0.0381110268559571</v>
      </c>
      <c r="T8" s="56" t="n">
        <f aca="false">(People!T8*assist_cost+Labour!AD8*talent_cost+Labour!L8*gw_admin)*Economy!H8/1000000</f>
        <v>0.1332</v>
      </c>
      <c r="U8" s="56" t="n">
        <f aca="false">SUMPRODUCT((Events!$B$6:$B$174&lt;=$A8)*(Events!$C$6:$C$174&gt;=$A8)*(Events!$E$6:$E$174="Purchase")*Events!$H$6:$H$174)</f>
        <v>0</v>
      </c>
      <c r="V8" s="56" t="n">
        <f aca="false">SUMPRODUCT((Events!$B$6:$B$174&lt;=$A8)*(Events!$C$6:$C$174&gt;=$A8)*(Events!$E$6:$E$174="Subsidy &amp; guarantee")*Events!$H$6:$H$174)+SUMPRODUCT((Events!$B$6:$B$174&lt;=$A8)*(Events!$C$6:$C$174&gt;=$A8)*(Events!$E$6:$E$174="Relief")*Events!$H$6:$H$174)</f>
        <v>0.1</v>
      </c>
      <c r="W8" s="56" t="n">
        <f aca="false">SUMPRODUCT((Events!$B$6:$B$174&lt;=$A8)*(Events!$C$6:$C$174&gt;=$A8)*(Events!$E$6:$E$174="Bank rescue &amp; capital")*Events!$H$6:$H$174)</f>
        <v>0</v>
      </c>
      <c r="X8" s="56" t="n">
        <f aca="false">'Debt &amp; cash'!R7*Paths!Y8</f>
        <v>0.0357149884208433</v>
      </c>
      <c r="Y8" s="56" t="n">
        <f aca="false">SUM(N8:X8)</f>
        <v>1.73843772021611</v>
      </c>
      <c r="Z8" s="56" t="n">
        <f aca="false">M8-Y8</f>
        <v>-0.463648330671262</v>
      </c>
      <c r="AA8" s="66" t="n">
        <f aca="false">M8/Economy!O8</f>
        <v>0.0434841656896803</v>
      </c>
      <c r="AB8" s="66" t="n">
        <f aca="false">Y8/Economy!O8</f>
        <v>0.0592996101842814</v>
      </c>
      <c r="AC8" s="66" t="n">
        <f aca="false">(N8+O8+P8)/Economy!O8</f>
        <v>0.0184266879676119</v>
      </c>
    </row>
    <row r="9" customFormat="false" ht="14.25" hidden="false" customHeight="false" outlineLevel="0" collapsed="false">
      <c r="A9" s="61" t="n">
        <v>1849</v>
      </c>
      <c r="B9" s="56" t="n">
        <f aca="false">Economy!O9*Paths!N9*Paths!O9*cust_coll</f>
        <v>1.4700210531048</v>
      </c>
      <c r="C9" s="56" t="n">
        <f aca="false">(Economy!J9+Economy!L9+Economy!M9+Economy!N9)*Paths!P9*Paths!Q9</f>
        <v>2.16256866419276</v>
      </c>
      <c r="D9" s="56" t="n">
        <f aca="false">Resources!P9+Resources!Q9</f>
        <v>1.8</v>
      </c>
      <c r="E9" s="56" t="n">
        <f aca="false">Paths!S9*(1-canal_opcost)*canal_share</f>
        <v>0</v>
      </c>
      <c r="F9" s="56" t="n">
        <f aca="false">Economy!O9*Paths!R9</f>
        <v>0.00422419842846207</v>
      </c>
      <c r="G9" s="56" t="n">
        <f aca="false">SUMPRODUCT((Events!$B$6:$B$174&lt;=$A9)*(Events!$C$6:$C$174&gt;=$A9)*(Events!$E$6:$E$174="Receipt")*Events!$H$6:$H$174)</f>
        <v>0.975</v>
      </c>
      <c r="H9" s="72" t="n">
        <f aca="false">Loans!Y9</f>
        <v>0</v>
      </c>
      <c r="I9" s="56" t="n">
        <f aca="false">'Debt &amp; cash'!S8*fund_yield</f>
        <v>0</v>
      </c>
      <c r="J9" s="72" t="n">
        <f aca="false">Labour!Q9</f>
        <v>0</v>
      </c>
      <c r="K9" s="72" t="n">
        <f aca="false">Champions!BD9</f>
        <v>0</v>
      </c>
      <c r="L9" s="72" t="n">
        <f aca="false">Abroad!N9</f>
        <v>0.000804828694499789</v>
      </c>
      <c r="M9" s="56" t="n">
        <f aca="false">SUM(B9:L9)</f>
        <v>6.41261874442052</v>
      </c>
      <c r="N9" s="56" t="n">
        <f aca="false">(Paths!W9*army_cost+Paths!X9*res_cost)*Economy!H9/1000000</f>
        <v>1.0443</v>
      </c>
      <c r="O9" s="72" t="n">
        <f aca="false">Navy!Y9</f>
        <v>0</v>
      </c>
      <c r="P9" s="56" t="n">
        <f aca="false">SUMPRODUCT((Events!$B$6:$B$174&lt;=$A9)*(Events!$C$6:$C$174&gt;=$A9)*(Events!$E$6:$E$174="War &amp; operations")*Events!$H$6:$H$174)</f>
        <v>0</v>
      </c>
      <c r="Q9" s="56" t="n">
        <f aca="false">Economy!O9*Paths!T9</f>
        <v>1.33766283567965</v>
      </c>
      <c r="R9" s="56" t="n">
        <f aca="false">Economy!O9*Paths!U9</f>
        <v>0.88004133926293</v>
      </c>
      <c r="S9" s="56" t="n">
        <f aca="false">Economy!O9*Paths!V9+SUMPRODUCT((Events!$B$6:$B$174&lt;=$A9)*(Events!$C$6:$C$174&gt;=$A9)*(Events!$E$6:$E$174="Programme")*Events!$H$6:$H$174)+SUMPRODUCT((Events!$B$6:$B$174&lt;=$A9)*(Events!$C$6:$C$174&gt;=$A9)*(Events!$E$6:$E$174="Investment")*Events!$H$6:$H$174)</f>
        <v>0.140806614282069</v>
      </c>
      <c r="T9" s="56" t="n">
        <f aca="false">(People!T9*assist_cost+Labour!AD9*talent_cost+Labour!L9*gw_admin)*Economy!H9/1000000</f>
        <v>0.853848</v>
      </c>
      <c r="U9" s="56" t="n">
        <f aca="false">SUMPRODUCT((Events!$B$6:$B$174&lt;=$A9)*(Events!$C$6:$C$174&gt;=$A9)*(Events!$E$6:$E$174="Purchase")*Events!$H$6:$H$174)</f>
        <v>0</v>
      </c>
      <c r="V9" s="56" t="n">
        <f aca="false">SUMPRODUCT((Events!$B$6:$B$174&lt;=$A9)*(Events!$C$6:$C$174&gt;=$A9)*(Events!$E$6:$E$174="Subsidy &amp; guarantee")*Events!$H$6:$H$174)+SUMPRODUCT((Events!$B$6:$B$174&lt;=$A9)*(Events!$C$6:$C$174&gt;=$A9)*(Events!$E$6:$E$174="Relief")*Events!$H$6:$H$174)</f>
        <v>0.1</v>
      </c>
      <c r="W9" s="56" t="n">
        <f aca="false">SUMPRODUCT((Events!$B$6:$B$174&lt;=$A9)*(Events!$C$6:$C$174&gt;=$A9)*(Events!$E$6:$E$174="Bank rescue &amp; capital")*Events!$H$6:$H$174)</f>
        <v>0</v>
      </c>
      <c r="X9" s="56" t="n">
        <f aca="false">'Debt &amp; cash'!R8*Paths!Y9</f>
        <v>0.957646553327217</v>
      </c>
      <c r="Y9" s="56" t="n">
        <f aca="false">SUM(N9:X9)</f>
        <v>5.31430534255187</v>
      </c>
      <c r="Z9" s="56" t="n">
        <f aca="false">M9-Y9</f>
        <v>1.09831340186865</v>
      </c>
      <c r="AA9" s="66" t="n">
        <f aca="false">M9/Economy!O9</f>
        <v>0.0910840556335589</v>
      </c>
      <c r="AB9" s="66" t="n">
        <f aca="false">Y9/Economy!O9</f>
        <v>0.0754837458403206</v>
      </c>
      <c r="AC9" s="66" t="n">
        <f aca="false">(N9+O9+P9)/Economy!O9</f>
        <v>0.0148331100115513</v>
      </c>
    </row>
    <row r="10" customFormat="false" ht="14.25" hidden="false" customHeight="false" outlineLevel="0" collapsed="false">
      <c r="A10" s="61" t="n">
        <v>1850</v>
      </c>
      <c r="B10" s="56" t="n">
        <f aca="false">Economy!O10*Paths!N10*Paths!O10*cust_coll</f>
        <v>1.59644260316695</v>
      </c>
      <c r="C10" s="56" t="n">
        <f aca="false">(Economy!J10+Economy!L10+Economy!M10+Economy!N10)*Paths!P10*Paths!Q10</f>
        <v>2.4805396601904</v>
      </c>
      <c r="D10" s="56" t="n">
        <f aca="false">Resources!P10+Resources!Q10</f>
        <v>1.845</v>
      </c>
      <c r="E10" s="56" t="n">
        <f aca="false">Paths!S10*(1-canal_opcost)*canal_share</f>
        <v>0</v>
      </c>
      <c r="F10" s="56" t="n">
        <f aca="false">Economy!O10*Paths!R10</f>
        <v>0.00618704260422024</v>
      </c>
      <c r="G10" s="56" t="n">
        <f aca="false">SUMPRODUCT((Events!$B$6:$B$174&lt;=$A10)*(Events!$C$6:$C$174&gt;=$A10)*(Events!$E$6:$E$174="Receipt")*Events!$H$6:$H$174)</f>
        <v>0.975</v>
      </c>
      <c r="H10" s="72" t="n">
        <f aca="false">Loans!Y10</f>
        <v>0</v>
      </c>
      <c r="I10" s="56" t="n">
        <f aca="false">'Debt &amp; cash'!S9*fund_yield</f>
        <v>0</v>
      </c>
      <c r="J10" s="72" t="n">
        <f aca="false">Labour!Q10</f>
        <v>0</v>
      </c>
      <c r="K10" s="72" t="n">
        <f aca="false">Champions!BD10</f>
        <v>0</v>
      </c>
      <c r="L10" s="72" t="n">
        <f aca="false">Abroad!N10</f>
        <v>0.00162552351935721</v>
      </c>
      <c r="M10" s="56" t="n">
        <f aca="false">SUM(B10:L10)</f>
        <v>6.90479482948093</v>
      </c>
      <c r="N10" s="56" t="n">
        <f aca="false">(Paths!W10*army_cost+Paths!X10*res_cost)*Economy!H10/1000000</f>
        <v>1.221</v>
      </c>
      <c r="O10" s="72" t="n">
        <f aca="false">Navy!Y10</f>
        <v>0</v>
      </c>
      <c r="P10" s="56" t="n">
        <f aca="false">SUMPRODUCT((Events!$B$6:$B$174&lt;=$A10)*(Events!$C$6:$C$174&gt;=$A10)*(Events!$E$6:$E$174="War &amp; operations")*Events!$H$6:$H$174)</f>
        <v>0</v>
      </c>
      <c r="Q10" s="56" t="n">
        <f aca="false">Economy!O10*Paths!T10</f>
        <v>1.49262402826813</v>
      </c>
      <c r="R10" s="56" t="n">
        <f aca="false">Economy!O10*Paths!U10</f>
        <v>1.02859583295161</v>
      </c>
      <c r="S10" s="56" t="n">
        <f aca="false">Economy!O10*Paths!V10+SUMPRODUCT((Events!$B$6:$B$174&lt;=$A10)*(Events!$C$6:$C$174&gt;=$A10)*(Events!$E$6:$E$174="Programme")*Events!$H$6:$H$174)+SUMPRODUCT((Events!$B$6:$B$174&lt;=$A10)*(Events!$C$6:$C$174&gt;=$A10)*(Events!$E$6:$E$174="Investment")*Events!$H$6:$H$174)</f>
        <v>0.708812687892433</v>
      </c>
      <c r="T10" s="56" t="n">
        <f aca="false">(People!T10*assist_cost+Labour!AD10*talent_cost+Labour!L10*gw_admin)*Economy!H10/1000000</f>
        <v>0.7128</v>
      </c>
      <c r="U10" s="56" t="n">
        <f aca="false">SUMPRODUCT((Events!$B$6:$B$174&lt;=$A10)*(Events!$C$6:$C$174&gt;=$A10)*(Events!$E$6:$E$174="Purchase")*Events!$H$6:$H$174)</f>
        <v>0</v>
      </c>
      <c r="V10" s="56" t="n">
        <f aca="false">SUMPRODUCT((Events!$B$6:$B$174&lt;=$A10)*(Events!$C$6:$C$174&gt;=$A10)*(Events!$E$6:$E$174="Subsidy &amp; guarantee")*Events!$H$6:$H$174)+SUMPRODUCT((Events!$B$6:$B$174&lt;=$A10)*(Events!$C$6:$C$174&gt;=$A10)*(Events!$E$6:$E$174="Relief")*Events!$H$6:$H$174)</f>
        <v>0.1</v>
      </c>
      <c r="W10" s="56" t="n">
        <f aca="false">SUMPRODUCT((Events!$B$6:$B$174&lt;=$A10)*(Events!$C$6:$C$174&gt;=$A10)*(Events!$E$6:$E$174="Bank rescue &amp; capital")*Events!$H$6:$H$174)</f>
        <v>0</v>
      </c>
      <c r="X10" s="56" t="n">
        <f aca="false">'Debt &amp; cash'!R9*Paths!Y10</f>
        <v>0.97469221355832</v>
      </c>
      <c r="Y10" s="56" t="n">
        <f aca="false">SUM(N10:X10)</f>
        <v>6.2385247626705</v>
      </c>
      <c r="Z10" s="56" t="n">
        <f aca="false">M10-Y10</f>
        <v>0.666270066810426</v>
      </c>
      <c r="AA10" s="66" t="n">
        <f aca="false">M10/Economy!O10</f>
        <v>0.0892807148251555</v>
      </c>
      <c r="AB10" s="66" t="n">
        <f aca="false">Y10/Economy!O10</f>
        <v>0.0806656771157858</v>
      </c>
      <c r="AC10" s="66" t="n">
        <f aca="false">(N10+O10+P10)/Economy!O10</f>
        <v>0.0157878337436002</v>
      </c>
    </row>
    <row r="11" customFormat="false" ht="14.25" hidden="false" customHeight="false" outlineLevel="0" collapsed="false">
      <c r="A11" s="61" t="n">
        <v>1851</v>
      </c>
      <c r="B11" s="56" t="n">
        <f aca="false">Economy!O11*Paths!N11*Paths!O11*cust_coll</f>
        <v>2.15590202788051</v>
      </c>
      <c r="C11" s="56" t="n">
        <f aca="false">(Economy!J11+Economy!L11+Economy!M11+Economy!N11)*Paths!P11*Paths!Q11</f>
        <v>2.71288923314046</v>
      </c>
      <c r="D11" s="56" t="n">
        <f aca="false">Resources!P11+Resources!Q11</f>
        <v>3.375</v>
      </c>
      <c r="E11" s="56" t="n">
        <f aca="false">Paths!S11*(1-canal_opcost)*canal_share</f>
        <v>0</v>
      </c>
      <c r="F11" s="56" t="n">
        <f aca="false">Economy!O11*Paths!R11</f>
        <v>0.0105693906532166</v>
      </c>
      <c r="G11" s="56" t="n">
        <f aca="false">SUMPRODUCT((Events!$B$6:$B$174&lt;=$A11)*(Events!$C$6:$C$174&gt;=$A11)*(Events!$E$6:$E$174="Receipt")*Events!$H$6:$H$174)</f>
        <v>0.975</v>
      </c>
      <c r="H11" s="72" t="n">
        <f aca="false">Loans!Y11</f>
        <v>0</v>
      </c>
      <c r="I11" s="56" t="n">
        <f aca="false">'Debt &amp; cash'!S10*fund_yield</f>
        <v>0.00179342286240955</v>
      </c>
      <c r="J11" s="72" t="n">
        <f aca="false">Labour!Q11</f>
        <v>0</v>
      </c>
      <c r="K11" s="72" t="n">
        <f aca="false">Champions!BD11</f>
        <v>0</v>
      </c>
      <c r="L11" s="72" t="n">
        <f aca="false">Abroad!N11</f>
        <v>0.00250481420440953</v>
      </c>
      <c r="M11" s="56" t="n">
        <f aca="false">SUM(B11:L11)</f>
        <v>9.233658888741</v>
      </c>
      <c r="N11" s="56" t="n">
        <f aca="false">(Paths!W11*army_cost+Paths!X11*res_cost)*Economy!H11/1000000</f>
        <v>1.6626</v>
      </c>
      <c r="O11" s="72" t="n">
        <f aca="false">Navy!Y11</f>
        <v>0.21</v>
      </c>
      <c r="P11" s="56" t="n">
        <f aca="false">SUMPRODUCT((Events!$B$6:$B$174&lt;=$A11)*(Events!$C$6:$C$174&gt;=$A11)*(Events!$E$6:$E$174="War &amp; operations")*Events!$H$6:$H$174)</f>
        <v>0</v>
      </c>
      <c r="Q11" s="56" t="n">
        <f aca="false">Economy!O11*Paths!T11</f>
        <v>2.08216995868367</v>
      </c>
      <c r="R11" s="56" t="n">
        <f aca="false">Economy!O11*Paths!U11</f>
        <v>1.50085347275676</v>
      </c>
      <c r="S11" s="56" t="n">
        <f aca="false">Economy!O11*Paths!V11+SUMPRODUCT((Events!$B$6:$B$174&lt;=$A11)*(Events!$C$6:$C$174&gt;=$A11)*(Events!$E$6:$E$174="Programme")*Events!$H$6:$H$174)+SUMPRODUCT((Events!$B$6:$B$174&lt;=$A11)*(Events!$C$6:$C$174&gt;=$A11)*(Events!$E$6:$E$174="Investment")*Events!$H$6:$H$174)</f>
        <v>0.848789891556147</v>
      </c>
      <c r="T11" s="56" t="n">
        <f aca="false">(People!T11*assist_cost+Labour!AD11*talent_cost+Labour!L11*gw_admin)*Economy!H11/1000000</f>
        <v>0.52632</v>
      </c>
      <c r="U11" s="56" t="n">
        <f aca="false">SUMPRODUCT((Events!$B$6:$B$174&lt;=$A11)*(Events!$C$6:$C$174&gt;=$A11)*(Events!$E$6:$E$174="Purchase")*Events!$H$6:$H$174)</f>
        <v>0</v>
      </c>
      <c r="V11" s="56" t="n">
        <f aca="false">SUMPRODUCT((Events!$B$6:$B$174&lt;=$A11)*(Events!$C$6:$C$174&gt;=$A11)*(Events!$E$6:$E$174="Subsidy &amp; guarantee")*Events!$H$6:$H$174)+SUMPRODUCT((Events!$B$6:$B$174&lt;=$A11)*(Events!$C$6:$C$174&gt;=$A11)*(Events!$E$6:$E$174="Relief")*Events!$H$6:$H$174)</f>
        <v>0</v>
      </c>
      <c r="W11" s="56" t="n">
        <f aca="false">SUMPRODUCT((Events!$B$6:$B$174&lt;=$A11)*(Events!$C$6:$C$174&gt;=$A11)*(Events!$E$6:$E$174="Bank rescue &amp; capital")*Events!$H$6:$H$174)</f>
        <v>0</v>
      </c>
      <c r="X11" s="56" t="n">
        <f aca="false">'Debt &amp; cash'!R10*Paths!Y11</f>
        <v>0.947331359380475</v>
      </c>
      <c r="Y11" s="56" t="n">
        <f aca="false">SUM(N11:X11)</f>
        <v>7.77806468237704</v>
      </c>
      <c r="Z11" s="56" t="n">
        <f aca="false">M11-Y11</f>
        <v>1.45559420636395</v>
      </c>
      <c r="AA11" s="66" t="n">
        <f aca="false">M11/Economy!O11</f>
        <v>0.0873622632723005</v>
      </c>
      <c r="AB11" s="66" t="n">
        <f aca="false">Y11/Economy!O11</f>
        <v>0.0735904740166827</v>
      </c>
      <c r="AC11" s="66" t="n">
        <f aca="false">(N11+O11+P11)/Economy!O11</f>
        <v>0.0177171992354177</v>
      </c>
    </row>
    <row r="12" customFormat="false" ht="14.25" hidden="false" customHeight="false" outlineLevel="0" collapsed="false">
      <c r="A12" s="61" t="n">
        <v>1852</v>
      </c>
      <c r="B12" s="56" t="n">
        <f aca="false">Economy!O12*Paths!N12*Paths!O12*cust_coll</f>
        <v>3.59258320392491</v>
      </c>
      <c r="C12" s="56" t="n">
        <f aca="false">(Economy!J12+Economy!L12+Economy!M12+Economy!N12)*Paths!P12*Paths!Q12</f>
        <v>3.95902510748059</v>
      </c>
      <c r="D12" s="56" t="n">
        <f aca="false">Resources!P12+Resources!Q12</f>
        <v>3.645</v>
      </c>
      <c r="E12" s="56" t="n">
        <f aca="false">Paths!S12*(1-canal_opcost)*canal_share</f>
        <v>0</v>
      </c>
      <c r="F12" s="56" t="n">
        <f aca="false">Economy!O12*Paths!R12</f>
        <v>0.015444306101529</v>
      </c>
      <c r="G12" s="56" t="n">
        <f aca="false">SUMPRODUCT((Events!$B$6:$B$174&lt;=$A12)*(Events!$C$6:$C$174&gt;=$A12)*(Events!$E$6:$E$174="Receipt")*Events!$H$6:$H$174)</f>
        <v>0.975</v>
      </c>
      <c r="H12" s="72" t="n">
        <f aca="false">Loans!Y12</f>
        <v>0</v>
      </c>
      <c r="I12" s="56" t="n">
        <f aca="false">'Debt &amp; cash'!S11*fund_yield</f>
        <v>0.00630780536868561</v>
      </c>
      <c r="J12" s="72" t="n">
        <f aca="false">Labour!Q12</f>
        <v>0</v>
      </c>
      <c r="K12" s="72" t="n">
        <f aca="false">Champions!BD12</f>
        <v>0</v>
      </c>
      <c r="L12" s="72" t="n">
        <f aca="false">Abroad!N12</f>
        <v>0.00369799665666323</v>
      </c>
      <c r="M12" s="56" t="n">
        <f aca="false">SUM(B12:L12)</f>
        <v>12.1970584195324</v>
      </c>
      <c r="N12" s="56" t="n">
        <f aca="false">(Paths!W12*army_cost+Paths!X12*res_cost)*Economy!H12/1000000</f>
        <v>2.205</v>
      </c>
      <c r="O12" s="72" t="n">
        <f aca="false">Navy!Y12</f>
        <v>0.5504</v>
      </c>
      <c r="P12" s="56" t="n">
        <f aca="false">SUMPRODUCT((Events!$B$6:$B$174&lt;=$A12)*(Events!$C$6:$C$174&gt;=$A12)*(Events!$E$6:$E$174="War &amp; operations")*Events!$H$6:$H$174)</f>
        <v>0</v>
      </c>
      <c r="Q12" s="56" t="n">
        <f aca="false">Economy!O12*Paths!T12</f>
        <v>2.37604709254293</v>
      </c>
      <c r="R12" s="56" t="n">
        <f aca="false">Economy!O12*Paths!U12</f>
        <v>1.7820353194072</v>
      </c>
      <c r="S12" s="56" t="n">
        <f aca="false">Economy!O12*Paths!V12+SUMPRODUCT((Events!$B$6:$B$174&lt;=$A12)*(Events!$C$6:$C$174&gt;=$A12)*(Events!$E$6:$E$174="Programme")*Events!$H$6:$H$174)+SUMPRODUCT((Events!$B$6:$B$174&lt;=$A12)*(Events!$C$6:$C$174&gt;=$A12)*(Events!$E$6:$E$174="Investment")*Events!$H$6:$H$174)</f>
        <v>0.475209418508586</v>
      </c>
      <c r="T12" s="56" t="n">
        <f aca="false">(People!T12*assist_cost+Labour!AD12*talent_cost+Labour!L12*gw_admin)*Economy!H12/1000000</f>
        <v>1.8</v>
      </c>
      <c r="U12" s="56" t="n">
        <f aca="false">SUMPRODUCT((Events!$B$6:$B$174&lt;=$A12)*(Events!$C$6:$C$174&gt;=$A12)*(Events!$E$6:$E$174="Purchase")*Events!$H$6:$H$174)</f>
        <v>0</v>
      </c>
      <c r="V12" s="56" t="n">
        <f aca="false">SUMPRODUCT((Events!$B$6:$B$174&lt;=$A12)*(Events!$C$6:$C$174&gt;=$A12)*(Events!$E$6:$E$174="Subsidy &amp; guarantee")*Events!$H$6:$H$174)+SUMPRODUCT((Events!$B$6:$B$174&lt;=$A12)*(Events!$C$6:$C$174&gt;=$A12)*(Events!$E$6:$E$174="Relief")*Events!$H$6:$H$174)</f>
        <v>0</v>
      </c>
      <c r="W12" s="56" t="n">
        <f aca="false">SUMPRODUCT((Events!$B$6:$B$174&lt;=$A12)*(Events!$C$6:$C$174&gt;=$A12)*(Events!$E$6:$E$174="Bank rescue &amp; capital")*Events!$H$6:$H$174)</f>
        <v>0</v>
      </c>
      <c r="X12" s="56" t="n">
        <f aca="false">'Debt &amp; cash'!R11*Paths!Y12</f>
        <v>0.905119617514692</v>
      </c>
      <c r="Y12" s="56" t="n">
        <f aca="false">SUM(N12:X12)</f>
        <v>10.0938114479734</v>
      </c>
      <c r="Z12" s="56" t="n">
        <f aca="false">M12-Y12</f>
        <v>2.10324697155897</v>
      </c>
      <c r="AA12" s="66" t="n">
        <f aca="false">M12/Economy!O12</f>
        <v>0.102666807049507</v>
      </c>
      <c r="AB12" s="66" t="n">
        <f aca="false">Y12/Economy!O12</f>
        <v>0.0849630588522608</v>
      </c>
      <c r="AC12" s="66" t="n">
        <f aca="false">(N12+O12+P12)/Economy!O12</f>
        <v>0.0231931430033323</v>
      </c>
    </row>
    <row r="13" customFormat="false" ht="14.25" hidden="false" customHeight="false" outlineLevel="0" collapsed="false">
      <c r="A13" s="61" t="n">
        <v>1853</v>
      </c>
      <c r="B13" s="56" t="n">
        <f aca="false">Economy!O13*Paths!N13*Paths!O13*cust_coll</f>
        <v>3.5831637020893</v>
      </c>
      <c r="C13" s="56" t="n">
        <f aca="false">(Economy!J13+Economy!L13+Economy!M13+Economy!N13)*Paths!P13*Paths!Q13</f>
        <v>4.61005998916014</v>
      </c>
      <c r="D13" s="56" t="n">
        <f aca="false">Resources!P13+Resources!Q13</f>
        <v>3.015</v>
      </c>
      <c r="E13" s="56" t="n">
        <f aca="false">Paths!S13*(1-canal_opcost)*canal_share</f>
        <v>0</v>
      </c>
      <c r="F13" s="56" t="n">
        <f aca="false">Economy!O13*Paths!R13</f>
        <v>0.0178821999744944</v>
      </c>
      <c r="G13" s="56" t="n">
        <f aca="false">SUMPRODUCT((Events!$B$6:$B$174&lt;=$A13)*(Events!$C$6:$C$174&gt;=$A13)*(Events!$E$6:$E$174="Receipt")*Events!$H$6:$H$174)</f>
        <v>0.975</v>
      </c>
      <c r="H13" s="72" t="n">
        <f aca="false">Loans!Y13</f>
        <v>0</v>
      </c>
      <c r="I13" s="56" t="n">
        <f aca="false">'Debt &amp; cash'!S12*fund_yield</f>
        <v>0.0148560220340819</v>
      </c>
      <c r="J13" s="72" t="n">
        <f aca="false">Labour!Q13</f>
        <v>0</v>
      </c>
      <c r="K13" s="72" t="n">
        <f aca="false">Champions!BD13</f>
        <v>0</v>
      </c>
      <c r="L13" s="72" t="n">
        <f aca="false">Abroad!N13</f>
        <v>0.00501268501248909</v>
      </c>
      <c r="M13" s="56" t="n">
        <f aca="false">SUM(B13:L13)</f>
        <v>12.2209745982705</v>
      </c>
      <c r="N13" s="56" t="n">
        <f aca="false">(Paths!W13*army_cost+Paths!X13*res_cost)*Economy!H13/1000000</f>
        <v>2.6829</v>
      </c>
      <c r="O13" s="72" t="n">
        <f aca="false">Navy!Y13</f>
        <v>0.3378125</v>
      </c>
      <c r="P13" s="56" t="n">
        <f aca="false">SUMPRODUCT((Events!$B$6:$B$174&lt;=$A13)*(Events!$C$6:$C$174&gt;=$A13)*(Events!$E$6:$E$174="War &amp; operations")*Events!$H$6:$H$174)</f>
        <v>0.3</v>
      </c>
      <c r="Q13" s="56" t="n">
        <f aca="false">Economy!O13*Paths!T13</f>
        <v>2.40813626323192</v>
      </c>
      <c r="R13" s="56" t="n">
        <f aca="false">Economy!O13*Paths!U13</f>
        <v>1.88359173064675</v>
      </c>
      <c r="S13" s="56" t="n">
        <f aca="false">Economy!O13*Paths!V13+SUMPRODUCT((Events!$B$6:$B$174&lt;=$A13)*(Events!$C$6:$C$174&gt;=$A13)*(Events!$E$6:$E$174="Programme")*Events!$H$6:$H$174)+SUMPRODUCT((Events!$B$6:$B$174&lt;=$A13)*(Events!$C$6:$C$174&gt;=$A13)*(Events!$E$6:$E$174="Investment")*Events!$H$6:$H$174)</f>
        <v>0.536465999234833</v>
      </c>
      <c r="T13" s="56" t="n">
        <f aca="false">(People!T13*assist_cost+Labour!AD13*talent_cost+Labour!L13*gw_admin)*Economy!H13/1000000</f>
        <v>1.09296</v>
      </c>
      <c r="U13" s="56" t="n">
        <f aca="false">SUMPRODUCT((Events!$B$6:$B$174&lt;=$A13)*(Events!$C$6:$C$174&gt;=$A13)*(Events!$E$6:$E$174="Purchase")*Events!$H$6:$H$174)</f>
        <v>0</v>
      </c>
      <c r="V13" s="56" t="n">
        <f aca="false">SUMPRODUCT((Events!$B$6:$B$174&lt;=$A13)*(Events!$C$6:$C$174&gt;=$A13)*(Events!$E$6:$E$174="Subsidy &amp; guarantee")*Events!$H$6:$H$174)+SUMPRODUCT((Events!$B$6:$B$174&lt;=$A13)*(Events!$C$6:$C$174&gt;=$A13)*(Events!$E$6:$E$174="Relief")*Events!$H$6:$H$174)</f>
        <v>0</v>
      </c>
      <c r="W13" s="56" t="n">
        <f aca="false">SUMPRODUCT((Events!$B$6:$B$174&lt;=$A13)*(Events!$C$6:$C$174&gt;=$A13)*(Events!$E$6:$E$174="Bank rescue &amp; capital")*Events!$H$6:$H$174)</f>
        <v>0</v>
      </c>
      <c r="X13" s="56" t="n">
        <f aca="false">'Debt &amp; cash'!R12*Paths!Y13</f>
        <v>0.837069172227978</v>
      </c>
      <c r="Y13" s="56" t="n">
        <f aca="false">SUM(N13:X13)</f>
        <v>10.0789356653415</v>
      </c>
      <c r="Z13" s="56" t="n">
        <f aca="false">M13-Y13</f>
        <v>2.14203893292903</v>
      </c>
      <c r="AA13" s="66" t="n">
        <f aca="false">M13/Economy!O13</f>
        <v>0.102512341454363</v>
      </c>
      <c r="AB13" s="66" t="n">
        <f aca="false">Y13/Economy!O13</f>
        <v>0.0845444269697003</v>
      </c>
      <c r="AC13" s="66" t="n">
        <f aca="false">(N13+O13+P13)/Economy!O13</f>
        <v>0.0278548990454449</v>
      </c>
    </row>
    <row r="14" customFormat="false" ht="14.25" hidden="false" customHeight="false" outlineLevel="0" collapsed="false">
      <c r="A14" s="61" t="n">
        <v>1854</v>
      </c>
      <c r="B14" s="56" t="n">
        <f aca="false">Economy!O14*Paths!N14*Paths!O14*cust_coll</f>
        <v>3.83380772937718</v>
      </c>
      <c r="C14" s="56" t="n">
        <f aca="false">(Economy!J14+Economy!L14+Economy!M14+Economy!N14)*Paths!P14*Paths!Q14</f>
        <v>5.09944929318406</v>
      </c>
      <c r="D14" s="56" t="n">
        <f aca="false">Resources!P14+Resources!Q14</f>
        <v>3.105</v>
      </c>
      <c r="E14" s="56" t="n">
        <f aca="false">Paths!S14*(1-canal_opcost)*canal_share</f>
        <v>0</v>
      </c>
      <c r="F14" s="56" t="n">
        <f aca="false">Economy!O14*Paths!R14</f>
        <v>0.0218095314484908</v>
      </c>
      <c r="G14" s="56" t="n">
        <f aca="false">SUMPRODUCT((Events!$B$6:$B$174&lt;=$A14)*(Events!$C$6:$C$174&gt;=$A14)*(Events!$E$6:$E$174="Receipt")*Events!$H$6:$H$174)</f>
        <v>0.975</v>
      </c>
      <c r="H14" s="72" t="n">
        <f aca="false">Loans!Y14</f>
        <v>0</v>
      </c>
      <c r="I14" s="56" t="n">
        <f aca="false">'Debt &amp; cash'!S13*fund_yield</f>
        <v>0.0297773317621013</v>
      </c>
      <c r="J14" s="72" t="n">
        <f aca="false">Labour!Q14</f>
        <v>0</v>
      </c>
      <c r="K14" s="72" t="n">
        <f aca="false">Champions!BD14</f>
        <v>0</v>
      </c>
      <c r="L14" s="72" t="n">
        <f aca="false">Abroad!N14</f>
        <v>0.00629288046007397</v>
      </c>
      <c r="M14" s="56" t="n">
        <f aca="false">SUM(B14:L14)</f>
        <v>13.0711367662319</v>
      </c>
      <c r="N14" s="56" t="n">
        <f aca="false">(Paths!W14*army_cost+Paths!X14*res_cost)*Economy!H14/1000000</f>
        <v>3.05065</v>
      </c>
      <c r="O14" s="72" t="n">
        <f aca="false">Navy!Y14</f>
        <v>0.5570625</v>
      </c>
      <c r="P14" s="56" t="n">
        <f aca="false">SUMPRODUCT((Events!$B$6:$B$174&lt;=$A14)*(Events!$C$6:$C$174&gt;=$A14)*(Events!$E$6:$E$174="War &amp; operations")*Events!$H$6:$H$174)</f>
        <v>0.3</v>
      </c>
      <c r="Q14" s="56" t="n">
        <f aca="false">Economy!O14*Paths!T14</f>
        <v>2.60431463767273</v>
      </c>
      <c r="R14" s="56" t="n">
        <f aca="false">Economy!O14*Paths!U14</f>
        <v>2.11680746411823</v>
      </c>
      <c r="S14" s="56" t="n">
        <f aca="false">Economy!O14*Paths!V14+SUMPRODUCT((Events!$B$6:$B$174&lt;=$A14)*(Events!$C$6:$C$174&gt;=$A14)*(Events!$E$6:$E$174="Programme")*Events!$H$6:$H$174)+SUMPRODUCT((Events!$B$6:$B$174&lt;=$A14)*(Events!$C$6:$C$174&gt;=$A14)*(Events!$E$6:$E$174="Investment")*Events!$H$6:$H$174)</f>
        <v>0.641456807308553</v>
      </c>
      <c r="T14" s="56" t="n">
        <f aca="false">(People!T14*assist_cost+Labour!AD14*talent_cost+Labour!L14*gw_admin)*Economy!H14/1000000</f>
        <v>0.95448</v>
      </c>
      <c r="U14" s="56" t="n">
        <f aca="false">SUMPRODUCT((Events!$B$6:$B$174&lt;=$A14)*(Events!$C$6:$C$174&gt;=$A14)*(Events!$E$6:$E$174="Purchase")*Events!$H$6:$H$174)</f>
        <v>0</v>
      </c>
      <c r="V14" s="56" t="n">
        <f aca="false">SUMPRODUCT((Events!$B$6:$B$174&lt;=$A14)*(Events!$C$6:$C$174&gt;=$A14)*(Events!$E$6:$E$174="Subsidy &amp; guarantee")*Events!$H$6:$H$174)+SUMPRODUCT((Events!$B$6:$B$174&lt;=$A14)*(Events!$C$6:$C$174&gt;=$A14)*(Events!$E$6:$E$174="Relief")*Events!$H$6:$H$174)</f>
        <v>0</v>
      </c>
      <c r="W14" s="56" t="n">
        <f aca="false">SUMPRODUCT((Events!$B$6:$B$174&lt;=$A14)*(Events!$C$6:$C$174&gt;=$A14)*(Events!$E$6:$E$174="Bank rescue &amp; capital")*Events!$H$6:$H$174)</f>
        <v>0</v>
      </c>
      <c r="X14" s="56" t="n">
        <f aca="false">'Debt &amp; cash'!R13*Paths!Y14</f>
        <v>0.731648629104376</v>
      </c>
      <c r="Y14" s="56" t="n">
        <f aca="false">SUM(N14:X14)</f>
        <v>10.9564200382039</v>
      </c>
      <c r="Z14" s="56" t="n">
        <f aca="false">M14-Y14</f>
        <v>2.11471672802802</v>
      </c>
      <c r="AA14" s="66" t="n">
        <f aca="false">M14/Economy!O14</f>
        <v>0.10188633605025</v>
      </c>
      <c r="AB14" s="66" t="n">
        <f aca="false">Y14/Economy!O14</f>
        <v>0.0854026328302229</v>
      </c>
      <c r="AC14" s="66" t="n">
        <f aca="false">(N14+O14+P14)/Economy!O14</f>
        <v>0.0304596697351776</v>
      </c>
    </row>
    <row r="15" customFormat="false" ht="14.25" hidden="false" customHeight="false" outlineLevel="0" collapsed="false">
      <c r="A15" s="61" t="n">
        <v>1855</v>
      </c>
      <c r="B15" s="56" t="n">
        <f aca="false">Economy!O15*Paths!N15*Paths!O15*cust_coll</f>
        <v>3.7359139127726</v>
      </c>
      <c r="C15" s="56" t="n">
        <f aca="false">(Economy!J15+Economy!L15+Economy!M15+Economy!N15)*Paths!P15*Paths!Q15</f>
        <v>6.30658308746869</v>
      </c>
      <c r="D15" s="56" t="n">
        <f aca="false">Resources!P15+Resources!Q15</f>
        <v>2.475</v>
      </c>
      <c r="E15" s="56" t="n">
        <f aca="false">Paths!S15*(1-canal_opcost)*canal_share</f>
        <v>0</v>
      </c>
      <c r="F15" s="56" t="n">
        <f aca="false">Economy!O15*Paths!R15</f>
        <v>0.0238997859739661</v>
      </c>
      <c r="G15" s="56" t="n">
        <f aca="false">SUMPRODUCT((Events!$B$6:$B$174&lt;=$A15)*(Events!$C$6:$C$174&gt;=$A15)*(Events!$E$6:$E$174="Receipt")*Events!$H$6:$H$174)</f>
        <v>0.975</v>
      </c>
      <c r="H15" s="72" t="n">
        <f aca="false">Loans!Y15</f>
        <v>0</v>
      </c>
      <c r="I15" s="56" t="n">
        <f aca="false">'Debt &amp; cash'!S14*fund_yield</f>
        <v>0.0431096562156732</v>
      </c>
      <c r="J15" s="72" t="n">
        <f aca="false">Labour!Q15</f>
        <v>0</v>
      </c>
      <c r="K15" s="72" t="n">
        <f aca="false">Champions!BD15</f>
        <v>0</v>
      </c>
      <c r="L15" s="72" t="n">
        <f aca="false">Abroad!N15</f>
        <v>0.00764359038381228</v>
      </c>
      <c r="M15" s="56" t="n">
        <f aca="false">SUM(B15:L15)</f>
        <v>13.5671500328147</v>
      </c>
      <c r="N15" s="56" t="n">
        <f aca="false">(Paths!W15*army_cost+Paths!X15*res_cost)*Economy!H15/1000000</f>
        <v>3.4675</v>
      </c>
      <c r="O15" s="72" t="n">
        <f aca="false">Navy!Y15</f>
        <v>0.877625</v>
      </c>
      <c r="P15" s="56" t="n">
        <f aca="false">SUMPRODUCT((Events!$B$6:$B$174&lt;=$A15)*(Events!$C$6:$C$174&gt;=$A15)*(Events!$E$6:$E$174="War &amp; operations")*Events!$H$6:$H$174)</f>
        <v>0</v>
      </c>
      <c r="Q15" s="56" t="n">
        <f aca="false">Economy!O15*Paths!T15</f>
        <v>2.57866111824371</v>
      </c>
      <c r="R15" s="56" t="n">
        <f aca="false">Economy!O15*Paths!U15</f>
        <v>2.16355957238009</v>
      </c>
      <c r="S15" s="56" t="n">
        <f aca="false">Economy!O15*Paths!V15+SUMPRODUCT((Events!$B$6:$B$174&lt;=$A15)*(Events!$C$6:$C$174&gt;=$A15)*(Events!$E$6:$E$174="Programme")*Events!$H$6:$H$174)+SUMPRODUCT((Events!$B$6:$B$174&lt;=$A15)*(Events!$C$6:$C$174&gt;=$A15)*(Events!$E$6:$E$174="Investment")*Events!$H$6:$H$174)</f>
        <v>1.0918359097727</v>
      </c>
      <c r="T15" s="56" t="n">
        <f aca="false">(People!T15*assist_cost+Labour!AD15*talent_cost+Labour!L15*gw_admin)*Economy!H15/1000000</f>
        <v>0.8208</v>
      </c>
      <c r="U15" s="56" t="n">
        <f aca="false">SUMPRODUCT((Events!$B$6:$B$174&lt;=$A15)*(Events!$C$6:$C$174&gt;=$A15)*(Events!$E$6:$E$174="Purchase")*Events!$H$6:$H$174)</f>
        <v>0</v>
      </c>
      <c r="V15" s="56" t="n">
        <f aca="false">SUMPRODUCT((Events!$B$6:$B$174&lt;=$A15)*(Events!$C$6:$C$174&gt;=$A15)*(Events!$E$6:$E$174="Subsidy &amp; guarantee")*Events!$H$6:$H$174)+SUMPRODUCT((Events!$B$6:$B$174&lt;=$A15)*(Events!$C$6:$C$174&gt;=$A15)*(Events!$E$6:$E$174="Relief")*Events!$H$6:$H$174)</f>
        <v>0</v>
      </c>
      <c r="W15" s="56" t="n">
        <f aca="false">SUMPRODUCT((Events!$B$6:$B$174&lt;=$A15)*(Events!$C$6:$C$174&gt;=$A15)*(Events!$E$6:$E$174="Bank rescue &amp; capital")*Events!$H$6:$H$174)</f>
        <v>0</v>
      </c>
      <c r="X15" s="56" t="n">
        <f aca="false">'Debt &amp; cash'!R14*Paths!Y15</f>
        <v>0.637285795683315</v>
      </c>
      <c r="Y15" s="56" t="n">
        <f aca="false">SUM(N15:X15)</f>
        <v>11.6372673960798</v>
      </c>
      <c r="Z15" s="56" t="n">
        <f aca="false">M15-Y15</f>
        <v>1.92988263673492</v>
      </c>
      <c r="AA15" s="66" t="n">
        <f aca="false">M15/Economy!O15</f>
        <v>0.107856970311062</v>
      </c>
      <c r="AB15" s="66" t="n">
        <f aca="false">Y15/Economy!O15</f>
        <v>0.0925146696988702</v>
      </c>
      <c r="AC15" s="66" t="n">
        <f aca="false">(N15+O15+P15)/Economy!O15</f>
        <v>0.0345431440641055</v>
      </c>
    </row>
    <row r="16" customFormat="false" ht="14.25" hidden="false" customHeight="false" outlineLevel="0" collapsed="false">
      <c r="A16" s="61" t="n">
        <v>1856</v>
      </c>
      <c r="B16" s="56" t="n">
        <f aca="false">Economy!O16*Paths!N16*Paths!O16*cust_coll</f>
        <v>4.17653283132658</v>
      </c>
      <c r="C16" s="56" t="n">
        <f aca="false">(Economy!J16+Economy!L16+Economy!M16+Economy!N16)*Paths!P16*Paths!Q16</f>
        <v>7.34050755015332</v>
      </c>
      <c r="D16" s="56" t="n">
        <f aca="false">Resources!P16+Resources!Q16</f>
        <v>2.565</v>
      </c>
      <c r="E16" s="56" t="n">
        <f aca="false">Paths!S16*(1-canal_opcost)*canal_share</f>
        <v>0</v>
      </c>
      <c r="F16" s="56" t="n">
        <f aca="false">Economy!O16*Paths!R16</f>
        <v>0.0297147312876429</v>
      </c>
      <c r="G16" s="56" t="n">
        <f aca="false">SUMPRODUCT((Events!$B$6:$B$174&lt;=$A16)*(Events!$C$6:$C$174&gt;=$A16)*(Events!$E$6:$E$174="Receipt")*Events!$H$6:$H$174)</f>
        <v>0.975</v>
      </c>
      <c r="H16" s="72" t="n">
        <f aca="false">Loans!Y16</f>
        <v>0</v>
      </c>
      <c r="I16" s="56" t="n">
        <f aca="false">'Debt &amp; cash'!S15*fund_yield</f>
        <v>0.0559226246336091</v>
      </c>
      <c r="J16" s="72" t="n">
        <f aca="false">Labour!Q16</f>
        <v>0</v>
      </c>
      <c r="K16" s="72" t="n">
        <f aca="false">Champions!BD16</f>
        <v>0</v>
      </c>
      <c r="L16" s="72" t="n">
        <f aca="false">Abroad!N16</f>
        <v>0.00892374283907472</v>
      </c>
      <c r="M16" s="56" t="n">
        <f aca="false">SUM(B16:L16)</f>
        <v>15.1516014802402</v>
      </c>
      <c r="N16" s="56" t="n">
        <f aca="false">(Paths!W16*army_cost+Paths!X16*res_cost)*Economy!H16/1000000</f>
        <v>4.445925</v>
      </c>
      <c r="O16" s="72" t="n">
        <f aca="false">Navy!Y16</f>
        <v>0.6442875</v>
      </c>
      <c r="P16" s="56" t="n">
        <f aca="false">SUMPRODUCT((Events!$B$6:$B$174&lt;=$A16)*(Events!$C$6:$C$174&gt;=$A16)*(Events!$E$6:$E$174="War &amp; operations")*Events!$H$6:$H$174)</f>
        <v>0</v>
      </c>
      <c r="Q16" s="56" t="n">
        <f aca="false">Economy!O16*Paths!T16</f>
        <v>2.91487364059735</v>
      </c>
      <c r="R16" s="56" t="n">
        <f aca="false">Economy!O16*Paths!U16</f>
        <v>2.54697696751225</v>
      </c>
      <c r="S16" s="56" t="n">
        <f aca="false">Economy!O16*Paths!V16+SUMPRODUCT((Events!$B$6:$B$174&lt;=$A16)*(Events!$C$6:$C$174&gt;=$A16)*(Events!$E$6:$E$174="Programme")*Events!$H$6:$H$174)+SUMPRODUCT((Events!$B$6:$B$174&lt;=$A16)*(Events!$C$6:$C$174&gt;=$A16)*(Events!$E$6:$E$174="Investment")*Events!$H$6:$H$174)</f>
        <v>1.24899232250408</v>
      </c>
      <c r="T16" s="56" t="n">
        <f aca="false">(People!T16*assist_cost+Labour!AD16*talent_cost+Labour!L16*gw_admin)*Economy!H16/1000000</f>
        <v>0.80784</v>
      </c>
      <c r="U16" s="56" t="n">
        <f aca="false">SUMPRODUCT((Events!$B$6:$B$174&lt;=$A16)*(Events!$C$6:$C$174&gt;=$A16)*(Events!$E$6:$E$174="Purchase")*Events!$H$6:$H$174)</f>
        <v>0</v>
      </c>
      <c r="V16" s="56" t="n">
        <f aca="false">SUMPRODUCT((Events!$B$6:$B$174&lt;=$A16)*(Events!$C$6:$C$174&gt;=$A16)*(Events!$E$6:$E$174="Subsidy &amp; guarantee")*Events!$H$6:$H$174)+SUMPRODUCT((Events!$B$6:$B$174&lt;=$A16)*(Events!$C$6:$C$174&gt;=$A16)*(Events!$E$6:$E$174="Relief")*Events!$H$6:$H$174)</f>
        <v>0</v>
      </c>
      <c r="W16" s="56" t="n">
        <f aca="false">SUMPRODUCT((Events!$B$6:$B$174&lt;=$A16)*(Events!$C$6:$C$174&gt;=$A16)*(Events!$E$6:$E$174="Bank rescue &amp; capital")*Events!$H$6:$H$174)</f>
        <v>0</v>
      </c>
      <c r="X16" s="56" t="n">
        <f aca="false">'Debt &amp; cash'!R15*Paths!Y16</f>
        <v>0.546332628498273</v>
      </c>
      <c r="Y16" s="56" t="n">
        <f aca="false">SUM(N16:X16)</f>
        <v>13.155228059112</v>
      </c>
      <c r="Z16" s="56" t="n">
        <f aca="false">M16-Y16</f>
        <v>1.99637342112828</v>
      </c>
      <c r="AA16" s="66" t="n">
        <f aca="false">M16/Economy!O16</f>
        <v>0.107079424008577</v>
      </c>
      <c r="AB16" s="66" t="n">
        <f aca="false">Y16/Economy!O16</f>
        <v>0.0929706503374089</v>
      </c>
      <c r="AC16" s="66" t="n">
        <f aca="false">(N16+O16+P16)/Economy!O16</f>
        <v>0.0359735585239679</v>
      </c>
    </row>
    <row r="17" customFormat="false" ht="14.25" hidden="false" customHeight="false" outlineLevel="0" collapsed="false">
      <c r="A17" s="61" t="n">
        <v>1857</v>
      </c>
      <c r="B17" s="56" t="n">
        <f aca="false">Economy!O17*Paths!N17*Paths!O17*cust_coll</f>
        <v>4.20969830927371</v>
      </c>
      <c r="C17" s="56" t="n">
        <f aca="false">(Economy!J17+Economy!L17+Economy!M17+Economy!N17)*Paths!P17*Paths!Q17</f>
        <v>8.19042115947006</v>
      </c>
      <c r="D17" s="56" t="n">
        <f aca="false">Resources!P17+Resources!Q17</f>
        <v>1.935</v>
      </c>
      <c r="E17" s="56" t="n">
        <f aca="false">Paths!S17*(1-canal_opcost)*canal_share</f>
        <v>0</v>
      </c>
      <c r="F17" s="56" t="n">
        <f aca="false">Economy!O17*Paths!R17</f>
        <v>0.0329963130336071</v>
      </c>
      <c r="G17" s="56" t="n">
        <f aca="false">SUMPRODUCT((Events!$B$6:$B$174&lt;=$A17)*(Events!$C$6:$C$174&gt;=$A17)*(Events!$E$6:$E$174="Receipt")*Events!$H$6:$H$174)</f>
        <v>0.975</v>
      </c>
      <c r="H17" s="72" t="n">
        <f aca="false">Loans!Y17</f>
        <v>0</v>
      </c>
      <c r="I17" s="56" t="n">
        <f aca="false">'Debt &amp; cash'!S16*fund_yield</f>
        <v>0.0673283317825492</v>
      </c>
      <c r="J17" s="72" t="n">
        <f aca="false">Labour!Q17</f>
        <v>0</v>
      </c>
      <c r="K17" s="72" t="n">
        <f aca="false">Champions!BD17</f>
        <v>0</v>
      </c>
      <c r="L17" s="72" t="n">
        <f aca="false">Abroad!N17</f>
        <v>0.0103540151989106</v>
      </c>
      <c r="M17" s="56" t="n">
        <f aca="false">SUM(B17:L17)</f>
        <v>15.4207981287588</v>
      </c>
      <c r="N17" s="56" t="n">
        <f aca="false">(Paths!W17*army_cost+Paths!X17*res_cost)*Economy!H17/1000000</f>
        <v>5.4694</v>
      </c>
      <c r="O17" s="72" t="n">
        <f aca="false">Navy!Y17</f>
        <v>0.87595</v>
      </c>
      <c r="P17" s="56" t="n">
        <f aca="false">SUMPRODUCT((Events!$B$6:$B$174&lt;=$A17)*(Events!$C$6:$C$174&gt;=$A17)*(Events!$E$6:$E$174="War &amp; operations")*Events!$H$6:$H$174)</f>
        <v>0.3</v>
      </c>
      <c r="Q17" s="56" t="n">
        <f aca="false">Economy!O17*Paths!T17</f>
        <v>2.98401439608273</v>
      </c>
      <c r="R17" s="56" t="n">
        <f aca="false">Economy!O17*Paths!U17</f>
        <v>2.5966663735143</v>
      </c>
      <c r="S17" s="56" t="n">
        <f aca="false">Economy!O17*Paths!V17+SUMPRODUCT((Events!$B$6:$B$174&lt;=$A17)*(Events!$C$6:$C$174&gt;=$A17)*(Events!$E$6:$E$174="Programme")*Events!$H$6:$H$174)+SUMPRODUCT((Events!$B$6:$B$174&lt;=$A17)*(Events!$C$6:$C$174&gt;=$A17)*(Events!$E$6:$E$174="Investment")*Events!$H$6:$H$174)</f>
        <v>1.27511960654349</v>
      </c>
      <c r="T17" s="56" t="n">
        <f aca="false">(People!T17*assist_cost+Labour!AD17*talent_cost+Labour!L17*gw_admin)*Economy!H17/1000000</f>
        <v>0.79488</v>
      </c>
      <c r="U17" s="56" t="n">
        <f aca="false">SUMPRODUCT((Events!$B$6:$B$174&lt;=$A17)*(Events!$C$6:$C$174&gt;=$A17)*(Events!$E$6:$E$174="Purchase")*Events!$H$6:$H$174)</f>
        <v>0</v>
      </c>
      <c r="V17" s="56" t="n">
        <f aca="false">SUMPRODUCT((Events!$B$6:$B$174&lt;=$A17)*(Events!$C$6:$C$174&gt;=$A17)*(Events!$E$6:$E$174="Subsidy &amp; guarantee")*Events!$H$6:$H$174)+SUMPRODUCT((Events!$B$6:$B$174&lt;=$A17)*(Events!$C$6:$C$174&gt;=$A17)*(Events!$E$6:$E$174="Relief")*Events!$H$6:$H$174)</f>
        <v>0</v>
      </c>
      <c r="W17" s="56" t="n">
        <f aca="false">SUMPRODUCT((Events!$B$6:$B$174&lt;=$A17)*(Events!$C$6:$C$174&gt;=$A17)*(Events!$E$6:$E$174="Bank rescue &amp; capital")*Events!$H$6:$H$174)</f>
        <v>0</v>
      </c>
      <c r="X17" s="56" t="n">
        <f aca="false">'Debt &amp; cash'!R16*Paths!Y17</f>
        <v>0.466229921296594</v>
      </c>
      <c r="Y17" s="56" t="n">
        <f aca="false">SUM(N17:X17)</f>
        <v>14.7622602974371</v>
      </c>
      <c r="Z17" s="56" t="n">
        <f aca="false">M17-Y17</f>
        <v>0.658537831321723</v>
      </c>
      <c r="AA17" s="66" t="n">
        <f aca="false">M17/Economy!O17</f>
        <v>0.107490299476857</v>
      </c>
      <c r="AB17" s="66" t="n">
        <f aca="false">Y17/Economy!O17</f>
        <v>0.102899977489981</v>
      </c>
      <c r="AC17" s="66" t="n">
        <f aca="false">(N17+O17+P17)/Economy!O17</f>
        <v>0.0463212510574523</v>
      </c>
    </row>
    <row r="18" customFormat="false" ht="14.25" hidden="false" customHeight="false" outlineLevel="0" collapsed="false">
      <c r="A18" s="61" t="n">
        <v>1858</v>
      </c>
      <c r="B18" s="56" t="n">
        <f aca="false">Economy!O18*Paths!N18*Paths!O18*cust_coll</f>
        <v>4.53890879241401</v>
      </c>
      <c r="C18" s="56" t="n">
        <f aca="false">(Economy!J18+Economy!L18+Economy!M18+Economy!N18)*Paths!P18*Paths!Q18</f>
        <v>8.86907103058684</v>
      </c>
      <c r="D18" s="56" t="n">
        <f aca="false">Resources!P18+Resources!Q18</f>
        <v>2.115</v>
      </c>
      <c r="E18" s="56" t="n">
        <f aca="false">Paths!S18*(1-canal_opcost)*canal_share</f>
        <v>0</v>
      </c>
      <c r="F18" s="56" t="n">
        <f aca="false">Economy!O18*Paths!R18</f>
        <v>0.0389138270954562</v>
      </c>
      <c r="G18" s="56" t="n">
        <f aca="false">SUMPRODUCT((Events!$B$6:$B$174&lt;=$A18)*(Events!$C$6:$C$174&gt;=$A18)*(Events!$E$6:$E$174="Receipt")*Events!$H$6:$H$174)</f>
        <v>0.975</v>
      </c>
      <c r="H18" s="72" t="n">
        <f aca="false">Loans!Y18</f>
        <v>0</v>
      </c>
      <c r="I18" s="56" t="n">
        <f aca="false">'Debt &amp; cash'!S17*fund_yield</f>
        <v>0.0708722826717383</v>
      </c>
      <c r="J18" s="72" t="n">
        <f aca="false">Labour!Q18</f>
        <v>0</v>
      </c>
      <c r="K18" s="72" t="n">
        <f aca="false">Champions!BD18</f>
        <v>0</v>
      </c>
      <c r="L18" s="72" t="n">
        <f aca="false">Abroad!N18</f>
        <v>0.0117649415099141</v>
      </c>
      <c r="M18" s="56" t="n">
        <f aca="false">SUM(B18:L18)</f>
        <v>16.619530874278</v>
      </c>
      <c r="N18" s="56" t="n">
        <f aca="false">(Paths!W18*army_cost+Paths!X18*res_cost)*Economy!H18/1000000</f>
        <v>6.392235</v>
      </c>
      <c r="O18" s="72" t="n">
        <f aca="false">Navy!Y18</f>
        <v>1.183031625</v>
      </c>
      <c r="P18" s="56" t="n">
        <f aca="false">SUMPRODUCT((Events!$B$6:$B$174&lt;=$A18)*(Events!$C$6:$C$174&gt;=$A18)*(Events!$E$6:$E$174="War &amp; operations")*Events!$H$6:$H$174)</f>
        <v>0.3</v>
      </c>
      <c r="Q18" s="56" t="n">
        <f aca="false">Economy!O18*Paths!T18</f>
        <v>3.25319594518014</v>
      </c>
      <c r="R18" s="56" t="n">
        <f aca="false">Economy!O18*Paths!U18</f>
        <v>2.83292661254921</v>
      </c>
      <c r="S18" s="56" t="n">
        <f aca="false">Economy!O18*Paths!V18+SUMPRODUCT((Events!$B$6:$B$174&lt;=$A18)*(Events!$C$6:$C$174&gt;=$A18)*(Events!$E$6:$E$174="Programme")*Events!$H$6:$H$174)+SUMPRODUCT((Events!$B$6:$B$174&lt;=$A18)*(Events!$C$6:$C$174&gt;=$A18)*(Events!$E$6:$E$174="Investment")*Events!$H$6:$H$174)</f>
        <v>1.36506291196731</v>
      </c>
      <c r="T18" s="56" t="n">
        <f aca="false">(People!T18*assist_cost+Labour!AD18*talent_cost+Labour!L18*gw_admin)*Economy!H18/1000000</f>
        <v>0.7833888</v>
      </c>
      <c r="U18" s="56" t="n">
        <f aca="false">SUMPRODUCT((Events!$B$6:$B$174&lt;=$A18)*(Events!$C$6:$C$174&gt;=$A18)*(Events!$E$6:$E$174="Purchase")*Events!$H$6:$H$174)</f>
        <v>0</v>
      </c>
      <c r="V18" s="56" t="n">
        <f aca="false">SUMPRODUCT((Events!$B$6:$B$174&lt;=$A18)*(Events!$C$6:$C$174&gt;=$A18)*(Events!$E$6:$E$174="Subsidy &amp; guarantee")*Events!$H$6:$H$174)+SUMPRODUCT((Events!$B$6:$B$174&lt;=$A18)*(Events!$C$6:$C$174&gt;=$A18)*(Events!$E$6:$E$174="Relief")*Events!$H$6:$H$174)</f>
        <v>0</v>
      </c>
      <c r="W18" s="56" t="n">
        <f aca="false">SUMPRODUCT((Events!$B$6:$B$174&lt;=$A18)*(Events!$C$6:$C$174&gt;=$A18)*(Events!$E$6:$E$174="Bank rescue &amp; capital")*Events!$H$6:$H$174)</f>
        <v>0</v>
      </c>
      <c r="X18" s="56" t="n">
        <f aca="false">'Debt &amp; cash'!R17*Paths!Y18</f>
        <v>0.436686751929225</v>
      </c>
      <c r="Y18" s="56" t="n">
        <f aca="false">SUM(N18:X18)</f>
        <v>16.5465276466259</v>
      </c>
      <c r="Z18" s="56" t="n">
        <f aca="false">M18-Y18</f>
        <v>0.073003227652066</v>
      </c>
      <c r="AA18" s="66" t="n">
        <f aca="false">M18/Economy!O18</f>
        <v>0.106771372252272</v>
      </c>
      <c r="AB18" s="66" t="n">
        <f aca="false">Y18/Economy!O18</f>
        <v>0.106302366547224</v>
      </c>
      <c r="AC18" s="66" t="n">
        <f aca="false">(N18+O18+P18)/Economy!O18</f>
        <v>0.0505942695232845</v>
      </c>
    </row>
    <row r="19" customFormat="false" ht="14.25" hidden="false" customHeight="false" outlineLevel="0" collapsed="false">
      <c r="A19" s="61" t="n">
        <v>1859</v>
      </c>
      <c r="B19" s="56" t="n">
        <f aca="false">Economy!O19*Paths!N19*Paths!O19*cust_coll</f>
        <v>4.81146695411008</v>
      </c>
      <c r="C19" s="56" t="n">
        <f aca="false">(Economy!J19+Economy!L19+Economy!M19+Economy!N19)*Paths!P19*Paths!Q19</f>
        <v>9.67050225888839</v>
      </c>
      <c r="D19" s="56" t="n">
        <f aca="false">Resources!P19+Resources!Q19</f>
        <v>2.07</v>
      </c>
      <c r="E19" s="56" t="n">
        <f aca="false">Paths!S19*(1-canal_opcost)*canal_share</f>
        <v>0</v>
      </c>
      <c r="F19" s="56" t="n">
        <f aca="false">Economy!O19*Paths!R19</f>
        <v>0.0448329011750846</v>
      </c>
      <c r="G19" s="56" t="n">
        <f aca="false">SUMPRODUCT((Events!$B$6:$B$174&lt;=$A19)*(Events!$C$6:$C$174&gt;=$A19)*(Events!$E$6:$E$174="Receipt")*Events!$H$6:$H$174)</f>
        <v>0.975</v>
      </c>
      <c r="H19" s="72" t="n">
        <f aca="false">Loans!Y19</f>
        <v>0</v>
      </c>
      <c r="I19" s="56" t="n">
        <f aca="false">'Debt &amp; cash'!S18*fund_yield</f>
        <v>0.0562774039184624</v>
      </c>
      <c r="J19" s="72" t="n">
        <f aca="false">Labour!Q19</f>
        <v>0</v>
      </c>
      <c r="K19" s="72" t="n">
        <f aca="false">Champions!BD19</f>
        <v>0</v>
      </c>
      <c r="L19" s="72" t="n">
        <f aca="false">Abroad!N19</f>
        <v>0.0132798569651986</v>
      </c>
      <c r="M19" s="56" t="n">
        <f aca="false">SUM(B19:L19)</f>
        <v>17.6413593750572</v>
      </c>
      <c r="N19" s="56" t="n">
        <f aca="false">(Paths!W19*army_cost+Paths!X19*res_cost)*Economy!H19/1000000</f>
        <v>8.3478885</v>
      </c>
      <c r="O19" s="72" t="n">
        <f aca="false">Navy!Y19</f>
        <v>0.932043375</v>
      </c>
      <c r="P19" s="56" t="n">
        <f aca="false">SUMPRODUCT((Events!$B$6:$B$174&lt;=$A19)*(Events!$C$6:$C$174&gt;=$A19)*(Events!$E$6:$E$174="War &amp; operations")*Events!$H$6:$H$174)</f>
        <v>0</v>
      </c>
      <c r="Q19" s="56" t="n">
        <f aca="false">Economy!O19*Paths!T19</f>
        <v>3.5036082029418</v>
      </c>
      <c r="R19" s="56" t="n">
        <f aca="false">Economy!O19*Paths!U19</f>
        <v>3.02206963476496</v>
      </c>
      <c r="S19" s="56" t="n">
        <f aca="false">Economy!O19*Paths!V19+SUMPRODUCT((Events!$B$6:$B$174&lt;=$A19)*(Events!$C$6:$C$174&gt;=$A19)*(Events!$E$6:$E$174="Programme")*Events!$H$6:$H$174)+SUMPRODUCT((Events!$B$6:$B$174&lt;=$A19)*(Events!$C$6:$C$174&gt;=$A19)*(Events!$E$6:$E$174="Investment")*Events!$H$6:$H$174)</f>
        <v>1.44610102741864</v>
      </c>
      <c r="T19" s="56" t="n">
        <f aca="false">(People!T19*assist_cost+Labour!AD19*talent_cost+Labour!L19*gw_admin)*Economy!H19/1000000</f>
        <v>0.7718112</v>
      </c>
      <c r="U19" s="56" t="n">
        <f aca="false">SUMPRODUCT((Events!$B$6:$B$174&lt;=$A19)*(Events!$C$6:$C$174&gt;=$A19)*(Events!$E$6:$E$174="Purchase")*Events!$H$6:$H$174)</f>
        <v>0</v>
      </c>
      <c r="V19" s="56" t="n">
        <f aca="false">SUMPRODUCT((Events!$B$6:$B$174&lt;=$A19)*(Events!$C$6:$C$174&gt;=$A19)*(Events!$E$6:$E$174="Subsidy &amp; guarantee")*Events!$H$6:$H$174)+SUMPRODUCT((Events!$B$6:$B$174&lt;=$A19)*(Events!$C$6:$C$174&gt;=$A19)*(Events!$E$6:$E$174="Relief")*Events!$H$6:$H$174)</f>
        <v>0</v>
      </c>
      <c r="W19" s="56" t="n">
        <f aca="false">SUMPRODUCT((Events!$B$6:$B$174&lt;=$A19)*(Events!$C$6:$C$174&gt;=$A19)*(Events!$E$6:$E$174="Bank rescue &amp; capital")*Events!$H$6:$H$174)</f>
        <v>0</v>
      </c>
      <c r="X19" s="56" t="n">
        <f aca="false">'Debt &amp; cash'!R18*Paths!Y19</f>
        <v>0.429307298589662</v>
      </c>
      <c r="Y19" s="56" t="n">
        <f aca="false">SUM(N19:X19)</f>
        <v>18.4528292387151</v>
      </c>
      <c r="Z19" s="56" t="n">
        <f aca="false">M19-Y19</f>
        <v>-0.811469863657855</v>
      </c>
      <c r="AA19" s="66" t="n">
        <f aca="false">M19/Economy!O19</f>
        <v>0.106242667916225</v>
      </c>
      <c r="AB19" s="66" t="n">
        <f aca="false">Y19/Economy!O19</f>
        <v>0.111129633904261</v>
      </c>
      <c r="AC19" s="66" t="n">
        <f aca="false">(N19+O19+P19)/Economy!O19</f>
        <v>0.0558871172861427</v>
      </c>
    </row>
    <row r="20" customFormat="false" ht="14.25" hidden="false" customHeight="false" outlineLevel="0" collapsed="false">
      <c r="A20" s="61" t="n">
        <v>1860</v>
      </c>
      <c r="B20" s="56" t="n">
        <f aca="false">Economy!O20*Paths!N20*Paths!O20*cust_coll</f>
        <v>5.04078459829037</v>
      </c>
      <c r="C20" s="56" t="n">
        <f aca="false">(Economy!J20+Economy!L20+Economy!M20+Economy!N20)*Paths!P20*Paths!Q20</f>
        <v>10.3682627892513</v>
      </c>
      <c r="D20" s="56" t="n">
        <f aca="false">Resources!P20+Resources!Q20</f>
        <v>2.025</v>
      </c>
      <c r="E20" s="56" t="n">
        <f aca="false">Paths!S20*(1-canal_opcost)*canal_share</f>
        <v>0</v>
      </c>
      <c r="F20" s="56" t="n">
        <f aca="false">Economy!O20*Paths!R20</f>
        <v>0.0507515565243305</v>
      </c>
      <c r="G20" s="56" t="n">
        <f aca="false">SUMPRODUCT((Events!$B$6:$B$174&lt;=$A20)*(Events!$C$6:$C$174&gt;=$A20)*(Events!$E$6:$E$174="Receipt")*Events!$H$6:$H$174)</f>
        <v>0.975</v>
      </c>
      <c r="H20" s="72" t="n">
        <f aca="false">Loans!Y20</f>
        <v>0</v>
      </c>
      <c r="I20" s="56" t="n">
        <f aca="false">'Debt &amp; cash'!S19*fund_yield</f>
        <v>0.00818319756827161</v>
      </c>
      <c r="J20" s="72" t="n">
        <f aca="false">Labour!Q20</f>
        <v>0</v>
      </c>
      <c r="K20" s="72" t="n">
        <f aca="false">Champions!BD20</f>
        <v>0</v>
      </c>
      <c r="L20" s="72" t="n">
        <f aca="false">Abroad!N20</f>
        <v>0.014874034641802</v>
      </c>
      <c r="M20" s="56" t="n">
        <f aca="false">SUM(B20:L20)</f>
        <v>18.4828561762761</v>
      </c>
      <c r="N20" s="56" t="n">
        <f aca="false">(Paths!W20*army_cost+Paths!X20*res_cost)*Economy!H20/1000000</f>
        <v>10.2564</v>
      </c>
      <c r="O20" s="72" t="n">
        <f aca="false">Navy!Y20</f>
        <v>1.45115</v>
      </c>
      <c r="P20" s="56" t="n">
        <f aca="false">SUMPRODUCT((Events!$B$6:$B$174&lt;=$A20)*(Events!$C$6:$C$174&gt;=$A20)*(Events!$E$6:$E$174="War &amp; operations")*Events!$H$6:$H$174)</f>
        <v>1</v>
      </c>
      <c r="Q20" s="56" t="n">
        <f aca="false">Economy!O20*Paths!T20</f>
        <v>3.71011378729589</v>
      </c>
      <c r="R20" s="56" t="n">
        <f aca="false">Economy!O20*Paths!U20</f>
        <v>3.20259822205258</v>
      </c>
      <c r="S20" s="56" t="n">
        <f aca="false">Economy!O20*Paths!V20+SUMPRODUCT((Events!$B$6:$B$174&lt;=$A20)*(Events!$C$6:$C$174&gt;=$A20)*(Events!$E$6:$E$174="Programme")*Events!$H$6:$H$174)+SUMPRODUCT((Events!$B$6:$B$174&lt;=$A20)*(Events!$C$6:$C$174&gt;=$A20)*(Events!$E$6:$E$174="Investment")*Events!$H$6:$H$174)</f>
        <v>1.52003435088178</v>
      </c>
      <c r="T20" s="56" t="n">
        <f aca="false">(People!T20*assist_cost+Labour!AD20*talent_cost+Labour!L20*gw_admin)*Economy!H20/1000000</f>
        <v>0.80256</v>
      </c>
      <c r="U20" s="56" t="n">
        <f aca="false">SUMPRODUCT((Events!$B$6:$B$174&lt;=$A20)*(Events!$C$6:$C$174&gt;=$A20)*(Events!$E$6:$E$174="Purchase")*Events!$H$6:$H$174)</f>
        <v>0</v>
      </c>
      <c r="V20" s="56" t="n">
        <f aca="false">SUMPRODUCT((Events!$B$6:$B$174&lt;=$A20)*(Events!$C$6:$C$174&gt;=$A20)*(Events!$E$6:$E$174="Subsidy &amp; guarantee")*Events!$H$6:$H$174)+SUMPRODUCT((Events!$B$6:$B$174&lt;=$A20)*(Events!$C$6:$C$174&gt;=$A20)*(Events!$E$6:$E$174="Relief")*Events!$H$6:$H$174)</f>
        <v>0</v>
      </c>
      <c r="W20" s="56" t="n">
        <f aca="false">SUMPRODUCT((Events!$B$6:$B$174&lt;=$A20)*(Events!$C$6:$C$174&gt;=$A20)*(Events!$E$6:$E$174="Bank rescue &amp; capital")*Events!$H$6:$H$174)</f>
        <v>0</v>
      </c>
      <c r="X20" s="56" t="n">
        <f aca="false">'Debt &amp; cash'!R19*Paths!Y20</f>
        <v>0.42271194671543</v>
      </c>
      <c r="Y20" s="56" t="n">
        <f aca="false">SUM(N20:X20)</f>
        <v>22.3655683069457</v>
      </c>
      <c r="Z20" s="56" t="n">
        <f aca="false">M20-Y20</f>
        <v>-3.8827121306696</v>
      </c>
      <c r="AA20" s="66" t="n">
        <f aca="false">M20/Economy!O20</f>
        <v>0.105613081808643</v>
      </c>
      <c r="AB20" s="66" t="n">
        <f aca="false">Y20/Economy!O20</f>
        <v>0.127799327807903</v>
      </c>
      <c r="AC20" s="66" t="n">
        <f aca="false">(N20+O20+P20)/Economy!O20</f>
        <v>0.0726123443767346</v>
      </c>
    </row>
    <row r="21" customFormat="false" ht="14.25" hidden="false" customHeight="false" outlineLevel="0" collapsed="false">
      <c r="A21" s="64" t="n">
        <v>1861</v>
      </c>
      <c r="B21" s="56" t="n">
        <f aca="false">Economy!O21*Paths!N21*Paths!O21*cust_coll</f>
        <v>5.16496333262516</v>
      </c>
      <c r="C21" s="56" t="n">
        <f aca="false">(Economy!J21+Economy!L21+Economy!M21+Economy!N21)*Paths!P21*Paths!Q21</f>
        <v>15.4802261330457</v>
      </c>
      <c r="D21" s="56" t="n">
        <f aca="false">Resources!P21+Resources!Q21</f>
        <v>1.845</v>
      </c>
      <c r="E21" s="56" t="n">
        <f aca="false">Paths!S21*(1-canal_opcost)*canal_share</f>
        <v>0</v>
      </c>
      <c r="F21" s="56" t="n">
        <f aca="false">Economy!O21*Paths!R21</f>
        <v>0.0559447460906289</v>
      </c>
      <c r="G21" s="56" t="n">
        <f aca="false">SUMPRODUCT((Events!$B$6:$B$174&lt;=$A21)*(Events!$C$6:$C$174&gt;=$A21)*(Events!$E$6:$E$174="Receipt")*Events!$H$6:$H$174)</f>
        <v>1</v>
      </c>
      <c r="H21" s="72" t="n">
        <f aca="false">Loans!Y21</f>
        <v>0</v>
      </c>
      <c r="I21" s="56" t="n">
        <f aca="false">'Debt &amp; cash'!S20*fund_yield</f>
        <v>0</v>
      </c>
      <c r="J21" s="72" t="n">
        <f aca="false">Labour!Q21</f>
        <v>0</v>
      </c>
      <c r="K21" s="72" t="n">
        <f aca="false">Champions!BD21</f>
        <v>0</v>
      </c>
      <c r="L21" s="72" t="n">
        <f aca="false">Abroad!N21</f>
        <v>0.0165278780104512</v>
      </c>
      <c r="M21" s="56" t="n">
        <f aca="false">SUM(B21:L21)</f>
        <v>23.5626620897719</v>
      </c>
      <c r="N21" s="56" t="n">
        <f aca="false">(Paths!W21*army_cost+Paths!X21*res_cost)*Economy!H21/1000000</f>
        <v>13.508</v>
      </c>
      <c r="O21" s="72" t="n">
        <f aca="false">Navy!Y21</f>
        <v>2.573875</v>
      </c>
      <c r="P21" s="56" t="n">
        <f aca="false">SUMPRODUCT((Events!$B$6:$B$174&lt;=$A21)*(Events!$C$6:$C$174&gt;=$A21)*(Events!$E$6:$E$174="War &amp; operations")*Events!$H$6:$H$174)</f>
        <v>6</v>
      </c>
      <c r="Q21" s="56" t="n">
        <f aca="false">Economy!O21*Paths!T21</f>
        <v>3.86199214948213</v>
      </c>
      <c r="R21" s="56" t="n">
        <f aca="false">Economy!O21*Paths!U21</f>
        <v>3.32059138086314</v>
      </c>
      <c r="S21" s="56" t="n">
        <f aca="false">Economy!O21*Paths!V21+SUMPRODUCT((Events!$B$6:$B$174&lt;=$A21)*(Events!$C$6:$C$174&gt;=$A21)*(Events!$E$6:$E$174="Programme")*Events!$H$6:$H$174)+SUMPRODUCT((Events!$B$6:$B$174&lt;=$A21)*(Events!$C$6:$C$174&gt;=$A21)*(Events!$E$6:$E$174="Investment")*Events!$H$6:$H$174)</f>
        <v>1.57303499867448</v>
      </c>
      <c r="T21" s="56" t="n">
        <f aca="false">(People!T21*assist_cost+Labour!AD21*talent_cost+Labour!L21*gw_admin)*Economy!H21/1000000</f>
        <v>0.90816</v>
      </c>
      <c r="U21" s="56" t="n">
        <f aca="false">SUMPRODUCT((Events!$B$6:$B$174&lt;=$A21)*(Events!$C$6:$C$174&gt;=$A21)*(Events!$E$6:$E$174="Purchase")*Events!$H$6:$H$174)</f>
        <v>0</v>
      </c>
      <c r="V21" s="56" t="n">
        <f aca="false">SUMPRODUCT((Events!$B$6:$B$174&lt;=$A21)*(Events!$C$6:$C$174&gt;=$A21)*(Events!$E$6:$E$174="Subsidy &amp; guarantee")*Events!$H$6:$H$174)+SUMPRODUCT((Events!$B$6:$B$174&lt;=$A21)*(Events!$C$6:$C$174&gt;=$A21)*(Events!$E$6:$E$174="Relief")*Events!$H$6:$H$174)</f>
        <v>0</v>
      </c>
      <c r="W21" s="56" t="n">
        <f aca="false">SUMPRODUCT((Events!$B$6:$B$174&lt;=$A21)*(Events!$C$6:$C$174&gt;=$A21)*(Events!$E$6:$E$174="Bank rescue &amp; capital")*Events!$H$6:$H$174)</f>
        <v>0</v>
      </c>
      <c r="X21" s="56" t="n">
        <f aca="false">'Debt &amp; cash'!R20*Paths!Y21</f>
        <v>0.680461804553267</v>
      </c>
      <c r="Y21" s="56" t="n">
        <f aca="false">SUM(N21:X21)</f>
        <v>32.426115333573</v>
      </c>
      <c r="Z21" s="56" t="n">
        <f aca="false">M21-Y21</f>
        <v>-8.86345324380111</v>
      </c>
      <c r="AA21" s="66" t="n">
        <f aca="false">M21/Economy!O21</f>
        <v>0.130564990606916</v>
      </c>
      <c r="AB21" s="66" t="n">
        <f aca="false">Y21/Economy!O21</f>
        <v>0.179678995005599</v>
      </c>
      <c r="AC21" s="66" t="n">
        <f aca="false">(N21+O21+P21)/Economy!O21</f>
        <v>0.122359680369461</v>
      </c>
    </row>
    <row r="22" customFormat="false" ht="14.25" hidden="false" customHeight="false" outlineLevel="0" collapsed="false">
      <c r="A22" s="64" t="n">
        <v>1862</v>
      </c>
      <c r="B22" s="56" t="n">
        <f aca="false">Economy!O22*Paths!N22*Paths!O22*cust_coll</f>
        <v>5.91352649197615</v>
      </c>
      <c r="C22" s="56" t="n">
        <f aca="false">(Economy!J22+Economy!L22+Economy!M22+Economy!N22)*Paths!P22*Paths!Q22</f>
        <v>18.4983352921455</v>
      </c>
      <c r="D22" s="56" t="n">
        <f aca="false">Resources!P22+Resources!Q22</f>
        <v>1.71</v>
      </c>
      <c r="E22" s="56" t="n">
        <f aca="false">Paths!S22*(1-canal_opcost)*canal_share</f>
        <v>0</v>
      </c>
      <c r="F22" s="56" t="n">
        <f aca="false">Economy!O22*Paths!R22</f>
        <v>0.0686255553569414</v>
      </c>
      <c r="G22" s="56" t="n">
        <f aca="false">SUMPRODUCT((Events!$B$6:$B$174&lt;=$A22)*(Events!$C$6:$C$174&gt;=$A22)*(Events!$E$6:$E$174="Receipt")*Events!$H$6:$H$174)</f>
        <v>1</v>
      </c>
      <c r="H22" s="72" t="n">
        <f aca="false">Loans!Y22</f>
        <v>0</v>
      </c>
      <c r="I22" s="56" t="n">
        <f aca="false">'Debt &amp; cash'!S21*fund_yield</f>
        <v>0</v>
      </c>
      <c r="J22" s="72" t="n">
        <f aca="false">Labour!Q22</f>
        <v>0</v>
      </c>
      <c r="K22" s="72" t="n">
        <f aca="false">Champions!BD22</f>
        <v>0</v>
      </c>
      <c r="L22" s="72" t="n">
        <f aca="false">Abroad!N22</f>
        <v>0.0181976447446137</v>
      </c>
      <c r="M22" s="56" t="n">
        <f aca="false">SUM(B22:L22)</f>
        <v>27.2086849842232</v>
      </c>
      <c r="N22" s="56" t="n">
        <f aca="false">(Paths!W22*army_cost+Paths!X22*res_cost)*Economy!H22/1000000</f>
        <v>24.7016</v>
      </c>
      <c r="O22" s="72" t="n">
        <f aca="false">Navy!Y22</f>
        <v>3.264536</v>
      </c>
      <c r="P22" s="56" t="n">
        <f aca="false">SUMPRODUCT((Events!$B$6:$B$174&lt;=$A22)*(Events!$C$6:$C$174&gt;=$A22)*(Events!$E$6:$E$174="War &amp; operations")*Events!$H$6:$H$174)</f>
        <v>5</v>
      </c>
      <c r="Q22" s="56" t="n">
        <f aca="false">Economy!O22*Paths!T22</f>
        <v>4.47105890961891</v>
      </c>
      <c r="R22" s="56" t="n">
        <f aca="false">Economy!O22*Paths!U22</f>
        <v>3.84719022455581</v>
      </c>
      <c r="S22" s="56" t="n">
        <f aca="false">Economy!O22*Paths!V22+SUMPRODUCT((Events!$B$6:$B$174&lt;=$A22)*(Events!$C$6:$C$174&gt;=$A22)*(Events!$E$6:$E$174="Programme")*Events!$H$6:$H$174)+SUMPRODUCT((Events!$B$6:$B$174&lt;=$A22)*(Events!$C$6:$C$174&gt;=$A22)*(Events!$E$6:$E$174="Investment")*Events!$H$6:$H$174)</f>
        <v>1.37251110713883</v>
      </c>
      <c r="T22" s="56" t="n">
        <f aca="false">(People!T22*assist_cost+Labour!AD22*talent_cost+Labour!L22*gw_admin)*Economy!H22/1000000</f>
        <v>0.90816</v>
      </c>
      <c r="U22" s="56" t="n">
        <f aca="false">SUMPRODUCT((Events!$B$6:$B$174&lt;=$A22)*(Events!$C$6:$C$174&gt;=$A22)*(Events!$E$6:$E$174="Purchase")*Events!$H$6:$H$174)</f>
        <v>0</v>
      </c>
      <c r="V22" s="56" t="n">
        <f aca="false">SUMPRODUCT((Events!$B$6:$B$174&lt;=$A22)*(Events!$C$6:$C$174&gt;=$A22)*(Events!$E$6:$E$174="Subsidy &amp; guarantee")*Events!$H$6:$H$174)+SUMPRODUCT((Events!$B$6:$B$174&lt;=$A22)*(Events!$C$6:$C$174&gt;=$A22)*(Events!$E$6:$E$174="Relief")*Events!$H$6:$H$174)</f>
        <v>0.8</v>
      </c>
      <c r="W22" s="56" t="n">
        <f aca="false">SUMPRODUCT((Events!$B$6:$B$174&lt;=$A22)*(Events!$C$6:$C$174&gt;=$A22)*(Events!$E$6:$E$174="Bank rescue &amp; capital")*Events!$H$6:$H$174)</f>
        <v>0</v>
      </c>
      <c r="X22" s="56" t="n">
        <f aca="false">'Debt &amp; cash'!R21*Paths!Y22</f>
        <v>1.35476447847987</v>
      </c>
      <c r="Y22" s="56" t="n">
        <f aca="false">SUM(N22:X22)</f>
        <v>45.7198207197934</v>
      </c>
      <c r="Z22" s="56" t="n">
        <f aca="false">M22-Y22</f>
        <v>-18.5111357355702</v>
      </c>
      <c r="AA22" s="66" t="n">
        <f aca="false">M22/Economy!O22</f>
        <v>0.130838519238088</v>
      </c>
      <c r="AB22" s="66" t="n">
        <f aca="false">Y22/Economy!O22</f>
        <v>0.21985309640202</v>
      </c>
      <c r="AC22" s="66" t="n">
        <f aca="false">(N22+O22+P22)/Economy!O22</f>
        <v>0.158524398431693</v>
      </c>
    </row>
    <row r="23" customFormat="false" ht="14.25" hidden="false" customHeight="false" outlineLevel="0" collapsed="false">
      <c r="A23" s="64" t="n">
        <v>1863</v>
      </c>
      <c r="B23" s="56" t="n">
        <f aca="false">Economy!O23*Paths!N23*Paths!O23*cust_coll</f>
        <v>7.32467382855804</v>
      </c>
      <c r="C23" s="56" t="n">
        <f aca="false">(Economy!J23+Economy!L23+Economy!M23+Economy!N23)*Paths!P23*Paths!Q23</f>
        <v>23.7206842367186</v>
      </c>
      <c r="D23" s="56" t="n">
        <f aca="false">Resources!P23+Resources!Q23</f>
        <v>1.71</v>
      </c>
      <c r="E23" s="56" t="n">
        <f aca="false">Paths!S23*(1-canal_opcost)*canal_share</f>
        <v>0</v>
      </c>
      <c r="F23" s="56" t="n">
        <f aca="false">Economy!O23*Paths!R23</f>
        <v>0.0907045047338383</v>
      </c>
      <c r="G23" s="56" t="n">
        <f aca="false">SUMPRODUCT((Events!$B$6:$B$174&lt;=$A23)*(Events!$C$6:$C$174&gt;=$A23)*(Events!$E$6:$E$174="Receipt")*Events!$H$6:$H$174)</f>
        <v>1</v>
      </c>
      <c r="H23" s="72" t="n">
        <f aca="false">Loans!Y23</f>
        <v>0</v>
      </c>
      <c r="I23" s="56" t="n">
        <f aca="false">'Debt &amp; cash'!S22*fund_yield</f>
        <v>0</v>
      </c>
      <c r="J23" s="72" t="n">
        <f aca="false">Labour!Q23</f>
        <v>0</v>
      </c>
      <c r="K23" s="72" t="n">
        <f aca="false">Champions!BD23</f>
        <v>0</v>
      </c>
      <c r="L23" s="72" t="n">
        <f aca="false">Abroad!N23</f>
        <v>0.0201471901425277</v>
      </c>
      <c r="M23" s="56" t="n">
        <f aca="false">SUM(B23:L23)</f>
        <v>33.866209760153</v>
      </c>
      <c r="N23" s="56" t="n">
        <f aca="false">(Paths!W23*army_cost+Paths!X23*res_cost)*Economy!H23/1000000</f>
        <v>27.9797175</v>
      </c>
      <c r="O23" s="72" t="n">
        <f aca="false">Navy!Y23</f>
        <v>4.558677905</v>
      </c>
      <c r="P23" s="56" t="n">
        <f aca="false">SUMPRODUCT((Events!$B$6:$B$174&lt;=$A23)*(Events!$C$6:$C$174&gt;=$A23)*(Events!$E$6:$E$174="War &amp; operations")*Events!$H$6:$H$174)</f>
        <v>5</v>
      </c>
      <c r="Q23" s="56" t="n">
        <f aca="false">Economy!O23*Paths!T23</f>
        <v>5.62367929349798</v>
      </c>
      <c r="R23" s="56" t="n">
        <f aca="false">Economy!O23*Paths!U23</f>
        <v>4.82029653728398</v>
      </c>
      <c r="S23" s="56" t="n">
        <f aca="false">Economy!O23*Paths!V23+SUMPRODUCT((Events!$B$6:$B$174&lt;=$A23)*(Events!$C$6:$C$174&gt;=$A23)*(Events!$E$6:$E$174="Programme")*Events!$H$6:$H$174)+SUMPRODUCT((Events!$B$6:$B$174&lt;=$A23)*(Events!$C$6:$C$174&gt;=$A23)*(Events!$E$6:$E$174="Investment")*Events!$H$6:$H$174)</f>
        <v>1.73634337633348</v>
      </c>
      <c r="T23" s="56" t="n">
        <f aca="false">(People!T23*assist_cost+Labour!AD23*talent_cost+Labour!L23*gw_admin)*Economy!H23/1000000</f>
        <v>0.9322056</v>
      </c>
      <c r="U23" s="56" t="n">
        <f aca="false">SUMPRODUCT((Events!$B$6:$B$174&lt;=$A23)*(Events!$C$6:$C$174&gt;=$A23)*(Events!$E$6:$E$174="Purchase")*Events!$H$6:$H$174)</f>
        <v>0</v>
      </c>
      <c r="V23" s="56" t="n">
        <f aca="false">SUMPRODUCT((Events!$B$6:$B$174&lt;=$A23)*(Events!$C$6:$C$174&gt;=$A23)*(Events!$E$6:$E$174="Subsidy &amp; guarantee")*Events!$H$6:$H$174)+SUMPRODUCT((Events!$B$6:$B$174&lt;=$A23)*(Events!$C$6:$C$174&gt;=$A23)*(Events!$E$6:$E$174="Relief")*Events!$H$6:$H$174)</f>
        <v>0.8</v>
      </c>
      <c r="W23" s="56" t="n">
        <f aca="false">SUMPRODUCT((Events!$B$6:$B$174&lt;=$A23)*(Events!$C$6:$C$174&gt;=$A23)*(Events!$E$6:$E$174="Bank rescue &amp; capital")*Events!$H$6:$H$174)</f>
        <v>0</v>
      </c>
      <c r="X23" s="56" t="n">
        <f aca="false">'Debt &amp; cash'!R22*Paths!Y23</f>
        <v>2.65344260846809</v>
      </c>
      <c r="Y23" s="56" t="n">
        <f aca="false">SUM(N23:X23)</f>
        <v>54.1043628205835</v>
      </c>
      <c r="Z23" s="56" t="n">
        <f aca="false">M23-Y23</f>
        <v>-20.2381530604305</v>
      </c>
      <c r="AA23" s="66" t="n">
        <f aca="false">M23/Economy!O23</f>
        <v>0.130678993847497</v>
      </c>
      <c r="AB23" s="66" t="n">
        <f aca="false">Y23/Economy!O23</f>
        <v>0.208771626533558</v>
      </c>
      <c r="AC23" s="66" t="n">
        <f aca="false">(N23+O23+P23)/Economy!O23</f>
        <v>0.144848796984264</v>
      </c>
    </row>
    <row r="24" customFormat="false" ht="14.25" hidden="false" customHeight="false" outlineLevel="0" collapsed="false">
      <c r="A24" s="64" t="n">
        <v>1864</v>
      </c>
      <c r="B24" s="56" t="n">
        <f aca="false">Economy!O24*Paths!N24*Paths!O24*cust_coll</f>
        <v>8.83077222835015</v>
      </c>
      <c r="C24" s="56" t="n">
        <f aca="false">(Economy!J24+Economy!L24+Economy!M24+Economy!N24)*Paths!P24*Paths!Q24</f>
        <v>27.8649914277676</v>
      </c>
      <c r="D24" s="56" t="n">
        <f aca="false">Resources!P24+Resources!Q24</f>
        <v>2.655</v>
      </c>
      <c r="E24" s="56" t="n">
        <f aca="false">Paths!S24*(1-canal_opcost)*canal_share</f>
        <v>0</v>
      </c>
      <c r="F24" s="56" t="n">
        <f aca="false">Economy!O24*Paths!R24</f>
        <v>0.119504752377958</v>
      </c>
      <c r="G24" s="56" t="n">
        <f aca="false">SUMPRODUCT((Events!$B$6:$B$174&lt;=$A24)*(Events!$C$6:$C$174&gt;=$A24)*(Events!$E$6:$E$174="Receipt")*Events!$H$6:$H$174)</f>
        <v>1</v>
      </c>
      <c r="H24" s="72" t="n">
        <f aca="false">Loans!Y24</f>
        <v>0</v>
      </c>
      <c r="I24" s="56" t="n">
        <f aca="false">'Debt &amp; cash'!S23*fund_yield</f>
        <v>0</v>
      </c>
      <c r="J24" s="72" t="n">
        <f aca="false">Labour!Q24</f>
        <v>0</v>
      </c>
      <c r="K24" s="72" t="n">
        <f aca="false">Champions!BD24</f>
        <v>0</v>
      </c>
      <c r="L24" s="72" t="n">
        <f aca="false">Abroad!N24</f>
        <v>0.0226526431719834</v>
      </c>
      <c r="M24" s="56" t="n">
        <f aca="false">SUM(B24:L24)</f>
        <v>40.4929210516677</v>
      </c>
      <c r="N24" s="56" t="n">
        <f aca="false">(Paths!W24*army_cost+Paths!X24*res_cost)*Economy!H24/1000000</f>
        <v>28.801836</v>
      </c>
      <c r="O24" s="72" t="n">
        <f aca="false">Navy!Y24</f>
        <v>4.85373945</v>
      </c>
      <c r="P24" s="56" t="n">
        <f aca="false">SUMPRODUCT((Events!$B$6:$B$174&lt;=$A24)*(Events!$C$6:$C$174&gt;=$A24)*(Events!$E$6:$E$174="War &amp; operations")*Events!$H$6:$H$174)</f>
        <v>5</v>
      </c>
      <c r="Q24" s="56" t="n">
        <f aca="false">Economy!O24*Paths!T24</f>
        <v>6.85579895220916</v>
      </c>
      <c r="R24" s="56" t="n">
        <f aca="false">Economy!O24*Paths!U24</f>
        <v>5.8808917617574</v>
      </c>
      <c r="S24" s="56" t="n">
        <f aca="false">Economy!O24*Paths!V24+SUMPRODUCT((Events!$B$6:$B$174&lt;=$A24)*(Events!$C$6:$C$174&gt;=$A24)*(Events!$E$6:$E$174="Programme")*Events!$H$6:$H$174)+SUMPRODUCT((Events!$B$6:$B$174&lt;=$A24)*(Events!$C$6:$C$174&gt;=$A24)*(Events!$E$6:$E$174="Investment")*Events!$H$6:$H$174)</f>
        <v>2.13850609518451</v>
      </c>
      <c r="T24" s="56" t="n">
        <f aca="false">(People!T24*assist_cost+Labour!AD24*talent_cost+Labour!L24*gw_admin)*Economy!H24/1000000</f>
        <v>0.9563544</v>
      </c>
      <c r="U24" s="56" t="n">
        <f aca="false">SUMPRODUCT((Events!$B$6:$B$174&lt;=$A24)*(Events!$C$6:$C$174&gt;=$A24)*(Events!$E$6:$E$174="Purchase")*Events!$H$6:$H$174)</f>
        <v>0</v>
      </c>
      <c r="V24" s="56" t="n">
        <f aca="false">SUMPRODUCT((Events!$B$6:$B$174&lt;=$A24)*(Events!$C$6:$C$174&gt;=$A24)*(Events!$E$6:$E$174="Subsidy &amp; guarantee")*Events!$H$6:$H$174)+SUMPRODUCT((Events!$B$6:$B$174&lt;=$A24)*(Events!$C$6:$C$174&gt;=$A24)*(Events!$E$6:$E$174="Relief")*Events!$H$6:$H$174)</f>
        <v>0.8</v>
      </c>
      <c r="W24" s="56" t="n">
        <f aca="false">SUMPRODUCT((Events!$B$6:$B$174&lt;=$A24)*(Events!$C$6:$C$174&gt;=$A24)*(Events!$E$6:$E$174="Bank rescue &amp; capital")*Events!$H$6:$H$174)</f>
        <v>0</v>
      </c>
      <c r="X24" s="56" t="n">
        <f aca="false">'Debt &amp; cash'!R23*Paths!Y24</f>
        <v>4.12423834621134</v>
      </c>
      <c r="Y24" s="56" t="n">
        <f aca="false">SUM(N24:X24)</f>
        <v>59.4113650053624</v>
      </c>
      <c r="Z24" s="56" t="n">
        <f aca="false">M24-Y24</f>
        <v>-18.9184439536947</v>
      </c>
      <c r="AA24" s="66" t="n">
        <f aca="false">M24/Economy!O24</f>
        <v>0.128758979818378</v>
      </c>
      <c r="AB24" s="66" t="n">
        <f aca="false">Y24/Economy!O24</f>
        <v>0.188915656095714</v>
      </c>
      <c r="AC24" s="66" t="n">
        <f aca="false">(N24+O24+P24)/Economy!O24</f>
        <v>0.122916606902316</v>
      </c>
    </row>
    <row r="25" customFormat="false" ht="14.25" hidden="false" customHeight="false" outlineLevel="0" collapsed="false">
      <c r="A25" s="64" t="n">
        <v>1865</v>
      </c>
      <c r="B25" s="56" t="n">
        <f aca="false">Economy!O25*Paths!N25*Paths!O25*cust_coll</f>
        <v>9.57289515223255</v>
      </c>
      <c r="C25" s="56" t="n">
        <f aca="false">(Economy!J25+Economy!L25+Economy!M25+Economy!N25)*Paths!P25*Paths!Q25</f>
        <v>30.8609976143058</v>
      </c>
      <c r="D25" s="56" t="n">
        <f aca="false">Resources!P25+Resources!Q25</f>
        <v>2.61</v>
      </c>
      <c r="E25" s="56" t="n">
        <f aca="false">Paths!S25*(1-canal_opcost)*canal_share</f>
        <v>0</v>
      </c>
      <c r="F25" s="56" t="n">
        <f aca="false">Economy!O25*Paths!R25</f>
        <v>0.137263520056101</v>
      </c>
      <c r="G25" s="56" t="n">
        <f aca="false">SUMPRODUCT((Events!$B$6:$B$174&lt;=$A25)*(Events!$C$6:$C$174&gt;=$A25)*(Events!$E$6:$E$174="Receipt")*Events!$H$6:$H$174)</f>
        <v>1</v>
      </c>
      <c r="H25" s="72" t="n">
        <f aca="false">Loans!Y25</f>
        <v>0</v>
      </c>
      <c r="I25" s="56" t="n">
        <f aca="false">'Debt &amp; cash'!S24*fund_yield</f>
        <v>0</v>
      </c>
      <c r="J25" s="72" t="n">
        <f aca="false">Labour!Q25</f>
        <v>0</v>
      </c>
      <c r="K25" s="72" t="n">
        <f aca="false">Champions!BD25</f>
        <v>0</v>
      </c>
      <c r="L25" s="72" t="n">
        <f aca="false">Abroad!N25</f>
        <v>0.0257468981624437</v>
      </c>
      <c r="M25" s="56" t="n">
        <f aca="false">SUM(B25:L25)</f>
        <v>44.2069031847569</v>
      </c>
      <c r="N25" s="56" t="n">
        <f aca="false">(Paths!W25*army_cost+Paths!X25*res_cost)*Economy!H25/1000000</f>
        <v>22.99</v>
      </c>
      <c r="O25" s="72" t="n">
        <f aca="false">Navy!Y25</f>
        <v>3.77429</v>
      </c>
      <c r="P25" s="56" t="n">
        <f aca="false">SUMPRODUCT((Events!$B$6:$B$174&lt;=$A25)*(Events!$C$6:$C$174&gt;=$A25)*(Events!$E$6:$E$174="War &amp; operations")*Events!$H$6:$H$174)</f>
        <v>0</v>
      </c>
      <c r="Q25" s="56" t="n">
        <f aca="false">Economy!O25*Paths!T25</f>
        <v>7.54949360308556</v>
      </c>
      <c r="R25" s="56" t="n">
        <f aca="false">Economy!O25*Paths!U25</f>
        <v>6.41706956262273</v>
      </c>
      <c r="S25" s="56" t="n">
        <f aca="false">Economy!O25*Paths!V25+SUMPRODUCT((Events!$B$6:$B$174&lt;=$A25)*(Events!$C$6:$C$174&gt;=$A25)*(Events!$E$6:$E$174="Programme")*Events!$H$6:$H$174)+SUMPRODUCT((Events!$B$6:$B$174&lt;=$A25)*(Events!$C$6:$C$174&gt;=$A25)*(Events!$E$6:$E$174="Investment")*Events!$H$6:$H$174)</f>
        <v>2.36779572096774</v>
      </c>
      <c r="T25" s="56" t="n">
        <f aca="false">(People!T25*assist_cost+Labour!AD25*talent_cost+Labour!L25*gw_admin)*Economy!H25/1000000</f>
        <v>0.9804</v>
      </c>
      <c r="U25" s="56" t="n">
        <f aca="false">SUMPRODUCT((Events!$B$6:$B$174&lt;=$A25)*(Events!$C$6:$C$174&gt;=$A25)*(Events!$E$6:$E$174="Purchase")*Events!$H$6:$H$174)</f>
        <v>0</v>
      </c>
      <c r="V25" s="56" t="n">
        <f aca="false">SUMPRODUCT((Events!$B$6:$B$174&lt;=$A25)*(Events!$C$6:$C$174&gt;=$A25)*(Events!$E$6:$E$174="Subsidy &amp; guarantee")*Events!$H$6:$H$174)+SUMPRODUCT((Events!$B$6:$B$174&lt;=$A25)*(Events!$C$6:$C$174&gt;=$A25)*(Events!$E$6:$E$174="Relief")*Events!$H$6:$H$174)</f>
        <v>2</v>
      </c>
      <c r="W25" s="56" t="n">
        <f aca="false">SUMPRODUCT((Events!$B$6:$B$174&lt;=$A25)*(Events!$C$6:$C$174&gt;=$A25)*(Events!$E$6:$E$174="Bank rescue &amp; capital")*Events!$H$6:$H$174)</f>
        <v>0</v>
      </c>
      <c r="X25" s="56" t="n">
        <f aca="false">'Debt &amp; cash'!R24*Paths!Y25</f>
        <v>5.52466973112234</v>
      </c>
      <c r="Y25" s="56" t="n">
        <f aca="false">SUM(N25:X25)</f>
        <v>51.6037186177984</v>
      </c>
      <c r="Z25" s="56" t="n">
        <f aca="false">M25-Y25</f>
        <v>-7.3968154330415</v>
      </c>
      <c r="AA25" s="66" t="n">
        <f aca="false">M25/Economy!O25</f>
        <v>0.128823457730616</v>
      </c>
      <c r="AB25" s="66" t="n">
        <f aca="false">Y25/Economy!O25</f>
        <v>0.150378537856839</v>
      </c>
      <c r="AC25" s="66" t="n">
        <f aca="false">(N25+O25+P25)/Economy!O25</f>
        <v>0.0779938908431348</v>
      </c>
    </row>
    <row r="26" customFormat="false" ht="14.25" hidden="false" customHeight="false" outlineLevel="0" collapsed="false">
      <c r="A26" s="61" t="n">
        <v>1866</v>
      </c>
      <c r="B26" s="56" t="n">
        <f aca="false">Economy!O26*Paths!N26*Paths!O26*cust_coll</f>
        <v>10.1676675629535</v>
      </c>
      <c r="C26" s="56" t="n">
        <f aca="false">(Economy!J26+Economy!L26+Economy!M26+Economy!N26)*Paths!P26*Paths!Q26</f>
        <v>32.0181438845859</v>
      </c>
      <c r="D26" s="56" t="n">
        <f aca="false">Resources!P26+Resources!Q26</f>
        <v>2.52</v>
      </c>
      <c r="E26" s="56" t="n">
        <f aca="false">Paths!S26*(1-canal_opcost)*canal_share</f>
        <v>0</v>
      </c>
      <c r="F26" s="56" t="n">
        <f aca="false">Economy!O26*Paths!R26</f>
        <v>0.154035564516891</v>
      </c>
      <c r="G26" s="56" t="n">
        <f aca="false">SUMPRODUCT((Events!$B$6:$B$174&lt;=$A26)*(Events!$C$6:$C$174&gt;=$A26)*(Events!$E$6:$E$174="Receipt")*Events!$H$6:$H$174)</f>
        <v>1</v>
      </c>
      <c r="H26" s="72" t="n">
        <f aca="false">Loans!Y26</f>
        <v>0</v>
      </c>
      <c r="I26" s="56" t="n">
        <f aca="false">'Debt &amp; cash'!S25*fund_yield</f>
        <v>0</v>
      </c>
      <c r="J26" s="72" t="n">
        <f aca="false">Labour!Q26</f>
        <v>0</v>
      </c>
      <c r="K26" s="72" t="n">
        <f aca="false">Champions!BD26</f>
        <v>0</v>
      </c>
      <c r="L26" s="72" t="n">
        <f aca="false">Abroad!N26</f>
        <v>0.0290923968192534</v>
      </c>
      <c r="M26" s="56" t="n">
        <f aca="false">SUM(B26:L26)</f>
        <v>45.8889394088756</v>
      </c>
      <c r="N26" s="56" t="n">
        <f aca="false">(Paths!W26*army_cost+Paths!X26*res_cost)*Economy!H26/1000000</f>
        <v>16.34</v>
      </c>
      <c r="O26" s="72" t="n">
        <f aca="false">Navy!Y26</f>
        <v>3.818265</v>
      </c>
      <c r="P26" s="56" t="n">
        <f aca="false">SUMPRODUCT((Events!$B$6:$B$174&lt;=$A26)*(Events!$C$6:$C$174&gt;=$A26)*(Events!$E$6:$E$174="War &amp; operations")*Events!$H$6:$H$174)</f>
        <v>0</v>
      </c>
      <c r="Q26" s="56" t="n">
        <f aca="false">Economy!O26*Paths!T26</f>
        <v>8.17855497315874</v>
      </c>
      <c r="R26" s="56" t="n">
        <f aca="false">Economy!O26*Paths!U26</f>
        <v>6.89492526885131</v>
      </c>
      <c r="S26" s="56" t="n">
        <f aca="false">Economy!O26*Paths!V26+SUMPRODUCT((Events!$B$6:$B$174&lt;=$A26)*(Events!$C$6:$C$174&gt;=$A26)*(Events!$E$6:$E$174="Programme")*Events!$H$6:$H$174)+SUMPRODUCT((Events!$B$6:$B$174&lt;=$A26)*(Events!$C$6:$C$174&gt;=$A26)*(Events!$E$6:$E$174="Investment")*Events!$H$6:$H$174)</f>
        <v>2.56725940861485</v>
      </c>
      <c r="T26" s="56" t="n">
        <f aca="false">(People!T26*assist_cost+Labour!AD26*talent_cost+Labour!L26*gw_admin)*Economy!H26/1000000</f>
        <v>2.0064</v>
      </c>
      <c r="U26" s="56" t="n">
        <f aca="false">SUMPRODUCT((Events!$B$6:$B$174&lt;=$A26)*(Events!$C$6:$C$174&gt;=$A26)*(Events!$E$6:$E$174="Purchase")*Events!$H$6:$H$174)</f>
        <v>5.71428571428571</v>
      </c>
      <c r="V26" s="56" t="n">
        <f aca="false">SUMPRODUCT((Events!$B$6:$B$174&lt;=$A26)*(Events!$C$6:$C$174&gt;=$A26)*(Events!$E$6:$E$174="Subsidy &amp; guarantee")*Events!$H$6:$H$174)+SUMPRODUCT((Events!$B$6:$B$174&lt;=$A26)*(Events!$C$6:$C$174&gt;=$A26)*(Events!$E$6:$E$174="Relief")*Events!$H$6:$H$174)</f>
        <v>0</v>
      </c>
      <c r="W26" s="56" t="n">
        <f aca="false">SUMPRODUCT((Events!$B$6:$B$174&lt;=$A26)*(Events!$C$6:$C$174&gt;=$A26)*(Events!$E$6:$E$174="Bank rescue &amp; capital")*Events!$H$6:$H$174)</f>
        <v>0</v>
      </c>
      <c r="X26" s="56" t="n">
        <f aca="false">'Debt &amp; cash'!R25*Paths!Y26</f>
        <v>6.02042751374729</v>
      </c>
      <c r="Y26" s="56" t="n">
        <f aca="false">SUM(N26:X26)</f>
        <v>51.5401178786579</v>
      </c>
      <c r="Z26" s="56" t="n">
        <f aca="false">M26-Y26</f>
        <v>-5.65117846978229</v>
      </c>
      <c r="AA26" s="66" t="n">
        <f aca="false">M26/Economy!O26</f>
        <v>0.125122757281253</v>
      </c>
      <c r="AB26" s="66" t="n">
        <f aca="false">Y26/Economy!O26</f>
        <v>0.140531503727262</v>
      </c>
      <c r="AC26" s="66" t="n">
        <f aca="false">(N26+O26+P26)/Economy!O26</f>
        <v>0.0549643929734915</v>
      </c>
    </row>
    <row r="27" customFormat="false" ht="14.25" hidden="false" customHeight="false" outlineLevel="0" collapsed="false">
      <c r="A27" s="61" t="n">
        <v>1867</v>
      </c>
      <c r="B27" s="56" t="n">
        <f aca="false">Economy!O27*Paths!N27*Paths!O27*cust_coll</f>
        <v>10.9856569774475</v>
      </c>
      <c r="C27" s="56" t="n">
        <f aca="false">(Economy!J27+Economy!L27+Economy!M27+Economy!N27)*Paths!P27*Paths!Q27</f>
        <v>35.5710510001994</v>
      </c>
      <c r="D27" s="56" t="n">
        <f aca="false">Resources!P27+Resources!Q27</f>
        <v>2.25</v>
      </c>
      <c r="E27" s="56" t="n">
        <f aca="false">Paths!S27*(1-canal_opcost)*canal_share</f>
        <v>0</v>
      </c>
      <c r="F27" s="56" t="n">
        <f aca="false">Economy!O27*Paths!R27</f>
        <v>0.175515216778391</v>
      </c>
      <c r="G27" s="56" t="n">
        <f aca="false">SUMPRODUCT((Events!$B$6:$B$174&lt;=$A27)*(Events!$C$6:$C$174&gt;=$A27)*(Events!$E$6:$E$174="Receipt")*Events!$H$6:$H$174)</f>
        <v>0.98</v>
      </c>
      <c r="H27" s="72" t="n">
        <f aca="false">Loans!Y27</f>
        <v>0</v>
      </c>
      <c r="I27" s="56" t="n">
        <f aca="false">'Debt &amp; cash'!S26*fund_yield</f>
        <v>0</v>
      </c>
      <c r="J27" s="72" t="n">
        <f aca="false">Labour!Q27</f>
        <v>0</v>
      </c>
      <c r="K27" s="72" t="n">
        <f aca="false">Champions!BD27</f>
        <v>0</v>
      </c>
      <c r="L27" s="72" t="n">
        <f aca="false">Abroad!N27</f>
        <v>0.0344220405753941</v>
      </c>
      <c r="M27" s="56" t="n">
        <f aca="false">SUM(B27:L27)</f>
        <v>49.9966452350006</v>
      </c>
      <c r="N27" s="56" t="n">
        <f aca="false">(Paths!W27*army_cost+Paths!X27*res_cost)*Economy!H27/1000000</f>
        <v>13.68</v>
      </c>
      <c r="O27" s="72" t="n">
        <f aca="false">Navy!Y27</f>
        <v>4.7817675</v>
      </c>
      <c r="P27" s="56" t="n">
        <f aca="false">SUMPRODUCT((Events!$B$6:$B$174&lt;=$A27)*(Events!$C$6:$C$174&gt;=$A27)*(Events!$E$6:$E$174="War &amp; operations")*Events!$H$6:$H$174)</f>
        <v>0</v>
      </c>
      <c r="Q27" s="56" t="n">
        <f aca="false">Economy!O27*Paths!T27</f>
        <v>8.97520994889499</v>
      </c>
      <c r="R27" s="56" t="n">
        <f aca="false">Economy!O27*Paths!U27</f>
        <v>7.53917635707179</v>
      </c>
      <c r="S27" s="56" t="n">
        <f aca="false">Economy!O27*Paths!V27+SUMPRODUCT((Events!$B$6:$B$174&lt;=$A27)*(Events!$C$6:$C$174&gt;=$A27)*(Events!$E$6:$E$174="Programme")*Events!$H$6:$H$174)+SUMPRODUCT((Events!$B$6:$B$174&lt;=$A27)*(Events!$C$6:$C$174&gt;=$A27)*(Events!$E$6:$E$174="Investment")*Events!$H$6:$H$174)</f>
        <v>2.83217736165131</v>
      </c>
      <c r="T27" s="56" t="n">
        <f aca="false">(People!T27*assist_cost+Labour!AD27*talent_cost+Labour!L27*gw_admin)*Economy!H27/1000000</f>
        <v>2.0064</v>
      </c>
      <c r="U27" s="56" t="n">
        <f aca="false">SUMPRODUCT((Events!$B$6:$B$174&lt;=$A27)*(Events!$C$6:$C$174&gt;=$A27)*(Events!$E$6:$E$174="Purchase")*Events!$H$6:$H$174)</f>
        <v>13.9142857142857</v>
      </c>
      <c r="V27" s="56" t="n">
        <f aca="false">SUMPRODUCT((Events!$B$6:$B$174&lt;=$A27)*(Events!$C$6:$C$174&gt;=$A27)*(Events!$E$6:$E$174="Subsidy &amp; guarantee")*Events!$H$6:$H$174)+SUMPRODUCT((Events!$B$6:$B$174&lt;=$A27)*(Events!$C$6:$C$174&gt;=$A27)*(Events!$E$6:$E$174="Relief")*Events!$H$6:$H$174)</f>
        <v>1</v>
      </c>
      <c r="W27" s="56" t="n">
        <f aca="false">SUMPRODUCT((Events!$B$6:$B$174&lt;=$A27)*(Events!$C$6:$C$174&gt;=$A27)*(Events!$E$6:$E$174="Bank rescue &amp; capital")*Events!$H$6:$H$174)</f>
        <v>0</v>
      </c>
      <c r="X27" s="56" t="n">
        <f aca="false">'Debt &amp; cash'!R26*Paths!Y27</f>
        <v>6.35667214562986</v>
      </c>
      <c r="Y27" s="56" t="n">
        <f aca="false">SUM(N27:X27)</f>
        <v>61.0856890275337</v>
      </c>
      <c r="Z27" s="56" t="n">
        <f aca="false">M27-Y27</f>
        <v>-11.0890437925331</v>
      </c>
      <c r="AA27" s="66" t="n">
        <f aca="false">M27/Economy!O27</f>
        <v>0.12533684718161</v>
      </c>
      <c r="AB27" s="66" t="n">
        <f aca="false">Y27/Economy!O27</f>
        <v>0.153136028120292</v>
      </c>
      <c r="AC27" s="66" t="n">
        <f aca="false">(N27+O27+P27)/Economy!O27</f>
        <v>0.0462818999349583</v>
      </c>
    </row>
    <row r="28" customFormat="false" ht="14.25" hidden="false" customHeight="false" outlineLevel="0" collapsed="false">
      <c r="A28" s="61" t="n">
        <v>1868</v>
      </c>
      <c r="B28" s="56" t="n">
        <f aca="false">Economy!O28*Paths!N28*Paths!O28*cust_coll</f>
        <v>11.879808653944</v>
      </c>
      <c r="C28" s="56" t="n">
        <f aca="false">(Economy!J28+Economy!L28+Economy!M28+Economy!N28)*Paths!P28*Paths!Q28</f>
        <v>39.5295140443562</v>
      </c>
      <c r="D28" s="56" t="n">
        <f aca="false">Resources!P28+Resources!Q28</f>
        <v>1.92</v>
      </c>
      <c r="E28" s="56" t="n">
        <f aca="false">Paths!S28*(1-canal_opcost)*canal_share</f>
        <v>0</v>
      </c>
      <c r="F28" s="56" t="n">
        <f aca="false">Economy!O28*Paths!R28</f>
        <v>0.199759909228343</v>
      </c>
      <c r="G28" s="56" t="n">
        <f aca="false">SUMPRODUCT((Events!$B$6:$B$174&lt;=$A28)*(Events!$C$6:$C$174&gt;=$A28)*(Events!$E$6:$E$174="Receipt")*Events!$H$6:$H$174)</f>
        <v>0.98</v>
      </c>
      <c r="H28" s="72" t="n">
        <f aca="false">Loans!Y28</f>
        <v>0.5</v>
      </c>
      <c r="I28" s="56" t="n">
        <f aca="false">'Debt &amp; cash'!S27*fund_yield</f>
        <v>0</v>
      </c>
      <c r="J28" s="72" t="n">
        <f aca="false">Labour!Q28</f>
        <v>0</v>
      </c>
      <c r="K28" s="72" t="n">
        <f aca="false">Champions!BD28</f>
        <v>0</v>
      </c>
      <c r="L28" s="72" t="n">
        <f aca="false">Abroad!N28</f>
        <v>0.0383686710864015</v>
      </c>
      <c r="M28" s="56" t="n">
        <f aca="false">SUM(B28:L28)</f>
        <v>55.0474512786149</v>
      </c>
      <c r="N28" s="56" t="n">
        <f aca="false">(Paths!W28*army_cost+Paths!X28*res_cost)*Economy!H28/1000000</f>
        <v>13.68</v>
      </c>
      <c r="O28" s="72" t="n">
        <f aca="false">Navy!Y28</f>
        <v>6.100655</v>
      </c>
      <c r="P28" s="56" t="n">
        <f aca="false">SUMPRODUCT((Events!$B$6:$B$174&lt;=$A28)*(Events!$C$6:$C$174&gt;=$A28)*(Events!$E$6:$E$174="War &amp; operations")*Events!$H$6:$H$174)</f>
        <v>0.5</v>
      </c>
      <c r="Q28" s="56" t="n">
        <f aca="false">Economy!O28*Paths!T28</f>
        <v>9.90114332697003</v>
      </c>
      <c r="R28" s="56" t="n">
        <f aca="false">Economy!O28*Paths!U28</f>
        <v>8.25095277247503</v>
      </c>
      <c r="S28" s="56" t="n">
        <f aca="false">Economy!O28*Paths!V28+SUMPRODUCT((Events!$B$6:$B$174&lt;=$A28)*(Events!$C$6:$C$174&gt;=$A28)*(Events!$E$6:$E$174="Programme")*Events!$H$6:$H$174)+SUMPRODUCT((Events!$B$6:$B$174&lt;=$A28)*(Events!$C$6:$C$174&gt;=$A28)*(Events!$E$6:$E$174="Investment")*Events!$H$6:$H$174)</f>
        <v>3.2766768400958</v>
      </c>
      <c r="T28" s="56" t="n">
        <f aca="false">(People!T28*assist_cost+Labour!AD28*talent_cost+Labour!L28*gw_admin)*Economy!H28/1000000</f>
        <v>2.166</v>
      </c>
      <c r="U28" s="56" t="n">
        <f aca="false">SUMPRODUCT((Events!$B$6:$B$174&lt;=$A28)*(Events!$C$6:$C$174&gt;=$A28)*(Events!$E$6:$E$174="Purchase")*Events!$H$6:$H$174)</f>
        <v>6.71428571428571</v>
      </c>
      <c r="V28" s="56" t="n">
        <f aca="false">SUMPRODUCT((Events!$B$6:$B$174&lt;=$A28)*(Events!$C$6:$C$174&gt;=$A28)*(Events!$E$6:$E$174="Subsidy &amp; guarantee")*Events!$H$6:$H$174)+SUMPRODUCT((Events!$B$6:$B$174&lt;=$A28)*(Events!$C$6:$C$174&gt;=$A28)*(Events!$E$6:$E$174="Relief")*Events!$H$6:$H$174)</f>
        <v>1</v>
      </c>
      <c r="W28" s="56" t="n">
        <f aca="false">SUMPRODUCT((Events!$B$6:$B$174&lt;=$A28)*(Events!$C$6:$C$174&gt;=$A28)*(Events!$E$6:$E$174="Bank rescue &amp; capital")*Events!$H$6:$H$174)</f>
        <v>0</v>
      </c>
      <c r="X28" s="56" t="n">
        <f aca="false">'Debt &amp; cash'!R27*Paths!Y28</f>
        <v>7.72471552958661</v>
      </c>
      <c r="Y28" s="56" t="n">
        <f aca="false">SUM(N28:X28)</f>
        <v>59.3144291834132</v>
      </c>
      <c r="Z28" s="56" t="n">
        <f aca="false">M28-Y28</f>
        <v>-4.26697790479828</v>
      </c>
      <c r="AA28" s="66" t="n">
        <f aca="false">M28/Economy!O28</f>
        <v>0.126761309043337</v>
      </c>
      <c r="AB28" s="66" t="n">
        <f aca="false">Y28/Economy!O28</f>
        <v>0.136587153697499</v>
      </c>
      <c r="AC28" s="66" t="n">
        <f aca="false">(N28+O28+P28)/Economy!O28</f>
        <v>0.0467015695793896</v>
      </c>
    </row>
    <row r="29" customFormat="false" ht="14.25" hidden="false" customHeight="false" outlineLevel="0" collapsed="false">
      <c r="A29" s="61" t="n">
        <v>1869</v>
      </c>
      <c r="B29" s="56" t="n">
        <f aca="false">Economy!O29*Paths!N29*Paths!O29*cust_coll</f>
        <v>12.8201137018149</v>
      </c>
      <c r="C29" s="56" t="n">
        <f aca="false">(Economy!J29+Economy!L29+Economy!M29+Economy!N29)*Paths!P29*Paths!Q29</f>
        <v>43.2034209185836</v>
      </c>
      <c r="D29" s="56" t="n">
        <f aca="false">Resources!P29+Resources!Q29</f>
        <v>1.905</v>
      </c>
      <c r="E29" s="56" t="n">
        <f aca="false">Paths!S29*(1-canal_opcost)*canal_share</f>
        <v>0</v>
      </c>
      <c r="F29" s="56" t="n">
        <f aca="false">Economy!O29*Paths!R29</f>
        <v>0.22637379069995</v>
      </c>
      <c r="G29" s="56" t="n">
        <f aca="false">SUMPRODUCT((Events!$B$6:$B$174&lt;=$A29)*(Events!$C$6:$C$174&gt;=$A29)*(Events!$E$6:$E$174="Receipt")*Events!$H$6:$H$174)</f>
        <v>0.98</v>
      </c>
      <c r="H29" s="72" t="n">
        <f aca="false">Loans!Y29</f>
        <v>0.48</v>
      </c>
      <c r="I29" s="56" t="n">
        <f aca="false">'Debt &amp; cash'!S28*fund_yield</f>
        <v>0</v>
      </c>
      <c r="J29" s="72" t="n">
        <f aca="false">Labour!Q29</f>
        <v>0</v>
      </c>
      <c r="K29" s="72" t="n">
        <f aca="false">Champions!BD29</f>
        <v>0</v>
      </c>
      <c r="L29" s="72" t="n">
        <f aca="false">Abroad!N29</f>
        <v>0.0436683905252574</v>
      </c>
      <c r="M29" s="56" t="n">
        <f aca="false">SUM(B29:L29)</f>
        <v>59.6585768016237</v>
      </c>
      <c r="N29" s="56" t="n">
        <f aca="false">(Paths!W29*army_cost+Paths!X29*res_cost)*Economy!H29/1000000</f>
        <v>13.68</v>
      </c>
      <c r="O29" s="72" t="n">
        <f aca="false">Navy!Y29</f>
        <v>6.9993225</v>
      </c>
      <c r="P29" s="56" t="n">
        <f aca="false">SUMPRODUCT((Events!$B$6:$B$174&lt;=$A29)*(Events!$C$6:$C$174&gt;=$A29)*(Events!$E$6:$E$174="War &amp; operations")*Events!$H$6:$H$174)</f>
        <v>0.5</v>
      </c>
      <c r="Q29" s="56" t="n">
        <f aca="false">Economy!O29*Paths!T29</f>
        <v>10.8942386774351</v>
      </c>
      <c r="R29" s="56" t="n">
        <f aca="false">Economy!O29*Paths!U29</f>
        <v>9.00779042160217</v>
      </c>
      <c r="S29" s="56" t="n">
        <f aca="false">Economy!O29*Paths!V29+SUMPRODUCT((Events!$B$6:$B$174&lt;=$A29)*(Events!$C$6:$C$174&gt;=$A29)*(Events!$E$6:$E$174="Programme")*Events!$H$6:$H$174)+SUMPRODUCT((Events!$B$6:$B$174&lt;=$A29)*(Events!$C$6:$C$174&gt;=$A29)*(Events!$E$6:$E$174="Investment")*Events!$H$6:$H$174)</f>
        <v>3.59276806689507</v>
      </c>
      <c r="T29" s="56" t="n">
        <f aca="false">(People!T29*assist_cost+Labour!AD29*talent_cost+Labour!L29*gw_admin)*Economy!H29/1000000</f>
        <v>2.39856</v>
      </c>
      <c r="U29" s="56" t="n">
        <f aca="false">SUMPRODUCT((Events!$B$6:$B$174&lt;=$A29)*(Events!$C$6:$C$174&gt;=$A29)*(Events!$E$6:$E$174="Purchase")*Events!$H$6:$H$174)</f>
        <v>6.71428571428571</v>
      </c>
      <c r="V29" s="56" t="n">
        <f aca="false">SUMPRODUCT((Events!$B$6:$B$174&lt;=$A29)*(Events!$C$6:$C$174&gt;=$A29)*(Events!$E$6:$E$174="Subsidy &amp; guarantee")*Events!$H$6:$H$174)+SUMPRODUCT((Events!$B$6:$B$174&lt;=$A29)*(Events!$C$6:$C$174&gt;=$A29)*(Events!$E$6:$E$174="Relief")*Events!$H$6:$H$174)</f>
        <v>1</v>
      </c>
      <c r="W29" s="56" t="n">
        <f aca="false">SUMPRODUCT((Events!$B$6:$B$174&lt;=$A29)*(Events!$C$6:$C$174&gt;=$A29)*(Events!$E$6:$E$174="Bank rescue &amp; capital")*Events!$H$6:$H$174)</f>
        <v>0</v>
      </c>
      <c r="X29" s="56" t="n">
        <f aca="false">'Debt &amp; cash'!R28*Paths!Y29</f>
        <v>7.95959060733319</v>
      </c>
      <c r="Y29" s="56" t="n">
        <f aca="false">SUM(N29:X29)</f>
        <v>62.7465559875512</v>
      </c>
      <c r="Z29" s="56" t="n">
        <f aca="false">M29-Y29</f>
        <v>-3.08797918592757</v>
      </c>
      <c r="AA29" s="66" t="n">
        <f aca="false">M29/Economy!O29</f>
        <v>0.126499259372016</v>
      </c>
      <c r="AB29" s="66" t="n">
        <f aca="false">Y29/Economy!O29</f>
        <v>0.133046969708368</v>
      </c>
      <c r="AC29" s="66" t="n">
        <f aca="false">(N29+O29+P29)/Economy!O29</f>
        <v>0.0449083560802971</v>
      </c>
    </row>
    <row r="30" customFormat="false" ht="14.25" hidden="false" customHeight="false" outlineLevel="0" collapsed="false">
      <c r="A30" s="64" t="n">
        <v>1870</v>
      </c>
      <c r="B30" s="56" t="n">
        <f aca="false">Economy!O30*Paths!N30*Paths!O30*cust_coll</f>
        <v>13.8908776322951</v>
      </c>
      <c r="C30" s="56" t="n">
        <f aca="false">(Economy!J30+Economy!L30+Economy!M30+Economy!N30)*Paths!P30*Paths!Q30</f>
        <v>47.3820592984018</v>
      </c>
      <c r="D30" s="56" t="n">
        <f aca="false">Resources!P30+Resources!Q30</f>
        <v>1.9125</v>
      </c>
      <c r="E30" s="56" t="n">
        <f aca="false">Paths!S30*(1-canal_opcost)*canal_share</f>
        <v>0</v>
      </c>
      <c r="F30" s="56" t="n">
        <f aca="false">Economy!O30*Paths!R30</f>
        <v>0.257238474672132</v>
      </c>
      <c r="G30" s="56" t="n">
        <f aca="false">SUMPRODUCT((Events!$B$6:$B$174&lt;=$A30)*(Events!$C$6:$C$174&gt;=$A30)*(Events!$E$6:$E$174="Receipt")*Events!$H$6:$H$174)</f>
        <v>0.98</v>
      </c>
      <c r="H30" s="72" t="n">
        <f aca="false">Loans!Y30</f>
        <v>0.4608</v>
      </c>
      <c r="I30" s="56" t="n">
        <f aca="false">'Debt &amp; cash'!S29*fund_yield</f>
        <v>0</v>
      </c>
      <c r="J30" s="72" t="n">
        <f aca="false">Labour!Q30</f>
        <v>0</v>
      </c>
      <c r="K30" s="72" t="n">
        <f aca="false">Champions!BD30</f>
        <v>0</v>
      </c>
      <c r="L30" s="72" t="n">
        <f aca="false">Abroad!N30</f>
        <v>0.0934945060508456</v>
      </c>
      <c r="M30" s="56" t="n">
        <f aca="false">SUM(B30:L30)</f>
        <v>64.9769699114199</v>
      </c>
      <c r="N30" s="56" t="n">
        <f aca="false">(Paths!W30*army_cost+Paths!X30*res_cost)*Economy!H30/1000000</f>
        <v>13.68</v>
      </c>
      <c r="O30" s="72" t="n">
        <f aca="false">Navy!Y30</f>
        <v>6.26874</v>
      </c>
      <c r="P30" s="56" t="n">
        <f aca="false">SUMPRODUCT((Events!$B$6:$B$174&lt;=$A30)*(Events!$C$6:$C$174&gt;=$A30)*(Events!$E$6:$E$174="War &amp; operations")*Events!$H$6:$H$174)</f>
        <v>6</v>
      </c>
      <c r="Q30" s="56" t="n">
        <f aca="false">Economy!O30*Paths!T30</f>
        <v>11.9873129197214</v>
      </c>
      <c r="R30" s="56" t="n">
        <f aca="false">Economy!O30*Paths!U30</f>
        <v>9.87795742740987</v>
      </c>
      <c r="S30" s="56" t="n">
        <f aca="false">Economy!O30*Paths!V30+SUMPRODUCT((Events!$B$6:$B$174&lt;=$A30)*(Events!$C$6:$C$174&gt;=$A30)*(Events!$E$6:$E$174="Programme")*Events!$H$6:$H$174)+SUMPRODUCT((Events!$B$6:$B$174&lt;=$A30)*(Events!$C$6:$C$174&gt;=$A30)*(Events!$E$6:$E$174="Investment")*Events!$H$6:$H$174)</f>
        <v>3.80712942514755</v>
      </c>
      <c r="T30" s="56" t="n">
        <f aca="false">(People!T30*assist_cost+Labour!AD30*talent_cost+Labour!L30*gw_admin)*Economy!H30/1000000</f>
        <v>2.4054</v>
      </c>
      <c r="U30" s="56" t="n">
        <f aca="false">SUMPRODUCT((Events!$B$6:$B$174&lt;=$A30)*(Events!$C$6:$C$174&gt;=$A30)*(Events!$E$6:$E$174="Purchase")*Events!$H$6:$H$174)</f>
        <v>6.71428571428571</v>
      </c>
      <c r="V30" s="56" t="n">
        <f aca="false">SUMPRODUCT((Events!$B$6:$B$174&lt;=$A30)*(Events!$C$6:$C$174&gt;=$A30)*(Events!$E$6:$E$174="Subsidy &amp; guarantee")*Events!$H$6:$H$174)+SUMPRODUCT((Events!$B$6:$B$174&lt;=$A30)*(Events!$C$6:$C$174&gt;=$A30)*(Events!$E$6:$E$174="Relief")*Events!$H$6:$H$174)</f>
        <v>1</v>
      </c>
      <c r="W30" s="56" t="n">
        <f aca="false">SUMPRODUCT((Events!$B$6:$B$174&lt;=$A30)*(Events!$C$6:$C$174&gt;=$A30)*(Events!$E$6:$E$174="Bank rescue &amp; capital")*Events!$H$6:$H$174)</f>
        <v>0</v>
      </c>
      <c r="X30" s="56" t="n">
        <f aca="false">'Debt &amp; cash'!R29*Paths!Y30</f>
        <v>8.11886590209739</v>
      </c>
      <c r="Y30" s="56" t="n">
        <f aca="false">SUM(N30:X30)</f>
        <v>69.8596913886619</v>
      </c>
      <c r="Z30" s="56" t="n">
        <f aca="false">M30-Y30</f>
        <v>-4.88272147724196</v>
      </c>
      <c r="AA30" s="66" t="n">
        <f aca="false">M30/Economy!O30</f>
        <v>0.126297145079556</v>
      </c>
      <c r="AB30" s="66" t="n">
        <f aca="false">Y30/Economy!O30</f>
        <v>0.135787796669419</v>
      </c>
      <c r="AC30" s="66" t="n">
        <f aca="false">(N30+O30+P30)/Economy!O30</f>
        <v>0.0504371284915164</v>
      </c>
    </row>
    <row r="31" customFormat="false" ht="14.25" hidden="false" customHeight="false" outlineLevel="0" collapsed="false">
      <c r="A31" s="64" t="n">
        <v>1871</v>
      </c>
      <c r="B31" s="56" t="n">
        <f aca="false">Economy!O31*Paths!N31*Paths!O31*cust_coll</f>
        <v>14.829297225131</v>
      </c>
      <c r="C31" s="56" t="n">
        <f aca="false">(Economy!J31+Economy!L31+Economy!M31+Economy!N31)*Paths!P31*Paths!Q31</f>
        <v>50.9691556245266</v>
      </c>
      <c r="D31" s="56" t="n">
        <f aca="false">Resources!P31+Resources!Q31</f>
        <v>2.0295</v>
      </c>
      <c r="E31" s="56" t="n">
        <f aca="false">Paths!S31*(1-canal_opcost)*canal_share</f>
        <v>0</v>
      </c>
      <c r="F31" s="56" t="n">
        <f aca="false">Economy!O31*Paths!R31</f>
        <v>0.359445831518591</v>
      </c>
      <c r="G31" s="56" t="n">
        <f aca="false">SUMPRODUCT((Events!$B$6:$B$174&lt;=$A31)*(Events!$C$6:$C$174&gt;=$A31)*(Events!$E$6:$E$174="Receipt")*Events!$H$6:$H$174)</f>
        <v>0.98</v>
      </c>
      <c r="H31" s="72" t="n">
        <f aca="false">Loans!Y31</f>
        <v>0.717368</v>
      </c>
      <c r="I31" s="56" t="n">
        <f aca="false">'Debt &amp; cash'!S30*fund_yield</f>
        <v>0</v>
      </c>
      <c r="J31" s="72" t="n">
        <f aca="false">Labour!Q31</f>
        <v>0</v>
      </c>
      <c r="K31" s="72" t="n">
        <f aca="false">Champions!BD31</f>
        <v>0</v>
      </c>
      <c r="L31" s="72" t="n">
        <f aca="false">Abroad!N31</f>
        <v>0.136083610665348</v>
      </c>
      <c r="M31" s="56" t="n">
        <f aca="false">SUM(B31:L31)</f>
        <v>70.0208502918415</v>
      </c>
      <c r="N31" s="56" t="n">
        <f aca="false">(Paths!W31*army_cost+Paths!X31*res_cost)*Economy!H31/1000000</f>
        <v>13.60944</v>
      </c>
      <c r="O31" s="72" t="n">
        <f aca="false">Navy!Y31</f>
        <v>6.4761762</v>
      </c>
      <c r="P31" s="56" t="n">
        <f aca="false">SUMPRODUCT((Events!$B$6:$B$174&lt;=$A31)*(Events!$C$6:$C$174&gt;=$A31)*(Events!$E$6:$E$174="War &amp; operations")*Events!$H$6:$H$174)</f>
        <v>6</v>
      </c>
      <c r="Q31" s="56" t="n">
        <f aca="false">Economy!O31*Paths!T31</f>
        <v>13.0506486520596</v>
      </c>
      <c r="R31" s="56" t="n">
        <f aca="false">Economy!O31*Paths!U31</f>
        <v>10.6174768694722</v>
      </c>
      <c r="S31" s="56" t="n">
        <f aca="false">Economy!O31*Paths!V31+SUMPRODUCT((Events!$B$6:$B$174&lt;=$A31)*(Events!$C$6:$C$174&gt;=$A31)*(Events!$E$6:$E$174="Programme")*Events!$H$6:$H$174)+SUMPRODUCT((Events!$B$6:$B$174&lt;=$A31)*(Events!$C$6:$C$174&gt;=$A31)*(Events!$E$6:$E$174="Investment")*Events!$H$6:$H$174)</f>
        <v>4.14745190213759</v>
      </c>
      <c r="T31" s="56" t="n">
        <f aca="false">(People!T31*assist_cost+Labour!AD31*talent_cost+Labour!L31*gw_admin)*Economy!H31/1000000</f>
        <v>2.369952</v>
      </c>
      <c r="U31" s="56" t="n">
        <f aca="false">SUMPRODUCT((Events!$B$6:$B$174&lt;=$A31)*(Events!$C$6:$C$174&gt;=$A31)*(Events!$E$6:$E$174="Purchase")*Events!$H$6:$H$174)</f>
        <v>6.71428571428571</v>
      </c>
      <c r="V31" s="56" t="n">
        <f aca="false">SUMPRODUCT((Events!$B$6:$B$174&lt;=$A31)*(Events!$C$6:$C$174&gt;=$A31)*(Events!$E$6:$E$174="Subsidy &amp; guarantee")*Events!$H$6:$H$174)+SUMPRODUCT((Events!$B$6:$B$174&lt;=$A31)*(Events!$C$6:$C$174&gt;=$A31)*(Events!$E$6:$E$174="Relief")*Events!$H$6:$H$174)</f>
        <v>2</v>
      </c>
      <c r="W31" s="56" t="n">
        <f aca="false">SUMPRODUCT((Events!$B$6:$B$174&lt;=$A31)*(Events!$C$6:$C$174&gt;=$A31)*(Events!$E$6:$E$174="Bank rescue &amp; capital")*Events!$H$6:$H$174)</f>
        <v>0</v>
      </c>
      <c r="X31" s="56" t="n">
        <f aca="false">'Debt &amp; cash'!R30*Paths!Y31</f>
        <v>8.70983868024253</v>
      </c>
      <c r="Y31" s="56" t="n">
        <f aca="false">SUM(N31:X31)</f>
        <v>73.6952700181977</v>
      </c>
      <c r="Z31" s="56" t="n">
        <f aca="false">M31-Y31</f>
        <v>-3.67441972635613</v>
      </c>
      <c r="AA31" s="66" t="n">
        <f aca="false">M31/Economy!O31</f>
        <v>0.126621450852304</v>
      </c>
      <c r="AB31" s="66" t="n">
        <f aca="false">Y31/Economy!O31</f>
        <v>0.133266048209411</v>
      </c>
      <c r="AC31" s="66" t="n">
        <f aca="false">(N31+O31+P31)/Economy!O31</f>
        <v>0.0471716432441727</v>
      </c>
    </row>
    <row r="32" customFormat="false" ht="14.25" hidden="false" customHeight="false" outlineLevel="0" collapsed="false">
      <c r="A32" s="61" t="n">
        <v>1872</v>
      </c>
      <c r="B32" s="56" t="n">
        <f aca="false">Economy!O32*Paths!N32*Paths!O32*cust_coll</f>
        <v>15.7889566420932</v>
      </c>
      <c r="C32" s="56" t="n">
        <f aca="false">(Economy!J32+Economy!L32+Economy!M32+Economy!N32)*Paths!P32*Paths!Q32</f>
        <v>54.6626281142041</v>
      </c>
      <c r="D32" s="56" t="n">
        <f aca="false">Resources!P32+Resources!Q32</f>
        <v>2.1465</v>
      </c>
      <c r="E32" s="56" t="n">
        <f aca="false">Paths!S32*(1-canal_opcost)*canal_share</f>
        <v>0</v>
      </c>
      <c r="F32" s="56" t="n">
        <f aca="false">Economy!O32*Paths!R32</f>
        <v>0.474078777405251</v>
      </c>
      <c r="G32" s="56" t="n">
        <f aca="false">SUMPRODUCT((Events!$B$6:$B$174&lt;=$A32)*(Events!$C$6:$C$174&gt;=$A32)*(Events!$E$6:$E$174="Receipt")*Events!$H$6:$H$174)</f>
        <v>0.98</v>
      </c>
      <c r="H32" s="72" t="n">
        <f aca="false">Loans!Y32</f>
        <v>1.31367328</v>
      </c>
      <c r="I32" s="56" t="n">
        <f aca="false">'Debt &amp; cash'!S31*fund_yield</f>
        <v>0</v>
      </c>
      <c r="J32" s="72" t="n">
        <f aca="false">Labour!Q32</f>
        <v>0</v>
      </c>
      <c r="K32" s="72" t="n">
        <f aca="false">Champions!BD32</f>
        <v>0</v>
      </c>
      <c r="L32" s="72" t="n">
        <f aca="false">Abroad!N32</f>
        <v>0.175846898832254</v>
      </c>
      <c r="M32" s="56" t="n">
        <f aca="false">SUM(B32:L32)</f>
        <v>75.5416837125348</v>
      </c>
      <c r="N32" s="56" t="n">
        <f aca="false">(Paths!W32*army_cost+Paths!X32*res_cost)*Economy!H32/1000000</f>
        <v>13.53496</v>
      </c>
      <c r="O32" s="72" t="n">
        <f aca="false">Navy!Y32</f>
        <v>6.9793633</v>
      </c>
      <c r="P32" s="56" t="n">
        <f aca="false">SUMPRODUCT((Events!$B$6:$B$174&lt;=$A32)*(Events!$C$6:$C$174&gt;=$A32)*(Events!$E$6:$E$174="War &amp; operations")*Events!$H$6:$H$174)</f>
        <v>0</v>
      </c>
      <c r="Q32" s="56" t="n">
        <f aca="false">Economy!O32*Paths!T32</f>
        <v>14.1631034749819</v>
      </c>
      <c r="R32" s="56" t="n">
        <f aca="false">Economy!O32*Paths!U32</f>
        <v>11.4371505049017</v>
      </c>
      <c r="S32" s="56" t="n">
        <f aca="false">Economy!O32*Paths!V32+SUMPRODUCT((Events!$B$6:$B$174&lt;=$A32)*(Events!$C$6:$C$174&gt;=$A32)*(Events!$E$6:$E$174="Programme")*Events!$H$6:$H$174)+SUMPRODUCT((Events!$B$6:$B$174&lt;=$A32)*(Events!$C$6:$C$174&gt;=$A32)*(Events!$E$6:$E$174="Investment")*Events!$H$6:$H$174)</f>
        <v>4.50374838534989</v>
      </c>
      <c r="T32" s="56" t="n">
        <f aca="false">(People!T32*assist_cost+Labour!AD32*talent_cost+Labour!L32*gw_admin)*Economy!H32/1000000</f>
        <v>2.334504</v>
      </c>
      <c r="U32" s="56" t="n">
        <f aca="false">SUMPRODUCT((Events!$B$6:$B$174&lt;=$A32)*(Events!$C$6:$C$174&gt;=$A32)*(Events!$E$6:$E$174="Purchase")*Events!$H$6:$H$174)</f>
        <v>5.71428571428571</v>
      </c>
      <c r="V32" s="56" t="n">
        <f aca="false">SUMPRODUCT((Events!$B$6:$B$174&lt;=$A32)*(Events!$C$6:$C$174&gt;=$A32)*(Events!$E$6:$E$174="Subsidy &amp; guarantee")*Events!$H$6:$H$174)+SUMPRODUCT((Events!$B$6:$B$174&lt;=$A32)*(Events!$C$6:$C$174&gt;=$A32)*(Events!$E$6:$E$174="Relief")*Events!$H$6:$H$174)</f>
        <v>2</v>
      </c>
      <c r="W32" s="56" t="n">
        <f aca="false">SUMPRODUCT((Events!$B$6:$B$174&lt;=$A32)*(Events!$C$6:$C$174&gt;=$A32)*(Events!$E$6:$E$174="Bank rescue &amp; capital")*Events!$H$6:$H$174)</f>
        <v>0</v>
      </c>
      <c r="X32" s="56" t="n">
        <f aca="false">'Debt &amp; cash'!R31*Paths!Y32</f>
        <v>9.65893734111597</v>
      </c>
      <c r="Y32" s="56" t="n">
        <f aca="false">SUM(N32:X32)</f>
        <v>70.3260527206351</v>
      </c>
      <c r="Z32" s="56" t="n">
        <f aca="false">M32-Y32</f>
        <v>5.21563099189967</v>
      </c>
      <c r="AA32" s="66" t="n">
        <f aca="false">M32/Economy!O32</f>
        <v>0.127475326570817</v>
      </c>
      <c r="AB32" s="66" t="n">
        <f aca="false">Y32/Economy!O32</f>
        <v>0.118674036590369</v>
      </c>
      <c r="AC32" s="66" t="n">
        <f aca="false">(N32+O32+P32)/Economy!O32</f>
        <v>0.0346175771246794</v>
      </c>
    </row>
    <row r="33" customFormat="false" ht="14.25" hidden="false" customHeight="false" outlineLevel="0" collapsed="false">
      <c r="A33" s="61" t="n">
        <v>1873</v>
      </c>
      <c r="B33" s="56" t="n">
        <f aca="false">Economy!O33*Paths!N33*Paths!O33*cust_coll</f>
        <v>16.6320842590784</v>
      </c>
      <c r="C33" s="56" t="n">
        <f aca="false">(Economy!J33+Economy!L33+Economy!M33+Economy!N33)*Paths!P33*Paths!Q33</f>
        <v>52.6141792072089</v>
      </c>
      <c r="D33" s="56" t="n">
        <f aca="false">Resources!P33+Resources!Q33</f>
        <v>2.511</v>
      </c>
      <c r="E33" s="56" t="n">
        <f aca="false">Paths!S33*(1-canal_opcost)*canal_share</f>
        <v>0</v>
      </c>
      <c r="F33" s="56" t="n">
        <f aca="false">Economy!O33*Paths!R33</f>
        <v>0.597145882317629</v>
      </c>
      <c r="G33" s="56" t="n">
        <f aca="false">SUMPRODUCT((Events!$B$6:$B$174&lt;=$A33)*(Events!$C$6:$C$174&gt;=$A33)*(Events!$E$6:$E$174="Receipt")*Events!$H$6:$H$174)</f>
        <v>0.98</v>
      </c>
      <c r="H33" s="72" t="n">
        <f aca="false">Loans!Y33</f>
        <v>2.1061263488</v>
      </c>
      <c r="I33" s="56" t="n">
        <f aca="false">'Debt &amp; cash'!S32*fund_yield</f>
        <v>0</v>
      </c>
      <c r="J33" s="72" t="n">
        <f aca="false">Labour!Q33</f>
        <v>0</v>
      </c>
      <c r="K33" s="72" t="n">
        <f aca="false">Champions!BD33</f>
        <v>0</v>
      </c>
      <c r="L33" s="72" t="n">
        <f aca="false">Abroad!N33</f>
        <v>0.20529796034828</v>
      </c>
      <c r="M33" s="56" t="n">
        <f aca="false">SUM(B33:L33)</f>
        <v>75.6458336577531</v>
      </c>
      <c r="N33" s="56" t="n">
        <f aca="false">(Paths!W33*army_cost+Paths!X33*res_cost)*Economy!H33/1000000</f>
        <v>13.45656</v>
      </c>
      <c r="O33" s="72" t="n">
        <f aca="false">Navy!Y33</f>
        <v>5.4820362</v>
      </c>
      <c r="P33" s="56" t="n">
        <f aca="false">SUMPRODUCT((Events!$B$6:$B$174&lt;=$A33)*(Events!$C$6:$C$174&gt;=$A33)*(Events!$E$6:$E$174="War &amp; operations")*Events!$H$6:$H$174)</f>
        <v>2</v>
      </c>
      <c r="Q33" s="56" t="n">
        <f aca="false">Economy!O33*Paths!T33</f>
        <v>15.1486481724788</v>
      </c>
      <c r="R33" s="56" t="n">
        <f aca="false">Economy!O33*Paths!U33</f>
        <v>12.194347491539</v>
      </c>
      <c r="S33" s="56" t="n">
        <f aca="false">Economy!O33*Paths!V33+SUMPRODUCT((Events!$B$6:$B$174&lt;=$A33)*(Events!$C$6:$C$174&gt;=$A33)*(Events!$E$6:$E$174="Programme")*Events!$H$6:$H$174)+SUMPRODUCT((Events!$B$6:$B$174&lt;=$A33)*(Events!$C$6:$C$174&gt;=$A33)*(Events!$E$6:$E$174="Investment")*Events!$H$6:$H$174)</f>
        <v>4.84002451983763</v>
      </c>
      <c r="T33" s="56" t="n">
        <f aca="false">(People!T33*assist_cost+Labour!AD33*talent_cost+Labour!L33*gw_admin)*Economy!H33/1000000</f>
        <v>2.952816</v>
      </c>
      <c r="U33" s="56" t="n">
        <f aca="false">SUMPRODUCT((Events!$B$6:$B$174&lt;=$A33)*(Events!$C$6:$C$174&gt;=$A33)*(Events!$E$6:$E$174="Purchase")*Events!$H$6:$H$174)</f>
        <v>0</v>
      </c>
      <c r="V33" s="56" t="n">
        <f aca="false">SUMPRODUCT((Events!$B$6:$B$174&lt;=$A33)*(Events!$C$6:$C$174&gt;=$A33)*(Events!$E$6:$E$174="Subsidy &amp; guarantee")*Events!$H$6:$H$174)+SUMPRODUCT((Events!$B$6:$B$174&lt;=$A33)*(Events!$C$6:$C$174&gt;=$A33)*(Events!$E$6:$E$174="Relief")*Events!$H$6:$H$174)</f>
        <v>2</v>
      </c>
      <c r="W33" s="56" t="n">
        <f aca="false">SUMPRODUCT((Events!$B$6:$B$174&lt;=$A33)*(Events!$C$6:$C$174&gt;=$A33)*(Events!$E$6:$E$174="Bank rescue &amp; capital")*Events!$H$6:$H$174)</f>
        <v>0</v>
      </c>
      <c r="X33" s="56" t="n">
        <f aca="false">'Debt &amp; cash'!R32*Paths!Y33</f>
        <v>10.2633168388877</v>
      </c>
      <c r="Y33" s="56" t="n">
        <f aca="false">SUM(N33:X33)</f>
        <v>68.3377492227431</v>
      </c>
      <c r="Z33" s="56" t="n">
        <f aca="false">M33-Y33</f>
        <v>7.30808443501005</v>
      </c>
      <c r="AA33" s="66" t="n">
        <f aca="false">M33/Economy!O33</f>
        <v>0.120345034777683</v>
      </c>
      <c r="AB33" s="66" t="n">
        <f aca="false">Y33/Economy!O33</f>
        <v>0.10871859571339</v>
      </c>
      <c r="AC33" s="66" t="n">
        <f aca="false">(N33+O33+P33)/Economy!O33</f>
        <v>0.033311234288005</v>
      </c>
    </row>
    <row r="34" customFormat="false" ht="14.25" hidden="false" customHeight="false" outlineLevel="0" collapsed="false">
      <c r="A34" s="61" t="n">
        <v>1874</v>
      </c>
      <c r="B34" s="56" t="n">
        <f aca="false">Economy!O34*Paths!N34*Paths!O34*cust_coll</f>
        <v>17.6147060232722</v>
      </c>
      <c r="C34" s="56" t="n">
        <f aca="false">(Economy!J34+Economy!L34+Economy!M34+Economy!N34)*Paths!P34*Paths!Q34</f>
        <v>56.118813765624</v>
      </c>
      <c r="D34" s="56" t="n">
        <f aca="false">Resources!P34+Resources!Q34</f>
        <v>2.673</v>
      </c>
      <c r="E34" s="56" t="n">
        <f aca="false">Paths!S34*(1-canal_opcost)*canal_share</f>
        <v>0</v>
      </c>
      <c r="F34" s="56" t="n">
        <f aca="false">Economy!O34*Paths!R34</f>
        <v>0.737398449772397</v>
      </c>
      <c r="G34" s="56" t="n">
        <f aca="false">SUMPRODUCT((Events!$B$6:$B$174&lt;=$A34)*(Events!$C$6:$C$174&gt;=$A34)*(Events!$E$6:$E$174="Receipt")*Events!$H$6:$H$174)</f>
        <v>0.98</v>
      </c>
      <c r="H34" s="72" t="n">
        <f aca="false">Loans!Y34</f>
        <v>2.021881294848</v>
      </c>
      <c r="I34" s="56" t="n">
        <f aca="false">'Debt &amp; cash'!S33*fund_yield</f>
        <v>0.0437682109500914</v>
      </c>
      <c r="J34" s="72" t="n">
        <f aca="false">Labour!Q34</f>
        <v>0</v>
      </c>
      <c r="K34" s="72" t="n">
        <f aca="false">Champions!BD34</f>
        <v>0</v>
      </c>
      <c r="L34" s="72" t="n">
        <f aca="false">Abroad!N34</f>
        <v>0.250683776159855</v>
      </c>
      <c r="M34" s="56" t="n">
        <f aca="false">SUM(B34:L34)</f>
        <v>80.4402515206265</v>
      </c>
      <c r="N34" s="56" t="n">
        <f aca="false">(Paths!W34*army_cost+Paths!X34*res_cost)*Economy!H34/1000000</f>
        <v>13.37424</v>
      </c>
      <c r="O34" s="72" t="n">
        <f aca="false">Navy!Y34</f>
        <v>6.9597091</v>
      </c>
      <c r="P34" s="56" t="n">
        <f aca="false">SUMPRODUCT((Events!$B$6:$B$174&lt;=$A34)*(Events!$C$6:$C$174&gt;=$A34)*(Events!$E$6:$E$174="War &amp; operations")*Events!$H$6:$H$174)</f>
        <v>2</v>
      </c>
      <c r="Q34" s="56" t="n">
        <f aca="false">Economy!O34*Paths!T34</f>
        <v>16.3568383404059</v>
      </c>
      <c r="R34" s="56" t="n">
        <f aca="false">Economy!O34*Paths!U34</f>
        <v>13.0720634277834</v>
      </c>
      <c r="S34" s="56" t="n">
        <f aca="false">Economy!O34*Paths!V34+SUMPRODUCT((Events!$B$6:$B$174&lt;=$A34)*(Events!$C$6:$C$174&gt;=$A34)*(Events!$E$6:$E$174="Programme")*Events!$H$6:$H$174)+SUMPRODUCT((Events!$B$6:$B$174&lt;=$A34)*(Events!$C$6:$C$174&gt;=$A34)*(Events!$E$6:$E$174="Investment")*Events!$H$6:$H$174)</f>
        <v>5.22882537111336</v>
      </c>
      <c r="T34" s="56" t="n">
        <f aca="false">(People!T34*assist_cost+Labour!AD34*talent_cost+Labour!L34*gw_admin)*Economy!H34/1000000</f>
        <v>2.907288</v>
      </c>
      <c r="U34" s="56" t="n">
        <f aca="false">SUMPRODUCT((Events!$B$6:$B$174&lt;=$A34)*(Events!$C$6:$C$174&gt;=$A34)*(Events!$E$6:$E$174="Purchase")*Events!$H$6:$H$174)</f>
        <v>0</v>
      </c>
      <c r="V34" s="56" t="n">
        <f aca="false">SUMPRODUCT((Events!$B$6:$B$174&lt;=$A34)*(Events!$C$6:$C$174&gt;=$A34)*(Events!$E$6:$E$174="Subsidy &amp; guarantee")*Events!$H$6:$H$174)+SUMPRODUCT((Events!$B$6:$B$174&lt;=$A34)*(Events!$C$6:$C$174&gt;=$A34)*(Events!$E$6:$E$174="Relief")*Events!$H$6:$H$174)</f>
        <v>2</v>
      </c>
      <c r="W34" s="56" t="n">
        <f aca="false">SUMPRODUCT((Events!$B$6:$B$174&lt;=$A34)*(Events!$C$6:$C$174&gt;=$A34)*(Events!$E$6:$E$174="Bank rescue &amp; capital")*Events!$H$6:$H$174)</f>
        <v>0</v>
      </c>
      <c r="X34" s="56" t="n">
        <f aca="false">'Debt &amp; cash'!R33*Paths!Y34</f>
        <v>9.69936330785878</v>
      </c>
      <c r="Y34" s="56" t="n">
        <f aca="false">SUM(N34:X34)</f>
        <v>71.5983275471614</v>
      </c>
      <c r="Z34" s="56" t="n">
        <f aca="false">M34-Y34</f>
        <v>8.84192397346509</v>
      </c>
      <c r="AA34" s="66" t="n">
        <f aca="false">M34/Economy!O34</f>
        <v>0.119995203000495</v>
      </c>
      <c r="AB34" s="66" t="n">
        <f aca="false">Y34/Economy!O34</f>
        <v>0.106805432430983</v>
      </c>
      <c r="AC34" s="66" t="n">
        <f aca="false">(N34+O34+P34)/Economy!O34</f>
        <v>0.0333162403820931</v>
      </c>
    </row>
    <row r="35" customFormat="false" ht="14.25" hidden="false" customHeight="false" outlineLevel="0" collapsed="false">
      <c r="A35" s="61" t="n">
        <v>1875</v>
      </c>
      <c r="B35" s="56" t="n">
        <f aca="false">Economy!O35*Paths!N35*Paths!O35*cust_coll</f>
        <v>18.9568688050335</v>
      </c>
      <c r="C35" s="56" t="n">
        <f aca="false">(Economy!J35+Economy!L35+Economy!M35+Economy!N35)*Paths!P35*Paths!Q35</f>
        <v>60.8789105341501</v>
      </c>
      <c r="D35" s="56" t="n">
        <f aca="false">Resources!P35+Resources!Q35</f>
        <v>2.835</v>
      </c>
      <c r="E35" s="56" t="n">
        <f aca="false">Paths!S35*(1-canal_opcost)*canal_share</f>
        <v>0</v>
      </c>
      <c r="F35" s="56" t="n">
        <f aca="false">Economy!O35*Paths!R35</f>
        <v>0.907770805800422</v>
      </c>
      <c r="G35" s="56" t="n">
        <f aca="false">SUMPRODUCT((Events!$B$6:$B$174&lt;=$A35)*(Events!$C$6:$C$174&gt;=$A35)*(Events!$E$6:$E$174="Receipt")*Events!$H$6:$H$174)</f>
        <v>0.98</v>
      </c>
      <c r="H35" s="72" t="n">
        <f aca="false">Loans!Y35</f>
        <v>2.09100604305408</v>
      </c>
      <c r="I35" s="56" t="n">
        <f aca="false">'Debt &amp; cash'!S34*fund_yield</f>
        <v>0.067152581987859</v>
      </c>
      <c r="J35" s="72" t="n">
        <f aca="false">Labour!Q35</f>
        <v>0</v>
      </c>
      <c r="K35" s="72" t="n">
        <f aca="false">Champions!BD35</f>
        <v>0</v>
      </c>
      <c r="L35" s="72" t="n">
        <f aca="false">Abroad!N35</f>
        <v>0.298539591813594</v>
      </c>
      <c r="M35" s="56" t="n">
        <f aca="false">SUM(B35:L35)</f>
        <v>87.0152483618396</v>
      </c>
      <c r="N35" s="56" t="n">
        <f aca="false">(Paths!W35*army_cost+Paths!X35*res_cost)*Economy!H35/1000000</f>
        <v>13.288</v>
      </c>
      <c r="O35" s="72" t="n">
        <f aca="false">Navy!Y35</f>
        <v>7.443843</v>
      </c>
      <c r="P35" s="56" t="n">
        <f aca="false">SUMPRODUCT((Events!$B$6:$B$174&lt;=$A35)*(Events!$C$6:$C$174&gt;=$A35)*(Events!$E$6:$E$174="War &amp; operations")*Events!$H$6:$H$174)</f>
        <v>0.5</v>
      </c>
      <c r="Q35" s="56" t="n">
        <f aca="false">Economy!O35*Paths!T35</f>
        <v>17.9375511226163</v>
      </c>
      <c r="R35" s="56" t="n">
        <f aca="false">Economy!O35*Paths!U35</f>
        <v>14.2338462349506</v>
      </c>
      <c r="S35" s="56" t="n">
        <f aca="false">Economy!O35*Paths!V35+SUMPRODUCT((Events!$B$6:$B$174&lt;=$A35)*(Events!$C$6:$C$174&gt;=$A35)*(Events!$E$6:$E$174="Programme")*Events!$H$6:$H$174)+SUMPRODUCT((Events!$B$6:$B$174&lt;=$A35)*(Events!$C$6:$C$174&gt;=$A35)*(Events!$E$6:$E$174="Investment")*Events!$H$6:$H$174)</f>
        <v>6.93711149265867</v>
      </c>
      <c r="T35" s="56" t="n">
        <f aca="false">(People!T35*assist_cost+Labour!AD35*talent_cost+Labour!L35*gw_admin)*Economy!H35/1000000</f>
        <v>2.86176</v>
      </c>
      <c r="U35" s="56" t="n">
        <f aca="false">SUMPRODUCT((Events!$B$6:$B$174&lt;=$A35)*(Events!$C$6:$C$174&gt;=$A35)*(Events!$E$6:$E$174="Purchase")*Events!$H$6:$H$174)</f>
        <v>0</v>
      </c>
      <c r="V35" s="56" t="n">
        <f aca="false">SUMPRODUCT((Events!$B$6:$B$174&lt;=$A35)*(Events!$C$6:$C$174&gt;=$A35)*(Events!$E$6:$E$174="Subsidy &amp; guarantee")*Events!$H$6:$H$174)+SUMPRODUCT((Events!$B$6:$B$174&lt;=$A35)*(Events!$C$6:$C$174&gt;=$A35)*(Events!$E$6:$E$174="Relief")*Events!$H$6:$H$174)</f>
        <v>2</v>
      </c>
      <c r="W35" s="56" t="n">
        <f aca="false">SUMPRODUCT((Events!$B$6:$B$174&lt;=$A35)*(Events!$C$6:$C$174&gt;=$A35)*(Events!$E$6:$E$174="Bank rescue &amp; capital")*Events!$H$6:$H$174)</f>
        <v>0</v>
      </c>
      <c r="X35" s="56" t="n">
        <f aca="false">'Debt &amp; cash'!R34*Paths!Y35</f>
        <v>9.25639467555664</v>
      </c>
      <c r="Y35" s="56" t="n">
        <f aca="false">SUM(N35:X35)</f>
        <v>74.4585065257823</v>
      </c>
      <c r="Z35" s="56" t="n">
        <f aca="false">M35-Y35</f>
        <v>12.5567418360573</v>
      </c>
      <c r="AA35" s="66" t="n">
        <f aca="false">M35/Economy!O35</f>
        <v>0.119819958691438</v>
      </c>
      <c r="AB35" s="66" t="n">
        <f aca="false">Y35/Economy!O35</f>
        <v>0.102529330710477</v>
      </c>
      <c r="AC35" s="66" t="n">
        <f aca="false">(N35+O35+P35)/Economy!O35</f>
        <v>0.0292362384650591</v>
      </c>
    </row>
    <row r="36" customFormat="false" ht="14.25" hidden="false" customHeight="false" outlineLevel="0" collapsed="false">
      <c r="A36" s="61" t="n">
        <v>1876</v>
      </c>
      <c r="B36" s="56" t="n">
        <f aca="false">Economy!O36*Paths!N36*Paths!O36*cust_coll</f>
        <v>20.5213845232719</v>
      </c>
      <c r="C36" s="56" t="n">
        <f aca="false">(Economy!J36+Economy!L36+Economy!M36+Economy!N36)*Paths!P36*Paths!Q36</f>
        <v>66.3614878110347</v>
      </c>
      <c r="D36" s="56" t="n">
        <f aca="false">Resources!P36+Resources!Q36</f>
        <v>3.0985</v>
      </c>
      <c r="E36" s="56" t="n">
        <f aca="false">Paths!S36*(1-canal_opcost)*canal_share</f>
        <v>0</v>
      </c>
      <c r="F36" s="56" t="n">
        <f aca="false">Economy!O36*Paths!R36</f>
        <v>1.1084081146829</v>
      </c>
      <c r="G36" s="56" t="n">
        <f aca="false">SUMPRODUCT((Events!$B$6:$B$174&lt;=$A36)*(Events!$C$6:$C$174&gt;=$A36)*(Events!$E$6:$E$174="Receipt")*Events!$H$6:$H$174)</f>
        <v>0.98</v>
      </c>
      <c r="H36" s="72" t="n">
        <f aca="false">Loans!Y36</f>
        <v>2.15886580133192</v>
      </c>
      <c r="I36" s="56" t="n">
        <f aca="false">'Debt &amp; cash'!S35*fund_yield</f>
        <v>0.117810219556233</v>
      </c>
      <c r="J36" s="72" t="n">
        <f aca="false">Labour!Q36</f>
        <v>0</v>
      </c>
      <c r="K36" s="72" t="n">
        <f aca="false">Champions!BD36</f>
        <v>0</v>
      </c>
      <c r="L36" s="72" t="n">
        <f aca="false">Abroad!N36</f>
        <v>0.341420416559903</v>
      </c>
      <c r="M36" s="56" t="n">
        <f aca="false">SUM(B36:L36)</f>
        <v>94.6878768864375</v>
      </c>
      <c r="N36" s="56" t="n">
        <f aca="false">(Paths!W36*army_cost+Paths!X36*res_cost)*Economy!H36/1000000</f>
        <v>13.16736</v>
      </c>
      <c r="O36" s="72" t="n">
        <f aca="false">Navy!Y36</f>
        <v>5.8566004</v>
      </c>
      <c r="P36" s="56" t="n">
        <f aca="false">SUMPRODUCT((Events!$B$6:$B$174&lt;=$A36)*(Events!$C$6:$C$174&gt;=$A36)*(Events!$E$6:$E$174="War &amp; operations")*Events!$H$6:$H$174)</f>
        <v>1</v>
      </c>
      <c r="Q36" s="56" t="n">
        <f aca="false">Economy!O36*Paths!T36</f>
        <v>19.7138300397172</v>
      </c>
      <c r="R36" s="56" t="n">
        <f aca="false">Economy!O36*Paths!U36</f>
        <v>15.5968856137522</v>
      </c>
      <c r="S36" s="56" t="n">
        <f aca="false">Economy!O36*Paths!V36+SUMPRODUCT((Events!$B$6:$B$174&lt;=$A36)*(Events!$C$6:$C$174&gt;=$A36)*(Events!$E$6:$E$174="Programme")*Events!$H$6:$H$174)+SUMPRODUCT((Events!$B$6:$B$174&lt;=$A36)*(Events!$C$6:$C$174&gt;=$A36)*(Events!$E$6:$E$174="Investment")*Events!$H$6:$H$174)</f>
        <v>10.9837606553308</v>
      </c>
      <c r="T36" s="56" t="n">
        <f aca="false">(People!T36*assist_cost+Labour!AD36*talent_cost+Labour!L36*gw_admin)*Economy!H36/1000000</f>
        <v>2.809728</v>
      </c>
      <c r="U36" s="56" t="n">
        <f aca="false">SUMPRODUCT((Events!$B$6:$B$174&lt;=$A36)*(Events!$C$6:$C$174&gt;=$A36)*(Events!$E$6:$E$174="Purchase")*Events!$H$6:$H$174)</f>
        <v>0</v>
      </c>
      <c r="V36" s="56" t="n">
        <f aca="false">SUMPRODUCT((Events!$B$6:$B$174&lt;=$A36)*(Events!$C$6:$C$174&gt;=$A36)*(Events!$E$6:$E$174="Subsidy &amp; guarantee")*Events!$H$6:$H$174)+SUMPRODUCT((Events!$B$6:$B$174&lt;=$A36)*(Events!$C$6:$C$174&gt;=$A36)*(Events!$E$6:$E$174="Relief")*Events!$H$6:$H$174)</f>
        <v>2.5</v>
      </c>
      <c r="W36" s="56" t="n">
        <f aca="false">SUMPRODUCT((Events!$B$6:$B$174&lt;=$A36)*(Events!$C$6:$C$174&gt;=$A36)*(Events!$E$6:$E$174="Bank rescue &amp; capital")*Events!$H$6:$H$174)</f>
        <v>0</v>
      </c>
      <c r="X36" s="56" t="n">
        <f aca="false">'Debt &amp; cash'!R35*Paths!Y36</f>
        <v>8.68665125155429</v>
      </c>
      <c r="Y36" s="56" t="n">
        <f aca="false">SUM(N36:X36)</f>
        <v>80.3148159603546</v>
      </c>
      <c r="Z36" s="56" t="n">
        <f aca="false">M36-Y36</f>
        <v>14.373060926083</v>
      </c>
      <c r="AA36" s="66" t="n">
        <f aca="false">M36/Economy!O36</f>
        <v>0.119597669743637</v>
      </c>
      <c r="AB36" s="66" t="n">
        <f aca="false">Y36/Economy!O36</f>
        <v>0.101443449262968</v>
      </c>
      <c r="AC36" s="66" t="n">
        <f aca="false">(N36+O36+P36)/Economy!O36</f>
        <v>0.0252917171830884</v>
      </c>
    </row>
    <row r="37" customFormat="false" ht="14.25" hidden="false" customHeight="false" outlineLevel="0" collapsed="false">
      <c r="A37" s="61" t="n">
        <v>1877</v>
      </c>
      <c r="B37" s="56" t="n">
        <f aca="false">Economy!O37*Paths!N37*Paths!O37*cust_coll</f>
        <v>21.3367249330697</v>
      </c>
      <c r="C37" s="56" t="n">
        <f aca="false">(Economy!J37+Economy!L37+Economy!M37+Economy!N37)*Paths!P37*Paths!Q37</f>
        <v>69.3295109759118</v>
      </c>
      <c r="D37" s="56" t="n">
        <f aca="false">Resources!P37+Resources!Q37</f>
        <v>3.361875</v>
      </c>
      <c r="E37" s="56" t="n">
        <f aca="false">Paths!S37*(1-canal_opcost)*canal_share</f>
        <v>0</v>
      </c>
      <c r="F37" s="56" t="n">
        <f aca="false">Economy!O37*Paths!R37</f>
        <v>1.28502524231275</v>
      </c>
      <c r="G37" s="56" t="n">
        <f aca="false">SUMPRODUCT((Events!$B$6:$B$174&lt;=$A37)*(Events!$C$6:$C$174&gt;=$A37)*(Events!$E$6:$E$174="Receipt")*Events!$H$6:$H$174)</f>
        <v>0.98</v>
      </c>
      <c r="H37" s="72" t="n">
        <f aca="false">Loans!Y37</f>
        <v>1.78881616927864</v>
      </c>
      <c r="I37" s="56" t="n">
        <f aca="false">'Debt &amp; cash'!S36*fund_yield</f>
        <v>0.252200023179371</v>
      </c>
      <c r="J37" s="72" t="n">
        <f aca="false">Labour!Q37</f>
        <v>0</v>
      </c>
      <c r="K37" s="72" t="n">
        <f aca="false">Champions!BD37</f>
        <v>0</v>
      </c>
      <c r="L37" s="72" t="n">
        <f aca="false">Abroad!N37</f>
        <v>0.3861489006591</v>
      </c>
      <c r="M37" s="56" t="n">
        <f aca="false">SUM(B37:L37)</f>
        <v>98.7203012444114</v>
      </c>
      <c r="N37" s="56" t="n">
        <f aca="false">(Paths!W37*army_cost+Paths!X37*res_cost)*Economy!H37/1000000</f>
        <v>13.04224</v>
      </c>
      <c r="O37" s="72" t="n">
        <f aca="false">Navy!Y37</f>
        <v>7.3943578</v>
      </c>
      <c r="P37" s="56" t="n">
        <f aca="false">SUMPRODUCT((Events!$B$6:$B$174&lt;=$A37)*(Events!$C$6:$C$174&gt;=$A37)*(Events!$E$6:$E$174="War &amp; operations")*Events!$H$6:$H$174)</f>
        <v>1</v>
      </c>
      <c r="Q37" s="56" t="n">
        <f aca="false">Economy!O37*Paths!T37</f>
        <v>20.8920232943751</v>
      </c>
      <c r="R37" s="56" t="n">
        <f aca="false">Economy!O37*Paths!U37</f>
        <v>16.4151611598662</v>
      </c>
      <c r="S37" s="56" t="n">
        <f aca="false">Economy!O37*Paths!V37+SUMPRODUCT((Events!$B$6:$B$174&lt;=$A37)*(Events!$C$6:$C$174&gt;=$A37)*(Events!$E$6:$E$174="Programme")*Events!$H$6:$H$174)+SUMPRODUCT((Events!$B$6:$B$174&lt;=$A37)*(Events!$C$6:$C$174&gt;=$A37)*(Events!$E$6:$E$174="Investment")*Events!$H$6:$H$174)</f>
        <v>11.8481980561062</v>
      </c>
      <c r="T37" s="56" t="n">
        <f aca="false">(People!T37*assist_cost+Labour!AD37*talent_cost+Labour!L37*gw_admin)*Economy!H37/1000000</f>
        <v>2.778048</v>
      </c>
      <c r="U37" s="56" t="n">
        <f aca="false">SUMPRODUCT((Events!$B$6:$B$174&lt;=$A37)*(Events!$C$6:$C$174&gt;=$A37)*(Events!$E$6:$E$174="Purchase")*Events!$H$6:$H$174)</f>
        <v>0</v>
      </c>
      <c r="V37" s="56" t="n">
        <f aca="false">SUMPRODUCT((Events!$B$6:$B$174&lt;=$A37)*(Events!$C$6:$C$174&gt;=$A37)*(Events!$E$6:$E$174="Subsidy &amp; guarantee")*Events!$H$6:$H$174)+SUMPRODUCT((Events!$B$6:$B$174&lt;=$A37)*(Events!$C$6:$C$174&gt;=$A37)*(Events!$E$6:$E$174="Relief")*Events!$H$6:$H$174)</f>
        <v>3</v>
      </c>
      <c r="W37" s="56" t="n">
        <f aca="false">SUMPRODUCT((Events!$B$6:$B$174&lt;=$A37)*(Events!$C$6:$C$174&gt;=$A37)*(Events!$E$6:$E$174="Bank rescue &amp; capital")*Events!$H$6:$H$174)</f>
        <v>0</v>
      </c>
      <c r="X37" s="56" t="n">
        <f aca="false">'Debt &amp; cash'!R36*Paths!Y37</f>
        <v>7.64711196404681</v>
      </c>
      <c r="Y37" s="56" t="n">
        <f aca="false">SUM(N37:X37)</f>
        <v>84.0171402743943</v>
      </c>
      <c r="Z37" s="56" t="n">
        <f aca="false">M37-Y37</f>
        <v>14.7031609700171</v>
      </c>
      <c r="AA37" s="66" t="n">
        <f aca="false">M37/Economy!O37</f>
        <v>0.119076623470402</v>
      </c>
      <c r="AB37" s="66" t="n">
        <f aca="false">Y37/Economy!O37</f>
        <v>0.101341641500312</v>
      </c>
      <c r="AC37" s="66" t="n">
        <f aca="false">(N37+O37+P37)/Economy!O37</f>
        <v>0.0258568668504904</v>
      </c>
    </row>
    <row r="38" customFormat="false" ht="14.25" hidden="false" customHeight="false" outlineLevel="0" collapsed="false">
      <c r="A38" s="61" t="n">
        <v>1878</v>
      </c>
      <c r="B38" s="56" t="n">
        <f aca="false">Economy!O38*Paths!N38*Paths!O38*cust_coll</f>
        <v>22.5807451647493</v>
      </c>
      <c r="C38" s="56" t="n">
        <f aca="false">(Economy!J38+Economy!L38+Economy!M38+Economy!N38)*Paths!P38*Paths!Q38</f>
        <v>75.1838807880349</v>
      </c>
      <c r="D38" s="56" t="n">
        <f aca="false">Resources!P38+Resources!Q38</f>
        <v>2.635125</v>
      </c>
      <c r="E38" s="56" t="n">
        <f aca="false">Paths!S38*(1-canal_opcost)*canal_share</f>
        <v>0</v>
      </c>
      <c r="F38" s="56" t="n">
        <f aca="false">Economy!O38*Paths!R38</f>
        <v>1.50163774977209</v>
      </c>
      <c r="G38" s="56" t="n">
        <f aca="false">SUMPRODUCT((Events!$B$6:$B$174&lt;=$A38)*(Events!$C$6:$C$174&gt;=$A38)*(Events!$E$6:$E$174="Receipt")*Events!$H$6:$H$174)</f>
        <v>2.98</v>
      </c>
      <c r="H38" s="72" t="n">
        <f aca="false">Loans!Y38</f>
        <v>1.71726337250749</v>
      </c>
      <c r="I38" s="56" t="n">
        <f aca="false">'Debt &amp; cash'!S37*fund_yield</f>
        <v>0.351395800174148</v>
      </c>
      <c r="J38" s="72" t="n">
        <f aca="false">Labour!Q38</f>
        <v>0</v>
      </c>
      <c r="K38" s="72" t="n">
        <f aca="false">Champions!BD38</f>
        <v>0</v>
      </c>
      <c r="L38" s="72" t="n">
        <f aca="false">Abroad!N38</f>
        <v>0.428211239314777</v>
      </c>
      <c r="M38" s="56" t="n">
        <f aca="false">SUM(B38:L38)</f>
        <v>107.378259114553</v>
      </c>
      <c r="N38" s="56" t="n">
        <f aca="false">(Paths!W38*army_cost+Paths!X38*res_cost)*Economy!H38/1000000</f>
        <v>12.91264</v>
      </c>
      <c r="O38" s="72" t="n">
        <f aca="false">Navy!Y38</f>
        <v>7.8465056</v>
      </c>
      <c r="P38" s="56" t="n">
        <f aca="false">SUMPRODUCT((Events!$B$6:$B$174&lt;=$A38)*(Events!$C$6:$C$174&gt;=$A38)*(Events!$E$6:$E$174="War &amp; operations")*Events!$H$6:$H$174)</f>
        <v>6.5</v>
      </c>
      <c r="Q38" s="56" t="n">
        <f aca="false">Economy!O38*Paths!T38</f>
        <v>22.5245662465814</v>
      </c>
      <c r="R38" s="56" t="n">
        <f aca="false">Economy!O38*Paths!U38</f>
        <v>17.4896632032279</v>
      </c>
      <c r="S38" s="56" t="n">
        <f aca="false">Economy!O38*Paths!V38+SUMPRODUCT((Events!$B$6:$B$174&lt;=$A38)*(Events!$C$6:$C$174&gt;=$A38)*(Events!$E$6:$E$174="Programme")*Events!$H$6:$H$174)+SUMPRODUCT((Events!$B$6:$B$174&lt;=$A38)*(Events!$C$6:$C$174&gt;=$A38)*(Events!$E$6:$E$174="Investment")*Events!$H$6:$H$174)</f>
        <v>15.0498571165209</v>
      </c>
      <c r="T38" s="56" t="n">
        <f aca="false">(People!T38*assist_cost+Labour!AD38*talent_cost+Labour!L38*gw_admin)*Economy!H38/1000000</f>
        <v>2.725632</v>
      </c>
      <c r="U38" s="56" t="n">
        <f aca="false">SUMPRODUCT((Events!$B$6:$B$174&lt;=$A38)*(Events!$C$6:$C$174&gt;=$A38)*(Events!$E$6:$E$174="Purchase")*Events!$H$6:$H$174)</f>
        <v>0.3</v>
      </c>
      <c r="V38" s="56" t="n">
        <f aca="false">SUMPRODUCT((Events!$B$6:$B$174&lt;=$A38)*(Events!$C$6:$C$174&gt;=$A38)*(Events!$E$6:$E$174="Subsidy &amp; guarantee")*Events!$H$6:$H$174)+SUMPRODUCT((Events!$B$6:$B$174&lt;=$A38)*(Events!$C$6:$C$174&gt;=$A38)*(Events!$E$6:$E$174="Relief")*Events!$H$6:$H$174)</f>
        <v>3.05</v>
      </c>
      <c r="W38" s="56" t="n">
        <f aca="false">SUMPRODUCT((Events!$B$6:$B$174&lt;=$A38)*(Events!$C$6:$C$174&gt;=$A38)*(Events!$E$6:$E$174="Bank rescue &amp; capital")*Events!$H$6:$H$174)</f>
        <v>0</v>
      </c>
      <c r="X38" s="56" t="n">
        <f aca="false">'Debt &amp; cash'!R37*Paths!Y38</f>
        <v>6.85837803249431</v>
      </c>
      <c r="Y38" s="56" t="n">
        <f aca="false">SUM(N38:X38)</f>
        <v>95.2572421988246</v>
      </c>
      <c r="Z38" s="56" t="n">
        <f aca="false">M38-Y38</f>
        <v>12.1210169157282</v>
      </c>
      <c r="AA38" s="66" t="n">
        <f aca="false">M38/Economy!O38</f>
        <v>0.121562634212176</v>
      </c>
      <c r="AB38" s="66" t="n">
        <f aca="false">Y38/Economy!O38</f>
        <v>0.107840464028411</v>
      </c>
      <c r="AC38" s="66" t="n">
        <f aca="false">(N38+O38+P38)/Economy!O38</f>
        <v>0.0308600043699176</v>
      </c>
    </row>
    <row r="39" customFormat="false" ht="14.25" hidden="false" customHeight="false" outlineLevel="0" collapsed="false">
      <c r="A39" s="61" t="n">
        <v>1879</v>
      </c>
      <c r="B39" s="56" t="n">
        <f aca="false">Economy!O39*Paths!N39*Paths!O39*cust_coll</f>
        <v>23.5070228858458</v>
      </c>
      <c r="C39" s="56" t="n">
        <f aca="false">(Economy!J39+Economy!L39+Economy!M39+Economy!N39)*Paths!P39*Paths!Q39</f>
        <v>79.7726170573184</v>
      </c>
      <c r="D39" s="56" t="n">
        <f aca="false">Resources!P39+Resources!Q39</f>
        <v>2.08825</v>
      </c>
      <c r="E39" s="56" t="n">
        <f aca="false">Paths!S39*(1-canal_opcost)*canal_share</f>
        <v>0</v>
      </c>
      <c r="F39" s="56" t="n">
        <f aca="false">Economy!O39*Paths!R39</f>
        <v>1.71347487544582</v>
      </c>
      <c r="G39" s="56" t="n">
        <f aca="false">SUMPRODUCT((Events!$B$6:$B$174&lt;=$A39)*(Events!$C$6:$C$174&gt;=$A39)*(Events!$E$6:$E$174="Receipt")*Events!$H$6:$H$174)</f>
        <v>2.98</v>
      </c>
      <c r="H39" s="72" t="n">
        <f aca="false">Loans!Y39</f>
        <v>1.64857269210719</v>
      </c>
      <c r="I39" s="56" t="n">
        <f aca="false">'Debt &amp; cash'!S38*fund_yield</f>
        <v>0.422253492865637</v>
      </c>
      <c r="J39" s="72" t="n">
        <f aca="false">Labour!Q39</f>
        <v>0</v>
      </c>
      <c r="K39" s="72" t="n">
        <f aca="false">Champions!BD39</f>
        <v>0</v>
      </c>
      <c r="L39" s="72" t="n">
        <f aca="false">Abroad!N39</f>
        <v>0.480170005451083</v>
      </c>
      <c r="M39" s="56" t="n">
        <f aca="false">SUM(B39:L39)</f>
        <v>112.612361009034</v>
      </c>
      <c r="N39" s="56" t="n">
        <f aca="false">(Paths!W39*army_cost+Paths!X39*res_cost)*Economy!H39/1000000</f>
        <v>12.77856</v>
      </c>
      <c r="O39" s="72" t="n">
        <f aca="false">Navy!Y39</f>
        <v>6.1785728</v>
      </c>
      <c r="P39" s="56" t="n">
        <f aca="false">SUMPRODUCT((Events!$B$6:$B$174&lt;=$A39)*(Events!$C$6:$C$174&gt;=$A39)*(Events!$E$6:$E$174="War &amp; operations")*Events!$H$6:$H$174)</f>
        <v>0</v>
      </c>
      <c r="Q39" s="56" t="n">
        <f aca="false">Economy!O39*Paths!T39</f>
        <v>23.8034077291662</v>
      </c>
      <c r="R39" s="56" t="n">
        <f aca="false">Economy!O39*Paths!U39</f>
        <v>18.4314324439847</v>
      </c>
      <c r="S39" s="56" t="n">
        <f aca="false">Economy!O39*Paths!V39+SUMPRODUCT((Events!$B$6:$B$174&lt;=$A39)*(Events!$C$6:$C$174&gt;=$A39)*(Events!$E$6:$E$174="Programme")*Events!$H$6:$H$174)+SUMPRODUCT((Events!$B$6:$B$174&lt;=$A39)*(Events!$C$6:$C$174&gt;=$A39)*(Events!$E$6:$E$174="Investment")*Events!$H$6:$H$174)</f>
        <v>15.6879629277722</v>
      </c>
      <c r="T39" s="56" t="n">
        <f aca="false">(People!T39*assist_cost+Labour!AD39*talent_cost+Labour!L39*gw_admin)*Economy!H39/1000000</f>
        <v>2.673216</v>
      </c>
      <c r="U39" s="56" t="n">
        <f aca="false">SUMPRODUCT((Events!$B$6:$B$174&lt;=$A39)*(Events!$C$6:$C$174&gt;=$A39)*(Events!$E$6:$E$174="Purchase")*Events!$H$6:$H$174)</f>
        <v>0</v>
      </c>
      <c r="V39" s="56" t="n">
        <f aca="false">SUMPRODUCT((Events!$B$6:$B$174&lt;=$A39)*(Events!$C$6:$C$174&gt;=$A39)*(Events!$E$6:$E$174="Subsidy &amp; guarantee")*Events!$H$6:$H$174)+SUMPRODUCT((Events!$B$6:$B$174&lt;=$A39)*(Events!$C$6:$C$174&gt;=$A39)*(Events!$E$6:$E$174="Relief")*Events!$H$6:$H$174)</f>
        <v>3.05</v>
      </c>
      <c r="W39" s="56" t="n">
        <f aca="false">SUMPRODUCT((Events!$B$6:$B$174&lt;=$A39)*(Events!$C$6:$C$174&gt;=$A39)*(Events!$E$6:$E$174="Bank rescue &amp; capital")*Events!$H$6:$H$174)</f>
        <v>0</v>
      </c>
      <c r="X39" s="56" t="n">
        <f aca="false">'Debt &amp; cash'!R38*Paths!Y39</f>
        <v>6.24479348302714</v>
      </c>
      <c r="Y39" s="56" t="n">
        <f aca="false">SUM(N39:X39)</f>
        <v>88.8479453839503</v>
      </c>
      <c r="Z39" s="56" t="n">
        <f aca="false">M39-Y39</f>
        <v>23.7644156250837</v>
      </c>
      <c r="AA39" s="66" t="n">
        <f aca="false">M39/Economy!O39</f>
        <v>0.121585014669391</v>
      </c>
      <c r="AB39" s="66" t="n">
        <f aca="false">Y39/Economy!O39</f>
        <v>0.0959271135607064</v>
      </c>
      <c r="AC39" s="66" t="n">
        <f aca="false">(N39+O39+P39)/Economy!O39</f>
        <v>0.0204675867633456</v>
      </c>
    </row>
    <row r="40" customFormat="false" ht="14.25" hidden="false" customHeight="false" outlineLevel="0" collapsed="false">
      <c r="A40" s="61" t="n">
        <v>1880</v>
      </c>
      <c r="B40" s="56" t="n">
        <f aca="false">Economy!O40*Paths!N40*Paths!O40*cust_coll</f>
        <v>24.6541048100679</v>
      </c>
      <c r="C40" s="56" t="n">
        <f aca="false">(Economy!J40+Economy!L40+Economy!M40+Economy!N40)*Paths!P40*Paths!Q40</f>
        <v>84.5683265375791</v>
      </c>
      <c r="D40" s="56" t="n">
        <f aca="false">Resources!P40+Resources!Q40</f>
        <v>1.99575</v>
      </c>
      <c r="E40" s="56" t="n">
        <f aca="false">Paths!S40*(1-canal_opcost)*canal_share</f>
        <v>0</v>
      </c>
      <c r="F40" s="56" t="n">
        <f aca="false">Economy!O40*Paths!R40</f>
        <v>1.95695454986172</v>
      </c>
      <c r="G40" s="56" t="n">
        <f aca="false">SUMPRODUCT((Events!$B$6:$B$174&lt;=$A40)*(Events!$C$6:$C$174&gt;=$A40)*(Events!$E$6:$E$174="Receipt")*Events!$H$6:$H$174)</f>
        <v>3</v>
      </c>
      <c r="H40" s="72" t="n">
        <f aca="false">Loans!Y40</f>
        <v>1.58262964328791</v>
      </c>
      <c r="I40" s="56" t="n">
        <f aca="false">'Debt &amp; cash'!S39*fund_yield</f>
        <v>0.59420038191459</v>
      </c>
      <c r="J40" s="72" t="n">
        <f aca="false">Labour!Q40</f>
        <v>0</v>
      </c>
      <c r="K40" s="72" t="n">
        <f aca="false">Champions!BD40</f>
        <v>0.86543629004021</v>
      </c>
      <c r="L40" s="72" t="n">
        <f aca="false">Abroad!N40</f>
        <v>0.603458197134448</v>
      </c>
      <c r="M40" s="56" t="n">
        <f aca="false">SUM(B40:L40)</f>
        <v>119.820860409886</v>
      </c>
      <c r="N40" s="56" t="n">
        <f aca="false">(Paths!W40*army_cost+Paths!X40*res_cost)*Economy!H40/1000000</f>
        <v>12.64</v>
      </c>
      <c r="O40" s="72" t="n">
        <f aca="false">Navy!Y40</f>
        <v>7.76064</v>
      </c>
      <c r="P40" s="56" t="n">
        <f aca="false">SUMPRODUCT((Events!$B$6:$B$174&lt;=$A40)*(Events!$C$6:$C$174&gt;=$A40)*(Events!$E$6:$E$174="War &amp; operations")*Events!$H$6:$H$174)</f>
        <v>0</v>
      </c>
      <c r="Q40" s="56" t="n">
        <f aca="false">Economy!O40*Paths!T40</f>
        <v>25.4404091482023</v>
      </c>
      <c r="R40" s="56" t="n">
        <f aca="false">Economy!O40*Paths!U40</f>
        <v>19.5695454986172</v>
      </c>
      <c r="S40" s="56" t="n">
        <f aca="false">Economy!O40*Paths!V40+SUMPRODUCT((Events!$B$6:$B$174&lt;=$A40)*(Events!$C$6:$C$174&gt;=$A40)*(Events!$E$6:$E$174="Programme")*Events!$H$6:$H$174)+SUMPRODUCT((Events!$B$6:$B$174&lt;=$A40)*(Events!$C$6:$C$174&gt;=$A40)*(Events!$E$6:$E$174="Investment")*Events!$H$6:$H$174)</f>
        <v>14.3584477468846</v>
      </c>
      <c r="T40" s="56" t="n">
        <f aca="false">(People!T40*assist_cost+Labour!AD40*talent_cost+Labour!L40*gw_admin)*Economy!H40/1000000</f>
        <v>3.06900629157746</v>
      </c>
      <c r="U40" s="56" t="n">
        <f aca="false">SUMPRODUCT((Events!$B$6:$B$174&lt;=$A40)*(Events!$C$6:$C$174&gt;=$A40)*(Events!$E$6:$E$174="Purchase")*Events!$H$6:$H$174)</f>
        <v>10</v>
      </c>
      <c r="V40" s="56" t="n">
        <f aca="false">SUMPRODUCT((Events!$B$6:$B$174&lt;=$A40)*(Events!$C$6:$C$174&gt;=$A40)*(Events!$E$6:$E$174="Subsidy &amp; guarantee")*Events!$H$6:$H$174)+SUMPRODUCT((Events!$B$6:$B$174&lt;=$A40)*(Events!$C$6:$C$174&gt;=$A40)*(Events!$E$6:$E$174="Relief")*Events!$H$6:$H$174)</f>
        <v>2.55</v>
      </c>
      <c r="W40" s="56" t="n">
        <f aca="false">SUMPRODUCT((Events!$B$6:$B$174&lt;=$A40)*(Events!$C$6:$C$174&gt;=$A40)*(Events!$E$6:$E$174="Bank rescue &amp; capital")*Events!$H$6:$H$174)</f>
        <v>0</v>
      </c>
      <c r="X40" s="56" t="n">
        <f aca="false">'Debt &amp; cash'!R39*Paths!Y40</f>
        <v>5.11134818181119</v>
      </c>
      <c r="Y40" s="56" t="n">
        <f aca="false">SUM(N40:X40)</f>
        <v>100.499396867093</v>
      </c>
      <c r="Z40" s="56" t="n">
        <f aca="false">M40-Y40</f>
        <v>19.3214635427931</v>
      </c>
      <c r="AA40" s="66" t="n">
        <f aca="false">M40/Economy!O40</f>
        <v>0.122456457068308</v>
      </c>
      <c r="AB40" s="66" t="n">
        <f aca="false">Y40/Economy!O40</f>
        <v>0.102709995870057</v>
      </c>
      <c r="AC40" s="66" t="n">
        <f aca="false">(N40+O40+P40)/Economy!O40</f>
        <v>0.0208493753740388</v>
      </c>
    </row>
    <row r="41" customFormat="false" ht="14.25" hidden="false" customHeight="false" outlineLevel="0" collapsed="false">
      <c r="A41" s="61" t="n">
        <v>1881</v>
      </c>
      <c r="B41" s="56" t="n">
        <f aca="false">Economy!O41*Paths!N41*Paths!O41*cust_coll</f>
        <v>26.0183113884667</v>
      </c>
      <c r="C41" s="56" t="n">
        <f aca="false">(Economy!J41+Economy!L41+Economy!M41+Economy!N41)*Paths!P41*Paths!Q41</f>
        <v>77.1560112654996</v>
      </c>
      <c r="D41" s="56" t="n">
        <f aca="false">Resources!P41+Resources!Q41</f>
        <v>2.016675</v>
      </c>
      <c r="E41" s="56" t="n">
        <f aca="false">Paths!S41*(1-canal_opcost)*canal_share</f>
        <v>0</v>
      </c>
      <c r="F41" s="56" t="n">
        <f aca="false">Economy!O41*Paths!R41</f>
        <v>2.07950186132025</v>
      </c>
      <c r="G41" s="56" t="n">
        <f aca="false">SUMPRODUCT((Events!$B$6:$B$174&lt;=$A41)*(Events!$C$6:$C$174&gt;=$A41)*(Events!$E$6:$E$174="Receipt")*Events!$H$6:$H$174)</f>
        <v>1.15</v>
      </c>
      <c r="H41" s="72" t="n">
        <f aca="false">Loans!Y41</f>
        <v>1.51932432065544</v>
      </c>
      <c r="I41" s="56" t="n">
        <f aca="false">'Debt &amp; cash'!S40*fund_yield</f>
        <v>0.634746259750245</v>
      </c>
      <c r="J41" s="72" t="n">
        <f aca="false">Labour!Q41</f>
        <v>0</v>
      </c>
      <c r="K41" s="72" t="n">
        <f aca="false">Champions!BD41</f>
        <v>0.988442398530678</v>
      </c>
      <c r="L41" s="72" t="n">
        <f aca="false">Abroad!N41</f>
        <v>0.679133528071523</v>
      </c>
      <c r="M41" s="56" t="n">
        <f aca="false">SUM(B41:L41)</f>
        <v>112.242146022294</v>
      </c>
      <c r="N41" s="56" t="n">
        <f aca="false">(Paths!W41*army_cost+Paths!X41*res_cost)*Economy!H41/1000000</f>
        <v>12.91532</v>
      </c>
      <c r="O41" s="72" t="n">
        <f aca="false">Navy!Y41</f>
        <v>7.956909</v>
      </c>
      <c r="P41" s="56" t="n">
        <f aca="false">SUMPRODUCT((Events!$B$6:$B$174&lt;=$A41)*(Events!$C$6:$C$174&gt;=$A41)*(Events!$E$6:$E$174="War &amp; operations")*Events!$H$6:$H$174)</f>
        <v>0</v>
      </c>
      <c r="Q41" s="56" t="n">
        <f aca="false">Economy!O41*Paths!T41</f>
        <v>27.5533996624933</v>
      </c>
      <c r="R41" s="56" t="n">
        <f aca="false">Economy!O41*Paths!U41</f>
        <v>20.7950186132025</v>
      </c>
      <c r="S41" s="56" t="n">
        <f aca="false">Economy!O41*Paths!V41+SUMPRODUCT((Events!$B$6:$B$174&lt;=$A41)*(Events!$C$6:$C$174&gt;=$A41)*(Events!$E$6:$E$174="Programme")*Events!$H$6:$H$174)+SUMPRODUCT((Events!$B$6:$B$174&lt;=$A41)*(Events!$C$6:$C$174&gt;=$A41)*(Events!$E$6:$E$174="Investment")*Events!$H$6:$H$174)</f>
        <v>15.0917334690071</v>
      </c>
      <c r="T41" s="56" t="n">
        <f aca="false">(People!T41*assist_cost+Labour!AD41*talent_cost+Labour!L41*gw_admin)*Economy!H41/1000000</f>
        <v>2.581488</v>
      </c>
      <c r="U41" s="56" t="n">
        <f aca="false">SUMPRODUCT((Events!$B$6:$B$174&lt;=$A41)*(Events!$C$6:$C$174&gt;=$A41)*(Events!$E$6:$E$174="Purchase")*Events!$H$6:$H$174)</f>
        <v>0</v>
      </c>
      <c r="V41" s="56" t="n">
        <f aca="false">SUMPRODUCT((Events!$B$6:$B$174&lt;=$A41)*(Events!$C$6:$C$174&gt;=$A41)*(Events!$E$6:$E$174="Subsidy &amp; guarantee")*Events!$H$6:$H$174)+SUMPRODUCT((Events!$B$6:$B$174&lt;=$A41)*(Events!$C$6:$C$174&gt;=$A41)*(Events!$E$6:$E$174="Relief")*Events!$H$6:$H$174)</f>
        <v>2.55</v>
      </c>
      <c r="W41" s="56" t="n">
        <f aca="false">SUMPRODUCT((Events!$B$6:$B$174&lt;=$A41)*(Events!$C$6:$C$174&gt;=$A41)*(Events!$E$6:$E$174="Bank rescue &amp; capital")*Events!$H$6:$H$174)</f>
        <v>0</v>
      </c>
      <c r="X41" s="56" t="n">
        <f aca="false">'Debt &amp; cash'!R40*Paths!Y41</f>
        <v>4.72578289403439</v>
      </c>
      <c r="Y41" s="56" t="n">
        <f aca="false">SUM(N41:X41)</f>
        <v>94.1696516387374</v>
      </c>
      <c r="Z41" s="56" t="n">
        <f aca="false">M41-Y41</f>
        <v>18.0724943835571</v>
      </c>
      <c r="AA41" s="66" t="n">
        <f aca="false">M41/Economy!O41</f>
        <v>0.1079509935625</v>
      </c>
      <c r="AB41" s="66" t="n">
        <f aca="false">Y41/Economy!O41</f>
        <v>0.0905694324110392</v>
      </c>
      <c r="AC41" s="66" t="n">
        <f aca="false">(N41+O41+P41)/Economy!O41</f>
        <v>0.0200742585406954</v>
      </c>
    </row>
    <row r="42" customFormat="false" ht="14.25" hidden="false" customHeight="false" outlineLevel="0" collapsed="false">
      <c r="A42" s="61" t="n">
        <v>1882</v>
      </c>
      <c r="B42" s="56" t="n">
        <f aca="false">Economy!O42*Paths!N42*Paths!O42*cust_coll</f>
        <v>27.3363393980484</v>
      </c>
      <c r="C42" s="56" t="n">
        <f aca="false">(Economy!J42+Economy!L42+Economy!M42+Economy!N42)*Paths!P42*Paths!Q42</f>
        <v>81.7856630893519</v>
      </c>
      <c r="D42" s="56" t="n">
        <f aca="false">Resources!P42+Resources!Q42</f>
        <v>2.0349</v>
      </c>
      <c r="E42" s="56" t="n">
        <f aca="false">Paths!S42*(1-canal_opcost)*canal_share</f>
        <v>0</v>
      </c>
      <c r="F42" s="56" t="n">
        <f aca="false">Economy!O42*Paths!R42</f>
        <v>2.20099351030985</v>
      </c>
      <c r="G42" s="56" t="n">
        <f aca="false">SUMPRODUCT((Events!$B$6:$B$174&lt;=$A42)*(Events!$C$6:$C$174&gt;=$A42)*(Events!$E$6:$E$174="Receipt")*Events!$H$6:$H$174)</f>
        <v>1.15</v>
      </c>
      <c r="H42" s="72" t="n">
        <f aca="false">Loans!Y42</f>
        <v>1.4585512150353</v>
      </c>
      <c r="I42" s="56" t="n">
        <f aca="false">'Debt &amp; cash'!S41*fund_yield</f>
        <v>0.681332039428376</v>
      </c>
      <c r="J42" s="72" t="n">
        <f aca="false">Labour!Q42</f>
        <v>0</v>
      </c>
      <c r="K42" s="72" t="n">
        <f aca="false">Champions!BD42</f>
        <v>1.15019812405272</v>
      </c>
      <c r="L42" s="72" t="n">
        <f aca="false">Abroad!N42</f>
        <v>0.806603523363046</v>
      </c>
      <c r="M42" s="56" t="n">
        <f aca="false">SUM(B42:L42)</f>
        <v>118.60458089959</v>
      </c>
      <c r="N42" s="56" t="n">
        <f aca="false">(Paths!W42*army_cost+Paths!X42*res_cost)*Economy!H42/1000000</f>
        <v>13.16484</v>
      </c>
      <c r="O42" s="72" t="n">
        <f aca="false">Navy!Y42</f>
        <v>6.2879984</v>
      </c>
      <c r="P42" s="56" t="n">
        <f aca="false">SUMPRODUCT((Events!$B$6:$B$174&lt;=$A42)*(Events!$C$6:$C$174&gt;=$A42)*(Events!$E$6:$E$174="War &amp; operations")*Events!$H$6:$H$174)</f>
        <v>0</v>
      </c>
      <c r="Q42" s="56" t="n">
        <f aca="false">Economy!O42*Paths!T42</f>
        <v>29.713412389183</v>
      </c>
      <c r="R42" s="56" t="n">
        <f aca="false">Economy!O42*Paths!U42</f>
        <v>22.0099351030985</v>
      </c>
      <c r="S42" s="56" t="n">
        <f aca="false">Economy!O42*Paths!V42+SUMPRODUCT((Events!$B$6:$B$174&lt;=$A42)*(Events!$C$6:$C$174&gt;=$A42)*(Events!$E$6:$E$174="Programme")*Events!$H$6:$H$174)+SUMPRODUCT((Events!$B$6:$B$174&lt;=$A42)*(Events!$C$6:$C$174&gt;=$A42)*(Events!$E$6:$E$174="Investment")*Events!$H$6:$H$174)</f>
        <v>15.5646198229408</v>
      </c>
      <c r="T42" s="56" t="n">
        <f aca="false">(People!T42*assist_cost+Labour!AD42*talent_cost+Labour!L42*gw_admin)*Economy!H42/1000000</f>
        <v>2.60271638734887</v>
      </c>
      <c r="U42" s="56" t="n">
        <f aca="false">SUMPRODUCT((Events!$B$6:$B$174&lt;=$A42)*(Events!$C$6:$C$174&gt;=$A42)*(Events!$E$6:$E$174="Purchase")*Events!$H$6:$H$174)</f>
        <v>0</v>
      </c>
      <c r="V42" s="56" t="n">
        <f aca="false">SUMPRODUCT((Events!$B$6:$B$174&lt;=$A42)*(Events!$C$6:$C$174&gt;=$A42)*(Events!$E$6:$E$174="Subsidy &amp; guarantee")*Events!$H$6:$H$174)+SUMPRODUCT((Events!$B$6:$B$174&lt;=$A42)*(Events!$C$6:$C$174&gt;=$A42)*(Events!$E$6:$E$174="Relief")*Events!$H$6:$H$174)</f>
        <v>2.55</v>
      </c>
      <c r="W42" s="56" t="n">
        <f aca="false">SUMPRODUCT((Events!$B$6:$B$174&lt;=$A42)*(Events!$C$6:$C$174&gt;=$A42)*(Events!$E$6:$E$174="Bank rescue &amp; capital")*Events!$H$6:$H$174)</f>
        <v>0</v>
      </c>
      <c r="X42" s="56" t="n">
        <f aca="false">'Debt &amp; cash'!R41*Paths!Y42</f>
        <v>4.33066990745071</v>
      </c>
      <c r="Y42" s="56" t="n">
        <f aca="false">SUM(N42:X42)</f>
        <v>96.2241920100219</v>
      </c>
      <c r="Z42" s="56" t="n">
        <f aca="false">M42-Y42</f>
        <v>22.3803888895676</v>
      </c>
      <c r="AA42" s="66" t="n">
        <f aca="false">M42/Economy!O42</f>
        <v>0.107773676154904</v>
      </c>
      <c r="AB42" s="66" t="n">
        <f aca="false">Y42/Economy!O42</f>
        <v>0.0874370520033706</v>
      </c>
      <c r="AC42" s="66" t="n">
        <f aca="false">(N42+O42+P42)/Economy!O42</f>
        <v>0.0176764159538675</v>
      </c>
    </row>
    <row r="43" customFormat="false" ht="14.25" hidden="false" customHeight="false" outlineLevel="0" collapsed="false">
      <c r="A43" s="61" t="n">
        <v>1883</v>
      </c>
      <c r="B43" s="56" t="n">
        <f aca="false">Economy!O43*Paths!N43*Paths!O43*cust_coll</f>
        <v>28.6841108952278</v>
      </c>
      <c r="C43" s="56" t="n">
        <f aca="false">(Economy!J43+Economy!L43+Economy!M43+Economy!N43)*Paths!P43*Paths!Q43</f>
        <v>86.5761307336474</v>
      </c>
      <c r="D43" s="56" t="n">
        <f aca="false">Resources!P43+Resources!Q43</f>
        <v>2.0547</v>
      </c>
      <c r="E43" s="56" t="n">
        <f aca="false">Paths!S43*(1-canal_opcost)*canal_share</f>
        <v>0</v>
      </c>
      <c r="F43" s="56" t="n">
        <f aca="false">Economy!O43*Paths!R43</f>
        <v>2.32670713447444</v>
      </c>
      <c r="G43" s="56" t="n">
        <f aca="false">SUMPRODUCT((Events!$B$6:$B$174&lt;=$A43)*(Events!$C$6:$C$174&gt;=$A43)*(Events!$E$6:$E$174="Receipt")*Events!$H$6:$H$174)</f>
        <v>1.15</v>
      </c>
      <c r="H43" s="72" t="n">
        <f aca="false">Loans!Y43</f>
        <v>1.40020903762379</v>
      </c>
      <c r="I43" s="56" t="n">
        <f aca="false">'Debt &amp; cash'!S42*fund_yield</f>
        <v>0.730085246707864</v>
      </c>
      <c r="J43" s="72" t="n">
        <f aca="false">Labour!Q43</f>
        <v>0</v>
      </c>
      <c r="K43" s="72" t="n">
        <f aca="false">Champions!BD43</f>
        <v>1.24201466071562</v>
      </c>
      <c r="L43" s="72" t="n">
        <f aca="false">Abroad!N43</f>
        <v>0.889073249563519</v>
      </c>
      <c r="M43" s="56" t="n">
        <f aca="false">SUM(B43:L43)</f>
        <v>125.05303095796</v>
      </c>
      <c r="N43" s="56" t="n">
        <f aca="false">(Paths!W43*army_cost+Paths!X43*res_cost)*Economy!H43/1000000</f>
        <v>13.40056</v>
      </c>
      <c r="O43" s="72" t="n">
        <f aca="false">Navy!Y43</f>
        <v>7.9452376</v>
      </c>
      <c r="P43" s="56" t="n">
        <f aca="false">SUMPRODUCT((Events!$B$6:$B$174&lt;=$A43)*(Events!$C$6:$C$174&gt;=$A43)*(Events!$E$6:$E$174="War &amp; operations")*Events!$H$6:$H$174)</f>
        <v>0</v>
      </c>
      <c r="Q43" s="56" t="n">
        <f aca="false">Economy!O43*Paths!T43</f>
        <v>31.9922230990236</v>
      </c>
      <c r="R43" s="56" t="n">
        <f aca="false">Economy!O43*Paths!U43</f>
        <v>23.2670713447444</v>
      </c>
      <c r="S43" s="56" t="n">
        <f aca="false">Economy!O43*Paths!V43+SUMPRODUCT((Events!$B$6:$B$174&lt;=$A43)*(Events!$C$6:$C$174&gt;=$A43)*(Events!$E$6:$E$174="Programme")*Events!$H$6:$H$174)+SUMPRODUCT((Events!$B$6:$B$174&lt;=$A43)*(Events!$C$6:$C$174&gt;=$A43)*(Events!$E$6:$E$174="Investment")*Events!$H$6:$H$174)</f>
        <v>15.5781942454773</v>
      </c>
      <c r="T43" s="56" t="n">
        <f aca="false">(People!T43*assist_cost+Labour!AD43*talent_cost+Labour!L43*gw_admin)*Economy!H43/1000000</f>
        <v>2.68103914532212</v>
      </c>
      <c r="U43" s="56" t="n">
        <f aca="false">SUMPRODUCT((Events!$B$6:$B$174&lt;=$A43)*(Events!$C$6:$C$174&gt;=$A43)*(Events!$E$6:$E$174="Purchase")*Events!$H$6:$H$174)</f>
        <v>0</v>
      </c>
      <c r="V43" s="56" t="n">
        <f aca="false">SUMPRODUCT((Events!$B$6:$B$174&lt;=$A43)*(Events!$C$6:$C$174&gt;=$A43)*(Events!$E$6:$E$174="Subsidy &amp; guarantee")*Events!$H$6:$H$174)+SUMPRODUCT((Events!$B$6:$B$174&lt;=$A43)*(Events!$C$6:$C$174&gt;=$A43)*(Events!$E$6:$E$174="Relief")*Events!$H$6:$H$174)</f>
        <v>2.55</v>
      </c>
      <c r="W43" s="56" t="n">
        <f aca="false">SUMPRODUCT((Events!$B$6:$B$174&lt;=$A43)*(Events!$C$6:$C$174&gt;=$A43)*(Events!$E$6:$E$174="Bank rescue &amp; capital")*Events!$H$6:$H$174)</f>
        <v>0</v>
      </c>
      <c r="X43" s="56" t="n">
        <f aca="false">'Debt &amp; cash'!R42*Paths!Y43</f>
        <v>3.93110986352934</v>
      </c>
      <c r="Y43" s="56" t="n">
        <f aca="false">SUM(N43:X43)</f>
        <v>101.345435298097</v>
      </c>
      <c r="Z43" s="56" t="n">
        <f aca="false">M43-Y43</f>
        <v>23.7075956598636</v>
      </c>
      <c r="AA43" s="66" t="n">
        <f aca="false">M43/Economy!O43</f>
        <v>0.107493572444138</v>
      </c>
      <c r="AB43" s="66" t="n">
        <f aca="false">Y43/Economy!O43</f>
        <v>0.0871149048339414</v>
      </c>
      <c r="AC43" s="66" t="n">
        <f aca="false">(N43+O43+P43)/Economy!O43</f>
        <v>0.0183485040155874</v>
      </c>
    </row>
    <row r="44" customFormat="false" ht="14.25" hidden="false" customHeight="false" outlineLevel="0" collapsed="false">
      <c r="A44" s="61" t="n">
        <v>1884</v>
      </c>
      <c r="B44" s="56" t="n">
        <f aca="false">Economy!O44*Paths!N44*Paths!O44*cust_coll</f>
        <v>29.4975439399122</v>
      </c>
      <c r="C44" s="56" t="n">
        <f aca="false">(Economy!J44+Economy!L44+Economy!M44+Economy!N44)*Paths!P44*Paths!Q44</f>
        <v>89.7280323488507</v>
      </c>
      <c r="D44" s="56" t="n">
        <f aca="false">Resources!P44+Resources!Q44</f>
        <v>2.0739</v>
      </c>
      <c r="E44" s="56" t="n">
        <f aca="false">Paths!S44*(1-canal_opcost)*canal_share</f>
        <v>0</v>
      </c>
      <c r="F44" s="56" t="n">
        <f aca="false">Economy!O44*Paths!R44</f>
        <v>2.40957571108106</v>
      </c>
      <c r="G44" s="56" t="n">
        <f aca="false">SUMPRODUCT((Events!$B$6:$B$174&lt;=$A44)*(Events!$C$6:$C$174&gt;=$A44)*(Events!$E$6:$E$174="Receipt")*Events!$H$6:$H$174)</f>
        <v>1.15</v>
      </c>
      <c r="H44" s="72" t="n">
        <f aca="false">Loans!Y44</f>
        <v>1.34420055117303</v>
      </c>
      <c r="I44" s="56" t="n">
        <f aca="false">'Debt &amp; cash'!S43*fund_yield</f>
        <v>0.782174137725004</v>
      </c>
      <c r="J44" s="72" t="n">
        <f aca="false">Labour!Q44</f>
        <v>0</v>
      </c>
      <c r="K44" s="72" t="n">
        <f aca="false">Champions!BD44</f>
        <v>1.41578158876951</v>
      </c>
      <c r="L44" s="72" t="n">
        <f aca="false">Abroad!N44</f>
        <v>1.03042365320939</v>
      </c>
      <c r="M44" s="56" t="n">
        <f aca="false">SUM(B44:L44)</f>
        <v>129.431631930721</v>
      </c>
      <c r="N44" s="56" t="n">
        <f aca="false">(Paths!W44*army_cost+Paths!X44*res_cost)*Economy!H44/1000000</f>
        <v>13.63376</v>
      </c>
      <c r="O44" s="72" t="n">
        <f aca="false">Navy!Y44</f>
        <v>8.4538228</v>
      </c>
      <c r="P44" s="56" t="n">
        <f aca="false">SUMPRODUCT((Events!$B$6:$B$174&lt;=$A44)*(Events!$C$6:$C$174&gt;=$A44)*(Events!$E$6:$E$174="War &amp; operations")*Events!$H$6:$H$174)</f>
        <v>1</v>
      </c>
      <c r="Q44" s="56" t="n">
        <f aca="false">Economy!O44*Paths!T44</f>
        <v>33.7340599551349</v>
      </c>
      <c r="R44" s="56" t="n">
        <f aca="false">Economy!O44*Paths!U44</f>
        <v>24.0957571108106</v>
      </c>
      <c r="S44" s="56" t="n">
        <f aca="false">Economy!O44*Paths!V44+SUMPRODUCT((Events!$B$6:$B$174&lt;=$A44)*(Events!$C$6:$C$174&gt;=$A44)*(Events!$E$6:$E$174="Programme")*Events!$H$6:$H$174)+SUMPRODUCT((Events!$B$6:$B$174&lt;=$A44)*(Events!$C$6:$C$174&gt;=$A44)*(Events!$E$6:$E$174="Investment")*Events!$H$6:$H$174)</f>
        <v>16.2169209842972</v>
      </c>
      <c r="T44" s="56" t="n">
        <f aca="false">(People!T44*assist_cost+Labour!AD44*talent_cost+Labour!L44*gw_admin)*Economy!H44/1000000</f>
        <v>2.85166832109065</v>
      </c>
      <c r="U44" s="56" t="n">
        <f aca="false">SUMPRODUCT((Events!$B$6:$B$174&lt;=$A44)*(Events!$C$6:$C$174&gt;=$A44)*(Events!$E$6:$E$174="Purchase")*Events!$H$6:$H$174)</f>
        <v>0</v>
      </c>
      <c r="V44" s="56" t="n">
        <f aca="false">SUMPRODUCT((Events!$B$6:$B$174&lt;=$A44)*(Events!$C$6:$C$174&gt;=$A44)*(Events!$E$6:$E$174="Subsidy &amp; guarantee")*Events!$H$6:$H$174)+SUMPRODUCT((Events!$B$6:$B$174&lt;=$A44)*(Events!$C$6:$C$174&gt;=$A44)*(Events!$E$6:$E$174="Relief")*Events!$H$6:$H$174)</f>
        <v>2.55</v>
      </c>
      <c r="W44" s="56" t="n">
        <f aca="false">SUMPRODUCT((Events!$B$6:$B$174&lt;=$A44)*(Events!$C$6:$C$174&gt;=$A44)*(Events!$E$6:$E$174="Bank rescue &amp; capital")*Events!$H$6:$H$174)</f>
        <v>0</v>
      </c>
      <c r="X44" s="56" t="n">
        <f aca="false">'Debt &amp; cash'!R43*Paths!Y44</f>
        <v>3.53680538621452</v>
      </c>
      <c r="Y44" s="56" t="n">
        <f aca="false">SUM(N44:X44)</f>
        <v>106.072794557548</v>
      </c>
      <c r="Z44" s="56" t="n">
        <f aca="false">M44-Y44</f>
        <v>23.358837373173</v>
      </c>
      <c r="AA44" s="66" t="n">
        <f aca="false">M44/Economy!O44</f>
        <v>0.107431056293849</v>
      </c>
      <c r="AB44" s="66" t="n">
        <f aca="false">Y44/Economy!O44</f>
        <v>0.0880427156281037</v>
      </c>
      <c r="AC44" s="66" t="n">
        <f aca="false">(N44+O44+P44)/Economy!O44</f>
        <v>0.0191631934981961</v>
      </c>
    </row>
    <row r="45" customFormat="false" ht="14.25" hidden="false" customHeight="false" outlineLevel="0" collapsed="false">
      <c r="A45" s="61" t="n">
        <v>1885</v>
      </c>
      <c r="B45" s="56" t="n">
        <f aca="false">Economy!O45*Paths!N45*Paths!O45*cust_coll</f>
        <v>30.9327275772182</v>
      </c>
      <c r="C45" s="56" t="n">
        <f aca="false">(Economy!J45+Economy!L45+Economy!M45+Economy!N45)*Paths!P45*Paths!Q45</f>
        <v>94.9121540393908</v>
      </c>
      <c r="D45" s="56" t="n">
        <f aca="false">Resources!P45+Resources!Q45</f>
        <v>2.1225</v>
      </c>
      <c r="E45" s="56" t="n">
        <f aca="false">Paths!S45*(1-canal_opcost)*canal_share</f>
        <v>0</v>
      </c>
      <c r="F45" s="56" t="n">
        <f aca="false">Economy!O45*Paths!R45</f>
        <v>2.5459035042978</v>
      </c>
      <c r="G45" s="56" t="n">
        <f aca="false">SUMPRODUCT((Events!$B$6:$B$174&lt;=$A45)*(Events!$C$6:$C$174&gt;=$A45)*(Events!$E$6:$E$174="Receipt")*Events!$H$6:$H$174)</f>
        <v>1.3</v>
      </c>
      <c r="H45" s="72" t="n">
        <f aca="false">Loans!Y45</f>
        <v>1.29043240792869</v>
      </c>
      <c r="I45" s="56" t="n">
        <f aca="false">'Debt &amp; cash'!S44*fund_yield</f>
        <v>0.834884080818882</v>
      </c>
      <c r="J45" s="72" t="n">
        <f aca="false">Labour!Q45</f>
        <v>0</v>
      </c>
      <c r="K45" s="72" t="n">
        <f aca="false">Champions!BD45</f>
        <v>1.56076537963732</v>
      </c>
      <c r="L45" s="72" t="n">
        <f aca="false">Abroad!N45</f>
        <v>1.11231317814226</v>
      </c>
      <c r="M45" s="56" t="n">
        <f aca="false">SUM(B45:L45)</f>
        <v>136.611680167434</v>
      </c>
      <c r="N45" s="56" t="n">
        <f aca="false">(Paths!W45*army_cost+Paths!X45*res_cost)*Economy!H45/1000000</f>
        <v>13.8528</v>
      </c>
      <c r="O45" s="72" t="n">
        <f aca="false">Navy!Y45</f>
        <v>6.808461</v>
      </c>
      <c r="P45" s="56" t="n">
        <f aca="false">SUMPRODUCT((Events!$B$6:$B$174&lt;=$A45)*(Events!$C$6:$C$174&gt;=$A45)*(Events!$E$6:$E$174="War &amp; operations")*Events!$H$6:$H$174)</f>
        <v>2</v>
      </c>
      <c r="Q45" s="56" t="n">
        <f aca="false">Economy!O45*Paths!T45</f>
        <v>36.2791249362436</v>
      </c>
      <c r="R45" s="56" t="n">
        <f aca="false">Economy!O45*Paths!U45</f>
        <v>25.459035042978</v>
      </c>
      <c r="S45" s="56" t="n">
        <f aca="false">Economy!O45*Paths!V45+SUMPRODUCT((Events!$B$6:$B$174&lt;=$A45)*(Events!$C$6:$C$174&gt;=$A45)*(Events!$E$6:$E$174="Programme")*Events!$H$6:$H$174)+SUMPRODUCT((Events!$B$6:$B$174&lt;=$A45)*(Events!$C$6:$C$174&gt;=$A45)*(Events!$E$6:$E$174="Investment")*Events!$H$6:$H$174)</f>
        <v>18.539517521489</v>
      </c>
      <c r="T45" s="56" t="n">
        <f aca="false">(People!T45*assist_cost+Labour!AD45*talent_cost+Labour!L45*gw_admin)*Economy!H45/1000000</f>
        <v>2.59130872451053</v>
      </c>
      <c r="U45" s="56" t="n">
        <f aca="false">SUMPRODUCT((Events!$B$6:$B$174&lt;=$A45)*(Events!$C$6:$C$174&gt;=$A45)*(Events!$E$6:$E$174="Purchase")*Events!$H$6:$H$174)</f>
        <v>0</v>
      </c>
      <c r="V45" s="56" t="n">
        <f aca="false">SUMPRODUCT((Events!$B$6:$B$174&lt;=$A45)*(Events!$C$6:$C$174&gt;=$A45)*(Events!$E$6:$E$174="Subsidy &amp; guarantee")*Events!$H$6:$H$174)+SUMPRODUCT((Events!$B$6:$B$174&lt;=$A45)*(Events!$C$6:$C$174&gt;=$A45)*(Events!$E$6:$E$174="Relief")*Events!$H$6:$H$174)</f>
        <v>2.55</v>
      </c>
      <c r="W45" s="56" t="n">
        <f aca="false">SUMPRODUCT((Events!$B$6:$B$174&lt;=$A45)*(Events!$C$6:$C$174&gt;=$A45)*(Events!$E$6:$E$174="Bank rescue &amp; capital")*Events!$H$6:$H$174)</f>
        <v>0</v>
      </c>
      <c r="X45" s="56" t="n">
        <f aca="false">'Debt &amp; cash'!R44*Paths!Y45</f>
        <v>3.14813321533179</v>
      </c>
      <c r="Y45" s="56" t="n">
        <f aca="false">SUM(N45:X45)</f>
        <v>111.228380440553</v>
      </c>
      <c r="Z45" s="56" t="n">
        <f aca="false">M45-Y45</f>
        <v>25.383299726881</v>
      </c>
      <c r="AA45" s="66" t="n">
        <f aca="false">M45/Economy!O45</f>
        <v>0.107318820164878</v>
      </c>
      <c r="AB45" s="66" t="n">
        <f aca="false">Y45/Economy!O45</f>
        <v>0.0873783159909916</v>
      </c>
      <c r="AC45" s="66" t="n">
        <f aca="false">(N45+O45+P45)/Economy!O45</f>
        <v>0.0178021366180965</v>
      </c>
    </row>
    <row r="46" customFormat="false" ht="14.25" hidden="false" customHeight="false" outlineLevel="0" collapsed="false">
      <c r="A46" s="61" t="n">
        <v>1886</v>
      </c>
      <c r="B46" s="56" t="n">
        <f aca="false">Economy!O46*Paths!N46*Paths!O46*cust_coll</f>
        <v>33.4748806694571</v>
      </c>
      <c r="C46" s="56" t="n">
        <f aca="false">(Economy!J46+Economy!L46+Economy!M46+Economy!N46)*Paths!P46*Paths!Q46</f>
        <v>103.517247164945</v>
      </c>
      <c r="D46" s="56" t="n">
        <f aca="false">Resources!P46+Resources!Q46</f>
        <v>2.31</v>
      </c>
      <c r="E46" s="56" t="n">
        <f aca="false">Paths!S46*(1-canal_opcost)*canal_share</f>
        <v>0</v>
      </c>
      <c r="F46" s="56" t="n">
        <f aca="false">Economy!O46*Paths!R46</f>
        <v>2.77610925921424</v>
      </c>
      <c r="G46" s="56" t="n">
        <f aca="false">SUMPRODUCT((Events!$B$6:$B$174&lt;=$A46)*(Events!$C$6:$C$174&gt;=$A46)*(Events!$E$6:$E$174="Receipt")*Events!$H$6:$H$174)</f>
        <v>1.55</v>
      </c>
      <c r="H46" s="72" t="n">
        <f aca="false">Loans!Y46</f>
        <v>1.27181499405003</v>
      </c>
      <c r="I46" s="56" t="n">
        <f aca="false">'Debt &amp; cash'!S45*fund_yield</f>
        <v>0.88954879229958</v>
      </c>
      <c r="J46" s="72" t="n">
        <f aca="false">Labour!Q46</f>
        <v>0</v>
      </c>
      <c r="K46" s="72" t="n">
        <f aca="false">Champions!BD46</f>
        <v>1.75937951514371</v>
      </c>
      <c r="L46" s="72" t="n">
        <f aca="false">Abroad!N46</f>
        <v>1.24957390935652</v>
      </c>
      <c r="M46" s="56" t="n">
        <f aca="false">SUM(B46:L46)</f>
        <v>148.798554304466</v>
      </c>
      <c r="N46" s="56" t="n">
        <f aca="false">(Paths!W46*army_cost+Paths!X46*res_cost)*Economy!H46/1000000</f>
        <v>14.85963</v>
      </c>
      <c r="O46" s="72" t="n">
        <f aca="false">Navy!Y46</f>
        <v>7.4395288</v>
      </c>
      <c r="P46" s="56" t="n">
        <f aca="false">SUMPRODUCT((Events!$B$6:$B$174&lt;=$A46)*(Events!$C$6:$C$174&gt;=$A46)*(Events!$E$6:$E$174="War &amp; operations")*Events!$H$6:$H$174)</f>
        <v>1</v>
      </c>
      <c r="Q46" s="56" t="n">
        <f aca="false">Economy!O46*Paths!T46</f>
        <v>40.2535842586064</v>
      </c>
      <c r="R46" s="56" t="n">
        <f aca="false">Economy!O46*Paths!U46</f>
        <v>27.7610925921424</v>
      </c>
      <c r="S46" s="56" t="n">
        <f aca="false">Economy!O46*Paths!V46+SUMPRODUCT((Events!$B$6:$B$174&lt;=$A46)*(Events!$C$6:$C$174&gt;=$A46)*(Events!$E$6:$E$174="Programme")*Events!$H$6:$H$174)+SUMPRODUCT((Events!$B$6:$B$174&lt;=$A46)*(Events!$C$6:$C$174&gt;=$A46)*(Events!$E$6:$E$174="Investment")*Events!$H$6:$H$174)</f>
        <v>18.8517408331105</v>
      </c>
      <c r="T46" s="56" t="n">
        <f aca="false">(People!T46*assist_cost+Labour!AD46*talent_cost+Labour!L46*gw_admin)*Economy!H46/1000000</f>
        <v>2.92405360891673</v>
      </c>
      <c r="U46" s="56" t="n">
        <f aca="false">SUMPRODUCT((Events!$B$6:$B$174&lt;=$A46)*(Events!$C$6:$C$174&gt;=$A46)*(Events!$E$6:$E$174="Purchase")*Events!$H$6:$H$174)</f>
        <v>0</v>
      </c>
      <c r="V46" s="56" t="n">
        <f aca="false">SUMPRODUCT((Events!$B$6:$B$174&lt;=$A46)*(Events!$C$6:$C$174&gt;=$A46)*(Events!$E$6:$E$174="Subsidy &amp; guarantee")*Events!$H$6:$H$174)+SUMPRODUCT((Events!$B$6:$B$174&lt;=$A46)*(Events!$C$6:$C$174&gt;=$A46)*(Events!$E$6:$E$174="Relief")*Events!$H$6:$H$174)</f>
        <v>2.55</v>
      </c>
      <c r="W46" s="56" t="n">
        <f aca="false">SUMPRODUCT((Events!$B$6:$B$174&lt;=$A46)*(Events!$C$6:$C$174&gt;=$A46)*(Events!$E$6:$E$174="Bank rescue &amp; capital")*Events!$H$6:$H$174)</f>
        <v>0</v>
      </c>
      <c r="X46" s="56" t="n">
        <f aca="false">'Debt &amp; cash'!R45*Paths!Y46</f>
        <v>2.77098343501336</v>
      </c>
      <c r="Y46" s="56" t="n">
        <f aca="false">SUM(N46:X46)</f>
        <v>118.410613527789</v>
      </c>
      <c r="Z46" s="56" t="n">
        <f aca="false">M46-Y46</f>
        <v>30.3879407766763</v>
      </c>
      <c r="AA46" s="66" t="n">
        <f aca="false">M46/Economy!O46</f>
        <v>0.107199350177293</v>
      </c>
      <c r="AB46" s="66" t="n">
        <f aca="false">Y46/Economy!O46</f>
        <v>0.0853068827422916</v>
      </c>
      <c r="AC46" s="66" t="n">
        <f aca="false">(N46+O46+P46)/Economy!O46</f>
        <v>0.0167854768126775</v>
      </c>
    </row>
    <row r="47" customFormat="false" ht="14.25" hidden="false" customHeight="false" outlineLevel="0" collapsed="false">
      <c r="A47" s="61" t="n">
        <v>1887</v>
      </c>
      <c r="B47" s="56" t="n">
        <f aca="false">Economy!O47*Paths!N47*Paths!O47*cust_coll</f>
        <v>35.5883783412111</v>
      </c>
      <c r="C47" s="56" t="n">
        <f aca="false">(Economy!J47+Economy!L47+Economy!M47+Economy!N47)*Paths!P47*Paths!Q47</f>
        <v>110.803288595886</v>
      </c>
      <c r="D47" s="56" t="n">
        <f aca="false">Resources!P47+Resources!Q47</f>
        <v>2.57375</v>
      </c>
      <c r="E47" s="56" t="n">
        <f aca="false">Paths!S47*(1-canal_opcost)*canal_share</f>
        <v>0</v>
      </c>
      <c r="F47" s="56" t="n">
        <f aca="false">Economy!O47*Paths!R47</f>
        <v>2.97268400250681</v>
      </c>
      <c r="G47" s="56" t="n">
        <f aca="false">SUMPRODUCT((Events!$B$6:$B$174&lt;=$A47)*(Events!$C$6:$C$174&gt;=$A47)*(Events!$E$6:$E$174="Receipt")*Events!$H$6:$H$174)</f>
        <v>1.55</v>
      </c>
      <c r="H47" s="72" t="n">
        <f aca="false">Loans!Y47</f>
        <v>1.22094228025337</v>
      </c>
      <c r="I47" s="56" t="n">
        <f aca="false">'Debt &amp; cash'!S46*fund_yield</f>
        <v>0.954942140713999</v>
      </c>
      <c r="J47" s="72" t="n">
        <f aca="false">Labour!Q47</f>
        <v>0</v>
      </c>
      <c r="K47" s="72" t="n">
        <f aca="false">Champions!BD47</f>
        <v>1.86173179315553</v>
      </c>
      <c r="L47" s="72" t="n">
        <f aca="false">Abroad!N47</f>
        <v>1.32884894012519</v>
      </c>
      <c r="M47" s="56" t="n">
        <f aca="false">SUM(B47:L47)</f>
        <v>158.854566093852</v>
      </c>
      <c r="N47" s="56" t="n">
        <f aca="false">(Paths!W47*army_cost+Paths!X47*res_cost)*Economy!H47/1000000</f>
        <v>15.8608</v>
      </c>
      <c r="O47" s="72" t="n">
        <f aca="false">Navy!Y47</f>
        <v>7.5404544</v>
      </c>
      <c r="P47" s="56" t="n">
        <f aca="false">SUMPRODUCT((Events!$B$6:$B$174&lt;=$A47)*(Events!$C$6:$C$174&gt;=$A47)*(Events!$E$6:$E$174="War &amp; operations")*Events!$H$6:$H$174)</f>
        <v>1.5</v>
      </c>
      <c r="Q47" s="56" t="n">
        <f aca="false">Economy!O47*Paths!T47</f>
        <v>43.8470890369755</v>
      </c>
      <c r="R47" s="56" t="n">
        <f aca="false">Economy!O47*Paths!U47</f>
        <v>29.7268400250681</v>
      </c>
      <c r="S47" s="56" t="n">
        <f aca="false">Economy!O47*Paths!V47+SUMPRODUCT((Events!$B$6:$B$174&lt;=$A47)*(Events!$C$6:$C$174&gt;=$A47)*(Events!$E$6:$E$174="Programme")*Events!$H$6:$H$174)+SUMPRODUCT((Events!$B$6:$B$174&lt;=$A47)*(Events!$C$6:$C$174&gt;=$A47)*(Events!$E$6:$E$174="Investment")*Events!$H$6:$H$174)</f>
        <v>19.0247858124087</v>
      </c>
      <c r="T47" s="56" t="n">
        <f aca="false">(People!T47*assist_cost+Labour!AD47*talent_cost+Labour!L47*gw_admin)*Economy!H47/1000000</f>
        <v>3.65513384512683</v>
      </c>
      <c r="U47" s="56" t="n">
        <f aca="false">SUMPRODUCT((Events!$B$6:$B$174&lt;=$A47)*(Events!$C$6:$C$174&gt;=$A47)*(Events!$E$6:$E$174="Purchase")*Events!$H$6:$H$174)</f>
        <v>0</v>
      </c>
      <c r="V47" s="56" t="n">
        <f aca="false">SUMPRODUCT((Events!$B$6:$B$174&lt;=$A47)*(Events!$C$6:$C$174&gt;=$A47)*(Events!$E$6:$E$174="Subsidy &amp; guarantee")*Events!$H$6:$H$174)+SUMPRODUCT((Events!$B$6:$B$174&lt;=$A47)*(Events!$C$6:$C$174&gt;=$A47)*(Events!$E$6:$E$174="Relief")*Events!$H$6:$H$174)</f>
        <v>2.55</v>
      </c>
      <c r="W47" s="56" t="n">
        <f aca="false">SUMPRODUCT((Events!$B$6:$B$174&lt;=$A47)*(Events!$C$6:$C$174&gt;=$A47)*(Events!$E$6:$E$174="Bank rescue &amp; capital")*Events!$H$6:$H$174)</f>
        <v>0</v>
      </c>
      <c r="X47" s="56" t="n">
        <f aca="false">'Debt &amp; cash'!R46*Paths!Y47</f>
        <v>2.34994348661614</v>
      </c>
      <c r="Y47" s="56" t="n">
        <f aca="false">SUM(N47:X47)</f>
        <v>126.055046606195</v>
      </c>
      <c r="Z47" s="56" t="n">
        <f aca="false">M47-Y47</f>
        <v>32.7995194876563</v>
      </c>
      <c r="AA47" s="66" t="n">
        <f aca="false">M47/Economy!O47</f>
        <v>0.106876187283877</v>
      </c>
      <c r="AB47" s="66" t="n">
        <f aca="false">Y47/Economy!O47</f>
        <v>0.0848089110715403</v>
      </c>
      <c r="AC47" s="66" t="n">
        <f aca="false">(N47+O47+P47)/Economy!O47</f>
        <v>0.0167533813745431</v>
      </c>
    </row>
    <row r="48" customFormat="false" ht="14.25" hidden="false" customHeight="false" outlineLevel="0" collapsed="false">
      <c r="A48" s="61" t="n">
        <v>1888</v>
      </c>
      <c r="B48" s="56" t="n">
        <f aca="false">Economy!O48*Paths!N48*Paths!O48*cust_coll</f>
        <v>37.9821272612467</v>
      </c>
      <c r="C48" s="56" t="n">
        <f aca="false">(Economy!J48+Economy!L48+Economy!M48+Economy!N48)*Paths!P48*Paths!Q48</f>
        <v>112.543418932032</v>
      </c>
      <c r="D48" s="56" t="n">
        <f aca="false">Resources!P48+Resources!Q48</f>
        <v>2.82</v>
      </c>
      <c r="E48" s="56" t="n">
        <f aca="false">Paths!S48*(1-canal_opcost)*canal_share</f>
        <v>0</v>
      </c>
      <c r="F48" s="56" t="n">
        <f aca="false">Economy!O48*Paths!R48</f>
        <v>3.1971487593642</v>
      </c>
      <c r="G48" s="56" t="n">
        <f aca="false">SUMPRODUCT((Events!$B$6:$B$174&lt;=$A48)*(Events!$C$6:$C$174&gt;=$A48)*(Events!$E$6:$E$174="Receipt")*Events!$H$6:$H$174)</f>
        <v>1.55</v>
      </c>
      <c r="H48" s="72" t="n">
        <f aca="false">Loans!Y48</f>
        <v>1.17210447842962</v>
      </c>
      <c r="I48" s="56" t="n">
        <f aca="false">'Debt &amp; cash'!S47*fund_yield</f>
        <v>1.02767244458722</v>
      </c>
      <c r="J48" s="72" t="n">
        <f aca="false">Labour!Q48</f>
        <v>0</v>
      </c>
      <c r="K48" s="72" t="n">
        <f aca="false">Champions!BD48</f>
        <v>2.06262189010962</v>
      </c>
      <c r="L48" s="72" t="n">
        <f aca="false">Abroad!N48</f>
        <v>1.49830140642089</v>
      </c>
      <c r="M48" s="56" t="n">
        <f aca="false">SUM(B48:L48)</f>
        <v>163.85339517219</v>
      </c>
      <c r="N48" s="56" t="n">
        <f aca="false">(Paths!W48*army_cost+Paths!X48*res_cost)*Economy!H48/1000000</f>
        <v>15.32592</v>
      </c>
      <c r="O48" s="72" t="n">
        <f aca="false">Navy!Y48</f>
        <v>6.2264223</v>
      </c>
      <c r="P48" s="56" t="n">
        <f aca="false">SUMPRODUCT((Events!$B$6:$B$174&lt;=$A48)*(Events!$C$6:$C$174&gt;=$A48)*(Events!$E$6:$E$174="War &amp; operations")*Events!$H$6:$H$174)</f>
        <v>0.5</v>
      </c>
      <c r="Q48" s="56" t="n">
        <f aca="false">Economy!O48*Paths!T48</f>
        <v>47.9572313904631</v>
      </c>
      <c r="R48" s="56" t="n">
        <f aca="false">Economy!O48*Paths!U48</f>
        <v>31.971487593642</v>
      </c>
      <c r="S48" s="56" t="n">
        <f aca="false">Economy!O48*Paths!V48+SUMPRODUCT((Events!$B$6:$B$174&lt;=$A48)*(Events!$C$6:$C$174&gt;=$A48)*(Events!$E$6:$E$174="Programme")*Events!$H$6:$H$174)+SUMPRODUCT((Events!$B$6:$B$174&lt;=$A48)*(Events!$C$6:$C$174&gt;=$A48)*(Events!$E$6:$E$174="Investment")*Events!$H$6:$H$174)</f>
        <v>20.1760289208846</v>
      </c>
      <c r="T48" s="56" t="n">
        <f aca="false">(People!T48*assist_cost+Labour!AD48*talent_cost+Labour!L48*gw_admin)*Economy!H48/1000000</f>
        <v>2.85575224216238</v>
      </c>
      <c r="U48" s="56" t="n">
        <f aca="false">SUMPRODUCT((Events!$B$6:$B$174&lt;=$A48)*(Events!$C$6:$C$174&gt;=$A48)*(Events!$E$6:$E$174="Purchase")*Events!$H$6:$H$174)</f>
        <v>0</v>
      </c>
      <c r="V48" s="56" t="n">
        <f aca="false">SUMPRODUCT((Events!$B$6:$B$174&lt;=$A48)*(Events!$C$6:$C$174&gt;=$A48)*(Events!$E$6:$E$174="Subsidy &amp; guarantee")*Events!$H$6:$H$174)+SUMPRODUCT((Events!$B$6:$B$174&lt;=$A48)*(Events!$C$6:$C$174&gt;=$A48)*(Events!$E$6:$E$174="Relief")*Events!$H$6:$H$174)</f>
        <v>2.55</v>
      </c>
      <c r="W48" s="56" t="n">
        <f aca="false">SUMPRODUCT((Events!$B$6:$B$174&lt;=$A48)*(Events!$C$6:$C$174&gt;=$A48)*(Events!$E$6:$E$174="Bank rescue &amp; capital")*Events!$H$6:$H$174)</f>
        <v>0</v>
      </c>
      <c r="X48" s="56" t="n">
        <f aca="false">'Debt &amp; cash'!R47*Paths!Y48</f>
        <v>3.68612816310845</v>
      </c>
      <c r="Y48" s="56" t="n">
        <f aca="false">SUM(N48:X48)</f>
        <v>131.248970610261</v>
      </c>
      <c r="Z48" s="56" t="n">
        <f aca="false">M48-Y48</f>
        <v>32.6044245619297</v>
      </c>
      <c r="AA48" s="66" t="n">
        <f aca="false">M48/Economy!O48</f>
        <v>0.102499700517391</v>
      </c>
      <c r="AB48" s="66" t="n">
        <f aca="false">Y48/Economy!O48</f>
        <v>0.0821037621260771</v>
      </c>
      <c r="AC48" s="66" t="n">
        <f aca="false">(N48+O48+P48)/Economy!O48</f>
        <v>0.0137950054625456</v>
      </c>
    </row>
    <row r="49" customFormat="false" ht="14.25" hidden="false" customHeight="false" outlineLevel="0" collapsed="false">
      <c r="A49" s="61" t="n">
        <v>1889</v>
      </c>
      <c r="B49" s="56" t="n">
        <f aca="false">Economy!O49*Paths!N49*Paths!O49*cust_coll</f>
        <v>40.2473293747387</v>
      </c>
      <c r="C49" s="56" t="n">
        <f aca="false">(Economy!J49+Economy!L49+Economy!M49+Economy!N49)*Paths!P49*Paths!Q49</f>
        <v>120.162039476802</v>
      </c>
      <c r="D49" s="56" t="n">
        <f aca="false">Resources!P49+Resources!Q49</f>
        <v>3.09</v>
      </c>
      <c r="E49" s="56" t="n">
        <f aca="false">Paths!S49*(1-canal_opcost)*canal_share</f>
        <v>0</v>
      </c>
      <c r="F49" s="56" t="n">
        <f aca="false">Economy!O49*Paths!R49</f>
        <v>3.41420482980766</v>
      </c>
      <c r="G49" s="56" t="n">
        <f aca="false">SUMPRODUCT((Events!$B$6:$B$174&lt;=$A49)*(Events!$C$6:$C$174&gt;=$A49)*(Events!$E$6:$E$174="Receipt")*Events!$H$6:$H$174)</f>
        <v>1.55</v>
      </c>
      <c r="H49" s="72" t="n">
        <f aca="false">Loans!Y49</f>
        <v>1.27522019199723</v>
      </c>
      <c r="I49" s="56" t="n">
        <f aca="false">'Debt &amp; cash'!S48*fund_yield</f>
        <v>1.09435688633483</v>
      </c>
      <c r="J49" s="72" t="n">
        <f aca="false">Labour!Q49</f>
        <v>0</v>
      </c>
      <c r="K49" s="72" t="n">
        <f aca="false">Champions!BD49</f>
        <v>2.19266541690501</v>
      </c>
      <c r="L49" s="72" t="n">
        <f aca="false">Abroad!N49</f>
        <v>1.60315106951718</v>
      </c>
      <c r="M49" s="56" t="n">
        <f aca="false">SUM(B49:L49)</f>
        <v>174.628967246102</v>
      </c>
      <c r="N49" s="56" t="n">
        <f aca="false">(Paths!W49*army_cost+Paths!X49*res_cost)*Economy!H49/1000000</f>
        <v>14.79372</v>
      </c>
      <c r="O49" s="72" t="n">
        <f aca="false">Navy!Y49</f>
        <v>7.5767196</v>
      </c>
      <c r="P49" s="56" t="n">
        <f aca="false">SUMPRODUCT((Events!$B$6:$B$174&lt;=$A49)*(Events!$C$6:$C$174&gt;=$A49)*(Events!$E$6:$E$174="War &amp; operations")*Events!$H$6:$H$174)</f>
        <v>0.5</v>
      </c>
      <c r="Q49" s="56" t="n">
        <f aca="false">Economy!O49*Paths!T49</f>
        <v>52.0666236545669</v>
      </c>
      <c r="R49" s="56" t="n">
        <f aca="false">Economy!O49*Paths!U49</f>
        <v>34.1420482980766</v>
      </c>
      <c r="S49" s="56" t="n">
        <f aca="false">Economy!O49*Paths!V49+SUMPRODUCT((Events!$B$6:$B$174&lt;=$A49)*(Events!$C$6:$C$174&gt;=$A49)*(Events!$E$6:$E$174="Programme")*Events!$H$6:$H$174)+SUMPRODUCT((Events!$B$6:$B$174&lt;=$A49)*(Events!$C$6:$C$174&gt;=$A49)*(Events!$E$6:$E$174="Investment")*Events!$H$6:$H$174)</f>
        <v>21.0888934245672</v>
      </c>
      <c r="T49" s="56" t="n">
        <f aca="false">(People!T49*assist_cost+Labour!AD49*talent_cost+Labour!L49*gw_admin)*Economy!H49/1000000</f>
        <v>3.42751232128028</v>
      </c>
      <c r="U49" s="56" t="n">
        <f aca="false">SUMPRODUCT((Events!$B$6:$B$174&lt;=$A49)*(Events!$C$6:$C$174&gt;=$A49)*(Events!$E$6:$E$174="Purchase")*Events!$H$6:$H$174)</f>
        <v>30</v>
      </c>
      <c r="V49" s="56" t="n">
        <f aca="false">SUMPRODUCT((Events!$B$6:$B$174&lt;=$A49)*(Events!$C$6:$C$174&gt;=$A49)*(Events!$E$6:$E$174="Subsidy &amp; guarantee")*Events!$H$6:$H$174)+SUMPRODUCT((Events!$B$6:$B$174&lt;=$A49)*(Events!$C$6:$C$174&gt;=$A49)*(Events!$E$6:$E$174="Relief")*Events!$H$6:$H$174)</f>
        <v>1.55</v>
      </c>
      <c r="W49" s="56" t="n">
        <f aca="false">SUMPRODUCT((Events!$B$6:$B$174&lt;=$A49)*(Events!$C$6:$C$174&gt;=$A49)*(Events!$E$6:$E$174="Bank rescue &amp; capital")*Events!$H$6:$H$174)</f>
        <v>0</v>
      </c>
      <c r="X49" s="56" t="n">
        <f aca="false">'Debt &amp; cash'!R48*Paths!Y49</f>
        <v>3.90851435832274</v>
      </c>
      <c r="Y49" s="56" t="n">
        <f aca="false">SUM(N49:X49)</f>
        <v>169.054031656814</v>
      </c>
      <c r="Z49" s="56" t="n">
        <f aca="false">M49-Y49</f>
        <v>5.57493558928874</v>
      </c>
      <c r="AA49" s="66" t="n">
        <f aca="false">M49/Economy!O49</f>
        <v>0.102295542271809</v>
      </c>
      <c r="AB49" s="66" t="n">
        <f aca="false">Y49/Economy!O49</f>
        <v>0.0990298122601726</v>
      </c>
      <c r="AC49" s="66" t="n">
        <f aca="false">(N49+O49+P49)/Economy!O49</f>
        <v>0.0133972276064576</v>
      </c>
    </row>
    <row r="50" customFormat="false" ht="14.25" hidden="false" customHeight="false" outlineLevel="0" collapsed="false">
      <c r="A50" s="61" t="n">
        <v>1890</v>
      </c>
      <c r="B50" s="56" t="n">
        <f aca="false">Economy!O50*Paths!N50*Paths!O50*cust_coll</f>
        <v>43.4879609650199</v>
      </c>
      <c r="C50" s="56" t="n">
        <f aca="false">(Economy!J50+Economy!L50+Economy!M50+Economy!N50)*Paths!P50*Paths!Q50</f>
        <v>130.864546310512</v>
      </c>
      <c r="D50" s="56" t="n">
        <f aca="false">Resources!P50+Resources!Q50</f>
        <v>3.335</v>
      </c>
      <c r="E50" s="56" t="n">
        <f aca="false">Paths!S50*(1-canal_opcost)*canal_share</f>
        <v>0</v>
      </c>
      <c r="F50" s="56" t="n">
        <f aca="false">Economy!O50*Paths!R50</f>
        <v>3.71634799475464</v>
      </c>
      <c r="G50" s="56" t="n">
        <f aca="false">SUMPRODUCT((Events!$B$6:$B$174&lt;=$A50)*(Events!$C$6:$C$174&gt;=$A50)*(Events!$E$6:$E$174="Receipt")*Events!$H$6:$H$174)</f>
        <v>1.55</v>
      </c>
      <c r="H50" s="72" t="n">
        <f aca="false">Loans!Y50</f>
        <v>1.37421128024098</v>
      </c>
      <c r="I50" s="56" t="n">
        <f aca="false">'Debt &amp; cash'!S49*fund_yield</f>
        <v>1.06566106818889</v>
      </c>
      <c r="J50" s="72" t="n">
        <f aca="false">Labour!Q50</f>
        <v>6.38516821907041</v>
      </c>
      <c r="K50" s="72" t="n">
        <f aca="false">Champions!BD50</f>
        <v>2.49453299688441</v>
      </c>
      <c r="L50" s="72" t="n">
        <f aca="false">Abroad!N50</f>
        <v>1.79975138325801</v>
      </c>
      <c r="M50" s="56" t="n">
        <f aca="false">SUM(B50:L50)</f>
        <v>196.073180217929</v>
      </c>
      <c r="N50" s="56" t="n">
        <f aca="false">(Paths!W50*army_cost+Paths!X50*res_cost)*Economy!H50/1000000</f>
        <v>14.25325</v>
      </c>
      <c r="O50" s="72" t="n">
        <f aca="false">Navy!Y50</f>
        <v>8.1940925</v>
      </c>
      <c r="P50" s="56" t="n">
        <f aca="false">SUMPRODUCT((Events!$B$6:$B$174&lt;=$A50)*(Events!$C$6:$C$174&gt;=$A50)*(Events!$E$6:$E$174="War &amp; operations")*Events!$H$6:$H$174)</f>
        <v>0</v>
      </c>
      <c r="Q50" s="56" t="n">
        <f aca="false">Economy!O50*Paths!T50</f>
        <v>57.603393918697</v>
      </c>
      <c r="R50" s="56" t="n">
        <f aca="false">Economy!O50*Paths!U50</f>
        <v>37.1634799475464</v>
      </c>
      <c r="S50" s="56" t="n">
        <f aca="false">Economy!O50*Paths!V50+SUMPRODUCT((Events!$B$6:$B$174&lt;=$A50)*(Events!$C$6:$C$174&gt;=$A50)*(Events!$E$6:$E$174="Programme")*Events!$H$6:$H$174)+SUMPRODUCT((Events!$B$6:$B$174&lt;=$A50)*(Events!$C$6:$C$174&gt;=$A50)*(Events!$E$6:$E$174="Investment")*Events!$H$6:$H$174)</f>
        <v>22.55428777456</v>
      </c>
      <c r="T50" s="56" t="n">
        <f aca="false">(People!T50*assist_cost+Labour!AD50*talent_cost+Labour!L50*gw_admin)*Economy!H50/1000000</f>
        <v>5.58445197487856</v>
      </c>
      <c r="U50" s="56" t="n">
        <f aca="false">SUMPRODUCT((Events!$B$6:$B$174&lt;=$A50)*(Events!$C$6:$C$174&gt;=$A50)*(Events!$E$6:$E$174="Purchase")*Events!$H$6:$H$174)</f>
        <v>18.75</v>
      </c>
      <c r="V50" s="56" t="n">
        <f aca="false">SUMPRODUCT((Events!$B$6:$B$174&lt;=$A50)*(Events!$C$6:$C$174&gt;=$A50)*(Events!$E$6:$E$174="Subsidy &amp; guarantee")*Events!$H$6:$H$174)+SUMPRODUCT((Events!$B$6:$B$174&lt;=$A50)*(Events!$C$6:$C$174&gt;=$A50)*(Events!$E$6:$E$174="Relief")*Events!$H$6:$H$174)</f>
        <v>1.75</v>
      </c>
      <c r="W50" s="56" t="n">
        <f aca="false">SUMPRODUCT((Events!$B$6:$B$174&lt;=$A50)*(Events!$C$6:$C$174&gt;=$A50)*(Events!$E$6:$E$174="Bank rescue &amp; capital")*Events!$H$6:$H$174)</f>
        <v>0</v>
      </c>
      <c r="X50" s="56" t="n">
        <f aca="false">'Debt &amp; cash'!R49*Paths!Y50</f>
        <v>4.12265233199275</v>
      </c>
      <c r="Y50" s="56" t="n">
        <f aca="false">SUM(N50:X50)</f>
        <v>169.975608447675</v>
      </c>
      <c r="Z50" s="56" t="n">
        <f aca="false">M50-Y50</f>
        <v>26.097571770254</v>
      </c>
      <c r="AA50" s="66" t="n">
        <f aca="false">M50/Economy!O50</f>
        <v>0.105519278869832</v>
      </c>
      <c r="AB50" s="66" t="n">
        <f aca="false">Y50/Economy!O50</f>
        <v>0.0914745382766</v>
      </c>
      <c r="AC50" s="66" t="n">
        <f aca="false">(N50+O50+P50)/Economy!O50</f>
        <v>0.0120803232268253</v>
      </c>
    </row>
    <row r="51" customFormat="false" ht="14.25" hidden="false" customHeight="false" outlineLevel="0" collapsed="false">
      <c r="A51" s="61" t="n">
        <v>1891</v>
      </c>
      <c r="B51" s="56" t="n">
        <f aca="false">Economy!O51*Paths!N51*Paths!O51*cust_coll</f>
        <v>46.3824024640357</v>
      </c>
      <c r="C51" s="56" t="n">
        <f aca="false">(Economy!J51+Economy!L51+Economy!M51+Economy!N51)*Paths!P51*Paths!Q51</f>
        <v>140.831107860748</v>
      </c>
      <c r="D51" s="56" t="n">
        <f aca="false">Resources!P51+Resources!Q51</f>
        <v>3.489</v>
      </c>
      <c r="E51" s="56" t="n">
        <f aca="false">Paths!S51*(1-canal_opcost)*canal_share</f>
        <v>0</v>
      </c>
      <c r="F51" s="56" t="n">
        <f aca="false">Economy!O51*Paths!R51</f>
        <v>3.99503897192383</v>
      </c>
      <c r="G51" s="56" t="n">
        <f aca="false">SUMPRODUCT((Events!$B$6:$B$174&lt;=$A51)*(Events!$C$6:$C$174&gt;=$A51)*(Events!$E$6:$E$174="Receipt")*Events!$H$6:$H$174)</f>
        <v>1.55</v>
      </c>
      <c r="H51" s="72" t="n">
        <f aca="false">Loans!Y51</f>
        <v>1.39424272807728</v>
      </c>
      <c r="I51" s="56" t="n">
        <f aca="false">'Debt &amp; cash'!S50*fund_yield</f>
        <v>1.1103239808712</v>
      </c>
      <c r="J51" s="72" t="n">
        <f aca="false">Labour!Q51</f>
        <v>10.5412118358073</v>
      </c>
      <c r="K51" s="72" t="n">
        <f aca="false">Champions!BD51</f>
        <v>2.95980746407669</v>
      </c>
      <c r="L51" s="72" t="n">
        <f aca="false">Abroad!N51</f>
        <v>2.10496700825333</v>
      </c>
      <c r="M51" s="56" t="n">
        <f aca="false">SUM(B51:L51)</f>
        <v>214.358102313794</v>
      </c>
      <c r="N51" s="56" t="n">
        <f aca="false">(Paths!W51*army_cost+Paths!X51*res_cost)*Economy!H51/1000000</f>
        <v>14.405132</v>
      </c>
      <c r="O51" s="72" t="n">
        <f aca="false">Navy!Y51</f>
        <v>8.163556325</v>
      </c>
      <c r="P51" s="56" t="n">
        <f aca="false">SUMPRODUCT((Events!$B$6:$B$174&lt;=$A51)*(Events!$C$6:$C$174&gt;=$A51)*(Events!$E$6:$E$174="War &amp; operations")*Events!$H$6:$H$174)</f>
        <v>0</v>
      </c>
      <c r="Q51" s="56" t="n">
        <f aca="false">Economy!O51*Paths!T51</f>
        <v>62.9218638078004</v>
      </c>
      <c r="R51" s="56" t="n">
        <f aca="false">Economy!O51*Paths!U51</f>
        <v>39.9503897192383</v>
      </c>
      <c r="S51" s="56" t="n">
        <f aca="false">Economy!O51*Paths!V51+SUMPRODUCT((Events!$B$6:$B$174&lt;=$A51)*(Events!$C$6:$C$174&gt;=$A51)*(Events!$E$6:$E$174="Programme")*Events!$H$6:$H$174)+SUMPRODUCT((Events!$B$6:$B$174&lt;=$A51)*(Events!$C$6:$C$174&gt;=$A51)*(Events!$E$6:$E$174="Investment")*Events!$H$6:$H$174)</f>
        <v>23.4061870652344</v>
      </c>
      <c r="T51" s="56" t="n">
        <f aca="false">(People!T51*assist_cost+Labour!AD51*talent_cost+Labour!L51*gw_admin)*Economy!H51/1000000</f>
        <v>7.02718510938085</v>
      </c>
      <c r="U51" s="56" t="n">
        <f aca="false">SUMPRODUCT((Events!$B$6:$B$174&lt;=$A51)*(Events!$C$6:$C$174&gt;=$A51)*(Events!$E$6:$E$174="Purchase")*Events!$H$6:$H$174)</f>
        <v>18.75</v>
      </c>
      <c r="V51" s="56" t="n">
        <f aca="false">SUMPRODUCT((Events!$B$6:$B$174&lt;=$A51)*(Events!$C$6:$C$174&gt;=$A51)*(Events!$E$6:$E$174="Subsidy &amp; guarantee")*Events!$H$6:$H$174)+SUMPRODUCT((Events!$B$6:$B$174&lt;=$A51)*(Events!$C$6:$C$174&gt;=$A51)*(Events!$E$6:$E$174="Relief")*Events!$H$6:$H$174)</f>
        <v>1.75</v>
      </c>
      <c r="W51" s="56" t="n">
        <f aca="false">SUMPRODUCT((Events!$B$6:$B$174&lt;=$A51)*(Events!$C$6:$C$174&gt;=$A51)*(Events!$E$6:$E$174="Bank rescue &amp; capital")*Events!$H$6:$H$174)</f>
        <v>0</v>
      </c>
      <c r="X51" s="56" t="n">
        <f aca="false">'Debt &amp; cash'!R50*Paths!Y51</f>
        <v>4.42245411375803</v>
      </c>
      <c r="Y51" s="56" t="n">
        <f aca="false">SUM(N51:X51)</f>
        <v>180.796768140412</v>
      </c>
      <c r="Z51" s="56" t="n">
        <f aca="false">M51-Y51</f>
        <v>33.5613341733818</v>
      </c>
      <c r="AA51" s="66" t="n">
        <f aca="false">M51/Economy!O51</f>
        <v>0.107312145798952</v>
      </c>
      <c r="AB51" s="66" t="n">
        <f aca="false">Y51/Economy!O51</f>
        <v>0.0905106405274181</v>
      </c>
      <c r="AC51" s="66" t="n">
        <f aca="false">(N51+O51+P51)/Economy!O51</f>
        <v>0.011298357029109</v>
      </c>
    </row>
    <row r="52" customFormat="false" ht="14.25" hidden="false" customHeight="false" outlineLevel="0" collapsed="false">
      <c r="A52" s="61" t="n">
        <v>1892</v>
      </c>
      <c r="B52" s="56" t="n">
        <f aca="false">Economy!O52*Paths!N52*Paths!O52*cust_coll</f>
        <v>49.3407504178505</v>
      </c>
      <c r="C52" s="56" t="n">
        <f aca="false">(Economy!J52+Economy!L52+Economy!M52+Economy!N52)*Paths!P52*Paths!Q52</f>
        <v>151.162627056923</v>
      </c>
      <c r="D52" s="56" t="n">
        <f aca="false">Resources!P52+Resources!Q52</f>
        <v>3.633</v>
      </c>
      <c r="E52" s="56" t="n">
        <f aca="false">Paths!S52*(1-canal_opcost)*canal_share</f>
        <v>0</v>
      </c>
      <c r="F52" s="56" t="n">
        <f aca="false">Economy!O52*Paths!R52</f>
        <v>4.2837205828906</v>
      </c>
      <c r="G52" s="56" t="n">
        <f aca="false">SUMPRODUCT((Events!$B$6:$B$174&lt;=$A52)*(Events!$C$6:$C$174&gt;=$A52)*(Events!$E$6:$E$174="Receipt")*Events!$H$6:$H$174)</f>
        <v>1.55</v>
      </c>
      <c r="H52" s="72" t="n">
        <f aca="false">Loans!Y52</f>
        <v>1.41422292102875</v>
      </c>
      <c r="I52" s="56" t="n">
        <f aca="false">'Debt &amp; cash'!S51*fund_yield</f>
        <v>1.17443723334277</v>
      </c>
      <c r="J52" s="72" t="n">
        <f aca="false">Labour!Q52</f>
        <v>13.5414344409379</v>
      </c>
      <c r="K52" s="72" t="n">
        <f aca="false">Champions!BD52</f>
        <v>3.43488526157442</v>
      </c>
      <c r="L52" s="72" t="n">
        <f aca="false">Abroad!N52</f>
        <v>2.41772930354336</v>
      </c>
      <c r="M52" s="56" t="n">
        <f aca="false">SUM(B52:L52)</f>
        <v>231.952807218091</v>
      </c>
      <c r="N52" s="56" t="n">
        <f aca="false">(Paths!W52*army_cost+Paths!X52*res_cost)*Economy!H52/1000000</f>
        <v>14.558453</v>
      </c>
      <c r="O52" s="72" t="n">
        <f aca="false">Navy!Y52</f>
        <v>8.165112735</v>
      </c>
      <c r="P52" s="56" t="n">
        <f aca="false">SUMPRODUCT((Events!$B$6:$B$174&lt;=$A52)*(Events!$C$6:$C$174&gt;=$A52)*(Events!$E$6:$E$174="War &amp; operations")*Events!$H$6:$H$174)</f>
        <v>0</v>
      </c>
      <c r="Q52" s="56" t="n">
        <f aca="false">Economy!O52*Paths!T52</f>
        <v>68.5395293262496</v>
      </c>
      <c r="R52" s="56" t="n">
        <f aca="false">Economy!O52*Paths!U52</f>
        <v>42.837205828906</v>
      </c>
      <c r="S52" s="56" t="n">
        <f aca="false">Economy!O52*Paths!V52+SUMPRODUCT((Events!$B$6:$B$174&lt;=$A52)*(Events!$C$6:$C$174&gt;=$A52)*(Events!$E$6:$E$174="Programme")*Events!$H$6:$H$174)+SUMPRODUCT((Events!$B$6:$B$174&lt;=$A52)*(Events!$C$6:$C$174&gt;=$A52)*(Events!$E$6:$E$174="Investment")*Events!$H$6:$H$174)</f>
        <v>24.7276727687303</v>
      </c>
      <c r="T52" s="56" t="n">
        <f aca="false">(People!T52*assist_cost+Labour!AD52*talent_cost+Labour!L52*gw_admin)*Economy!H52/1000000</f>
        <v>8.39469444347004</v>
      </c>
      <c r="U52" s="56" t="n">
        <f aca="false">SUMPRODUCT((Events!$B$6:$B$174&lt;=$A52)*(Events!$C$6:$C$174&gt;=$A52)*(Events!$E$6:$E$174="Purchase")*Events!$H$6:$H$174)</f>
        <v>18.75</v>
      </c>
      <c r="V52" s="56" t="n">
        <f aca="false">SUMPRODUCT((Events!$B$6:$B$174&lt;=$A52)*(Events!$C$6:$C$174&gt;=$A52)*(Events!$E$6:$E$174="Subsidy &amp; guarantee")*Events!$H$6:$H$174)+SUMPRODUCT((Events!$B$6:$B$174&lt;=$A52)*(Events!$C$6:$C$174&gt;=$A52)*(Events!$E$6:$E$174="Relief")*Events!$H$6:$H$174)</f>
        <v>1.75</v>
      </c>
      <c r="W52" s="56" t="n">
        <f aca="false">SUMPRODUCT((Events!$B$6:$B$174&lt;=$A52)*(Events!$C$6:$C$174&gt;=$A52)*(Events!$E$6:$E$174="Bank rescue &amp; capital")*Events!$H$6:$H$174)</f>
        <v>0</v>
      </c>
      <c r="X52" s="56" t="n">
        <f aca="false">'Debt &amp; cash'!R51*Paths!Y52</f>
        <v>4.6941707920105</v>
      </c>
      <c r="Y52" s="56" t="n">
        <f aca="false">SUM(N52:X52)</f>
        <v>192.416838894366</v>
      </c>
      <c r="Z52" s="56" t="n">
        <f aca="false">M52-Y52</f>
        <v>39.5359683237247</v>
      </c>
      <c r="AA52" s="66" t="n">
        <f aca="false">M52/Economy!O52</f>
        <v>0.108295021923009</v>
      </c>
      <c r="AB52" s="66" t="n">
        <f aca="false">Y52/Economy!O52</f>
        <v>0.0898363164315102</v>
      </c>
      <c r="AC52" s="66" t="n">
        <f aca="false">(N52+O52+P52)/Economy!O52</f>
        <v>0.0106092660785389</v>
      </c>
    </row>
    <row r="53" customFormat="false" ht="14.25" hidden="false" customHeight="false" outlineLevel="0" collapsed="false">
      <c r="A53" s="61" t="n">
        <v>1893</v>
      </c>
      <c r="B53" s="56" t="n">
        <f aca="false">Economy!O53*Paths!N53*Paths!O53*cust_coll</f>
        <v>49.8431162391988</v>
      </c>
      <c r="C53" s="56" t="n">
        <f aca="false">(Economy!J53+Economy!L53+Economy!M53+Economy!N53)*Paths!P53*Paths!Q53</f>
        <v>153.81195567684</v>
      </c>
      <c r="D53" s="56" t="n">
        <f aca="false">Resources!P53+Resources!Q53</f>
        <v>3.8033</v>
      </c>
      <c r="E53" s="56" t="n">
        <f aca="false">Paths!S53*(1-canal_opcost)*canal_share</f>
        <v>0</v>
      </c>
      <c r="F53" s="56" t="n">
        <f aca="false">Economy!O53*Paths!R53</f>
        <v>4.36004095935888</v>
      </c>
      <c r="G53" s="56" t="n">
        <f aca="false">SUMPRODUCT((Events!$B$6:$B$174&lt;=$A53)*(Events!$C$6:$C$174&gt;=$A53)*(Events!$E$6:$E$174="Receipt")*Events!$H$6:$H$174)</f>
        <v>1.55</v>
      </c>
      <c r="H53" s="72" t="n">
        <f aca="false">Loans!Y53</f>
        <v>1.35913140919992</v>
      </c>
      <c r="I53" s="56" t="n">
        <f aca="false">'Debt &amp; cash'!S52*fund_yield</f>
        <v>1.25657452392423</v>
      </c>
      <c r="J53" s="72" t="n">
        <f aca="false">Labour!Q53</f>
        <v>13.9237553306696</v>
      </c>
      <c r="K53" s="72" t="n">
        <f aca="false">Champions!BD53</f>
        <v>3.9591481079693</v>
      </c>
      <c r="L53" s="72" t="n">
        <f aca="false">Abroad!N53</f>
        <v>2.75813292243722</v>
      </c>
      <c r="M53" s="56" t="n">
        <f aca="false">SUM(B53:L53)</f>
        <v>236.625155169598</v>
      </c>
      <c r="N53" s="56" t="n">
        <f aca="false">(Paths!W53*army_cost+Paths!X53*res_cost)*Economy!H53/1000000</f>
        <v>14.7063</v>
      </c>
      <c r="O53" s="72" t="n">
        <f aca="false">Navy!Y53</f>
        <v>8.28255475</v>
      </c>
      <c r="P53" s="56" t="n">
        <f aca="false">SUMPRODUCT((Events!$B$6:$B$174&lt;=$A53)*(Events!$C$6:$C$174&gt;=$A53)*(Events!$E$6:$E$174="War &amp; operations")*Events!$H$6:$H$174)</f>
        <v>0</v>
      </c>
      <c r="Q53" s="56" t="n">
        <f aca="false">Economy!O53*Paths!T53</f>
        <v>70.8506655895818</v>
      </c>
      <c r="R53" s="56" t="n">
        <f aca="false">Economy!O53*Paths!U53</f>
        <v>43.6004095935888</v>
      </c>
      <c r="S53" s="56" t="n">
        <f aca="false">Economy!O53*Paths!V53+SUMPRODUCT((Events!$B$6:$B$174&lt;=$A53)*(Events!$C$6:$C$174&gt;=$A53)*(Events!$E$6:$E$174="Programme")*Events!$H$6:$H$174)+SUMPRODUCT((Events!$B$6:$B$174&lt;=$A53)*(Events!$C$6:$C$174&gt;=$A53)*(Events!$E$6:$E$174="Investment")*Events!$H$6:$H$174)</f>
        <v>25.0901945569547</v>
      </c>
      <c r="T53" s="56" t="n">
        <f aca="false">(People!T53*assist_cost+Labour!AD53*talent_cost+Labour!L53*gw_admin)*Economy!H53/1000000</f>
        <v>9.20263533810368</v>
      </c>
      <c r="U53" s="56" t="n">
        <f aca="false">SUMPRODUCT((Events!$B$6:$B$174&lt;=$A53)*(Events!$C$6:$C$174&gt;=$A53)*(Events!$E$6:$E$174="Purchase")*Events!$H$6:$H$174)</f>
        <v>18.75</v>
      </c>
      <c r="V53" s="56" t="n">
        <f aca="false">SUMPRODUCT((Events!$B$6:$B$174&lt;=$A53)*(Events!$C$6:$C$174&gt;=$A53)*(Events!$E$6:$E$174="Subsidy &amp; guarantee")*Events!$H$6:$H$174)+SUMPRODUCT((Events!$B$6:$B$174&lt;=$A53)*(Events!$C$6:$C$174&gt;=$A53)*(Events!$E$6:$E$174="Relief")*Events!$H$6:$H$174)</f>
        <v>3.75</v>
      </c>
      <c r="W53" s="56" t="n">
        <f aca="false">SUMPRODUCT((Events!$B$6:$B$174&lt;=$A53)*(Events!$C$6:$C$174&gt;=$A53)*(Events!$E$6:$E$174="Bank rescue &amp; capital")*Events!$H$6:$H$174)</f>
        <v>0</v>
      </c>
      <c r="X53" s="56" t="n">
        <f aca="false">'Debt &amp; cash'!R52*Paths!Y53</f>
        <v>4.95840657469587</v>
      </c>
      <c r="Y53" s="56" t="n">
        <f aca="false">SUM(N53:X53)</f>
        <v>199.191166402925</v>
      </c>
      <c r="Z53" s="56" t="n">
        <f aca="false">M53-Y53</f>
        <v>37.4339887666727</v>
      </c>
      <c r="AA53" s="66" t="n">
        <f aca="false">M53/Economy!O53</f>
        <v>0.108542629473092</v>
      </c>
      <c r="AB53" s="66" t="n">
        <f aca="false">Y53/Economy!O53</f>
        <v>0.0913712363070162</v>
      </c>
      <c r="AC53" s="66" t="n">
        <f aca="false">(N53+O53+P53)/Economy!O53</f>
        <v>0.010545247149871</v>
      </c>
    </row>
    <row r="54" customFormat="false" ht="14.25" hidden="false" customHeight="false" outlineLevel="0" collapsed="false">
      <c r="A54" s="61" t="n">
        <v>1894</v>
      </c>
      <c r="B54" s="56" t="n">
        <f aca="false">Economy!O54*Paths!N54*Paths!O54*cust_coll</f>
        <v>52.2127244617086</v>
      </c>
      <c r="C54" s="56" t="n">
        <f aca="false">(Economy!J54+Economy!L54+Economy!M54+Economy!N54)*Paths!P54*Paths!Q54</f>
        <v>162.532905307039</v>
      </c>
      <c r="D54" s="56" t="n">
        <f aca="false">Resources!P54+Resources!Q54</f>
        <v>3.96135</v>
      </c>
      <c r="E54" s="56" t="n">
        <f aca="false">Paths!S54*(1-canal_opcost)*canal_share</f>
        <v>0</v>
      </c>
      <c r="F54" s="56" t="n">
        <f aca="false">Economy!O54*Paths!R54</f>
        <v>4.60429668974503</v>
      </c>
      <c r="G54" s="56" t="n">
        <f aca="false">SUMPRODUCT((Events!$B$6:$B$174&lt;=$A54)*(Events!$C$6:$C$174&gt;=$A54)*(Events!$E$6:$E$174="Receipt")*Events!$H$6:$H$174)</f>
        <v>1.55</v>
      </c>
      <c r="H54" s="72" t="n">
        <f aca="false">Loans!Y54</f>
        <v>1.30619923569387</v>
      </c>
      <c r="I54" s="56" t="n">
        <f aca="false">'Debt &amp; cash'!S53*fund_yield</f>
        <v>1.34097211381796</v>
      </c>
      <c r="J54" s="72" t="n">
        <f aca="false">Labour!Q54</f>
        <v>14.7573275320654</v>
      </c>
      <c r="K54" s="72" t="n">
        <f aca="false">Champions!BD54</f>
        <v>4.47685264662416</v>
      </c>
      <c r="L54" s="72" t="n">
        <f aca="false">Abroad!N54</f>
        <v>3.09687727836784</v>
      </c>
      <c r="M54" s="56" t="n">
        <f aca="false">SUM(B54:L54)</f>
        <v>249.839505265062</v>
      </c>
      <c r="N54" s="56" t="n">
        <f aca="false">(Paths!W54*army_cost+Paths!X54*res_cost)*Economy!H54/1000000</f>
        <v>14.8362265</v>
      </c>
      <c r="O54" s="72" t="n">
        <f aca="false">Navy!Y54</f>
        <v>9.258088615</v>
      </c>
      <c r="P54" s="56" t="n">
        <f aca="false">SUMPRODUCT((Events!$B$6:$B$174&lt;=$A54)*(Events!$C$6:$C$174&gt;=$A54)*(Events!$E$6:$E$174="War &amp; operations")*Events!$H$6:$H$174)</f>
        <v>0.4</v>
      </c>
      <c r="Q54" s="56" t="n">
        <f aca="false">Economy!O54*Paths!T54</f>
        <v>75.9708953807929</v>
      </c>
      <c r="R54" s="56" t="n">
        <f aca="false">Economy!O54*Paths!U54</f>
        <v>46.0429668974503</v>
      </c>
      <c r="S54" s="56" t="n">
        <f aca="false">Economy!O54*Paths!V54+SUMPRODUCT((Events!$B$6:$B$174&lt;=$A54)*(Events!$C$6:$C$174&gt;=$A54)*(Events!$E$6:$E$174="Programme")*Events!$H$6:$H$174)+SUMPRODUCT((Events!$B$6:$B$174&lt;=$A54)*(Events!$C$6:$C$174&gt;=$A54)*(Events!$E$6:$E$174="Investment")*Events!$H$6:$H$174)</f>
        <v>28.8701944418016</v>
      </c>
      <c r="T54" s="56" t="n">
        <f aca="false">(People!T54*assist_cost+Labour!AD54*talent_cost+Labour!L54*gw_admin)*Economy!H54/1000000</f>
        <v>8.81409453857635</v>
      </c>
      <c r="U54" s="56" t="n">
        <f aca="false">SUMPRODUCT((Events!$B$6:$B$174&lt;=$A54)*(Events!$C$6:$C$174&gt;=$A54)*(Events!$E$6:$E$174="Purchase")*Events!$H$6:$H$174)</f>
        <v>18.75</v>
      </c>
      <c r="V54" s="56" t="n">
        <f aca="false">SUMPRODUCT((Events!$B$6:$B$174&lt;=$A54)*(Events!$C$6:$C$174&gt;=$A54)*(Events!$E$6:$E$174="Subsidy &amp; guarantee")*Events!$H$6:$H$174)+SUMPRODUCT((Events!$B$6:$B$174&lt;=$A54)*(Events!$C$6:$C$174&gt;=$A54)*(Events!$E$6:$E$174="Relief")*Events!$H$6:$H$174)</f>
        <v>3.75</v>
      </c>
      <c r="W54" s="56" t="n">
        <f aca="false">SUMPRODUCT((Events!$B$6:$B$174&lt;=$A54)*(Events!$C$6:$C$174&gt;=$A54)*(Events!$E$6:$E$174="Bank rescue &amp; capital")*Events!$H$6:$H$174)</f>
        <v>0</v>
      </c>
      <c r="X54" s="56" t="n">
        <f aca="false">'Debt &amp; cash'!R53*Paths!Y54</f>
        <v>4.98134679606752</v>
      </c>
      <c r="Y54" s="56" t="n">
        <f aca="false">SUM(N54:X54)</f>
        <v>211.673813169689</v>
      </c>
      <c r="Z54" s="56" t="n">
        <f aca="false">M54-Y54</f>
        <v>38.1656920953732</v>
      </c>
      <c r="AA54" s="66" t="n">
        <f aca="false">M54/Economy!O54</f>
        <v>0.108524503132702</v>
      </c>
      <c r="AB54" s="66" t="n">
        <f aca="false">Y54/Economy!O54</f>
        <v>0.0919462091316321</v>
      </c>
      <c r="AC54" s="66" t="n">
        <f aca="false">(N54+O54+P54)/Economy!O54</f>
        <v>0.0106397640141459</v>
      </c>
    </row>
    <row r="55" customFormat="false" ht="14.25" hidden="false" customHeight="false" outlineLevel="0" collapsed="false">
      <c r="A55" s="61" t="n">
        <v>1895</v>
      </c>
      <c r="B55" s="56" t="n">
        <f aca="false">Economy!O55*Paths!N55*Paths!O55*cust_coll</f>
        <v>56.8225694502499</v>
      </c>
      <c r="C55" s="56" t="n">
        <f aca="false">(Economy!J55+Economy!L55+Economy!M55+Economy!N55)*Paths!P55*Paths!Q55</f>
        <v>178.598507968855</v>
      </c>
      <c r="D55" s="56" t="n">
        <f aca="false">Resources!P55+Resources!Q55</f>
        <v>4.105</v>
      </c>
      <c r="E55" s="56" t="n">
        <f aca="false">Paths!S55*(1-canal_opcost)*canal_share</f>
        <v>0</v>
      </c>
      <c r="F55" s="56" t="n">
        <f aca="false">Economy!O55*Paths!R55</f>
        <v>5.051703334778</v>
      </c>
      <c r="G55" s="56" t="n">
        <f aca="false">SUMPRODUCT((Events!$B$6:$B$174&lt;=$A55)*(Events!$C$6:$C$174&gt;=$A55)*(Events!$E$6:$E$174="Receipt")*Events!$H$6:$H$174)</f>
        <v>2.05</v>
      </c>
      <c r="H55" s="72" t="n">
        <f aca="false">Loans!Y55</f>
        <v>1.80534135664221</v>
      </c>
      <c r="I55" s="56" t="n">
        <f aca="false">'Debt &amp; cash'!S54*fund_yield</f>
        <v>1.3978110739888</v>
      </c>
      <c r="J55" s="72" t="n">
        <f aca="false">Labour!Q55</f>
        <v>17.2474136149266</v>
      </c>
      <c r="K55" s="72" t="n">
        <f aca="false">Champions!BD55</f>
        <v>4.9315226118015</v>
      </c>
      <c r="L55" s="72" t="n">
        <f aca="false">Abroad!N55</f>
        <v>3.41055269360502</v>
      </c>
      <c r="M55" s="56" t="n">
        <f aca="false">SUM(B55:L55)</f>
        <v>275.420422104847</v>
      </c>
      <c r="N55" s="56" t="n">
        <f aca="false">(Paths!W55*army_cost+Paths!X55*res_cost)*Economy!H55/1000000</f>
        <v>14.956759</v>
      </c>
      <c r="O55" s="72" t="n">
        <f aca="false">Navy!Y55</f>
        <v>8.81411885</v>
      </c>
      <c r="P55" s="56" t="n">
        <f aca="false">SUMPRODUCT((Events!$B$6:$B$174&lt;=$A55)*(Events!$C$6:$C$174&gt;=$A55)*(Events!$E$6:$E$174="War &amp; operations")*Events!$H$6:$H$174)</f>
        <v>0.4</v>
      </c>
      <c r="Q55" s="56" t="n">
        <f aca="false">Economy!O55*Paths!T55</f>
        <v>84.6160308575315</v>
      </c>
      <c r="R55" s="56" t="n">
        <f aca="false">Economy!O55*Paths!U55</f>
        <v>50.51703334778</v>
      </c>
      <c r="S55" s="56" t="n">
        <f aca="false">Economy!O55*Paths!V55+SUMPRODUCT((Events!$B$6:$B$174&lt;=$A55)*(Events!$C$6:$C$174&gt;=$A55)*(Events!$E$6:$E$174="Programme")*Events!$H$6:$H$174)+SUMPRODUCT((Events!$B$6:$B$174&lt;=$A55)*(Events!$C$6:$C$174&gt;=$A55)*(Events!$E$6:$E$174="Investment")*Events!$H$6:$H$174)</f>
        <v>31.2204205067177</v>
      </c>
      <c r="T55" s="56" t="n">
        <f aca="false">(People!T55*assist_cost+Labour!AD55*talent_cost+Labour!L55*gw_admin)*Economy!H55/1000000</f>
        <v>9.52665897906408</v>
      </c>
      <c r="U55" s="56" t="n">
        <f aca="false">SUMPRODUCT((Events!$B$6:$B$174&lt;=$A55)*(Events!$C$6:$C$174&gt;=$A55)*(Events!$E$6:$E$174="Purchase")*Events!$H$6:$H$174)</f>
        <v>18.75</v>
      </c>
      <c r="V55" s="56" t="n">
        <f aca="false">SUMPRODUCT((Events!$B$6:$B$174&lt;=$A55)*(Events!$C$6:$C$174&gt;=$A55)*(Events!$E$6:$E$174="Subsidy &amp; guarantee")*Events!$H$6:$H$174)+SUMPRODUCT((Events!$B$6:$B$174&lt;=$A55)*(Events!$C$6:$C$174&gt;=$A55)*(Events!$E$6:$E$174="Relief")*Events!$H$6:$H$174)</f>
        <v>3.75</v>
      </c>
      <c r="W55" s="56" t="n">
        <f aca="false">SUMPRODUCT((Events!$B$6:$B$174&lt;=$A55)*(Events!$C$6:$C$174&gt;=$A55)*(Events!$E$6:$E$174="Bank rescue &amp; capital")*Events!$H$6:$H$174)</f>
        <v>0</v>
      </c>
      <c r="X55" s="56" t="n">
        <f aca="false">'Debt &amp; cash'!R54*Paths!Y55</f>
        <v>5.17983377596315</v>
      </c>
      <c r="Y55" s="56" t="n">
        <f aca="false">SUM(N55:X55)</f>
        <v>227.730855317056</v>
      </c>
      <c r="Z55" s="56" t="n">
        <f aca="false">M55-Y55</f>
        <v>47.6895667877909</v>
      </c>
      <c r="AA55" s="66" t="n">
        <f aca="false">M55/Economy!O55</f>
        <v>0.109040616145742</v>
      </c>
      <c r="AB55" s="66" t="n">
        <f aca="false">Y55/Economy!O55</f>
        <v>0.0901600273116846</v>
      </c>
      <c r="AC55" s="66" t="n">
        <f aca="false">(N55+O55+P55)/Economy!O55</f>
        <v>0.00956939719068527</v>
      </c>
    </row>
    <row r="56" customFormat="false" ht="14.25" hidden="false" customHeight="false" outlineLevel="0" collapsed="false">
      <c r="A56" s="61" t="n">
        <v>1896</v>
      </c>
      <c r="B56" s="56" t="n">
        <f aca="false">Economy!O56*Paths!N56*Paths!O56*cust_coll</f>
        <v>60.3884586753922</v>
      </c>
      <c r="C56" s="56" t="n">
        <f aca="false">(Economy!J56+Economy!L56+Economy!M56+Economy!N56)*Paths!P56*Paths!Q56</f>
        <v>166.375109479222</v>
      </c>
      <c r="D56" s="56" t="n">
        <f aca="false">Resources!P56+Resources!Q56</f>
        <v>4.6621625</v>
      </c>
      <c r="E56" s="56" t="n">
        <f aca="false">Paths!S56*(1-canal_opcost)*canal_share</f>
        <v>0</v>
      </c>
      <c r="F56" s="56" t="n">
        <f aca="false">Economy!O56*Paths!R56</f>
        <v>5.41027958531708</v>
      </c>
      <c r="G56" s="56" t="n">
        <f aca="false">SUMPRODUCT((Events!$B$6:$B$174&lt;=$A56)*(Events!$C$6:$C$174&gt;=$A56)*(Events!$E$6:$E$174="Receipt")*Events!$H$6:$H$174)</f>
        <v>2.05</v>
      </c>
      <c r="H56" s="72" t="n">
        <f aca="false">Loans!Y56</f>
        <v>5.80947609004133</v>
      </c>
      <c r="I56" s="56" t="n">
        <f aca="false">'Debt &amp; cash'!S55*fund_yield</f>
        <v>0</v>
      </c>
      <c r="J56" s="72" t="n">
        <f aca="false">Labour!Q56</f>
        <v>19.3674495552761</v>
      </c>
      <c r="K56" s="72" t="n">
        <f aca="false">Champions!BD56</f>
        <v>5.48060049856582</v>
      </c>
      <c r="L56" s="72" t="n">
        <f aca="false">Abroad!N56</f>
        <v>3.7733637665169</v>
      </c>
      <c r="M56" s="56" t="n">
        <f aca="false">SUM(B56:L56)</f>
        <v>273.316900150332</v>
      </c>
      <c r="N56" s="56" t="n">
        <f aca="false">(Paths!W56*army_cost+Paths!X56*res_cost)*Economy!H56/1000000</f>
        <v>14.9872</v>
      </c>
      <c r="O56" s="72" t="n">
        <f aca="false">Navy!Y56</f>
        <v>9.791304</v>
      </c>
      <c r="P56" s="56" t="n">
        <f aca="false">SUMPRODUCT((Events!$B$6:$B$174&lt;=$A56)*(Events!$C$6:$C$174&gt;=$A56)*(Events!$E$6:$E$174="War &amp; operations")*Events!$H$6:$H$174)</f>
        <v>2</v>
      </c>
      <c r="Q56" s="56" t="n">
        <f aca="false">Economy!O56*Paths!T56</f>
        <v>91.9747529503903</v>
      </c>
      <c r="R56" s="56" t="n">
        <f aca="false">Economy!O56*Paths!U56</f>
        <v>54.1027958531708</v>
      </c>
      <c r="S56" s="56" t="n">
        <f aca="false">Economy!O56*Paths!V56+SUMPRODUCT((Events!$B$6:$B$174&lt;=$A56)*(Events!$C$6:$C$174&gt;=$A56)*(Events!$E$6:$E$174="Programme")*Events!$H$6:$H$174)+SUMPRODUCT((Events!$B$6:$B$174&lt;=$A56)*(Events!$C$6:$C$174&gt;=$A56)*(Events!$E$6:$E$174="Investment")*Events!$H$6:$H$174)</f>
        <v>32.3878000717244</v>
      </c>
      <c r="T56" s="56" t="n">
        <f aca="false">(People!T56*assist_cost+Labour!AD56*talent_cost+Labour!L56*gw_admin)*Economy!H56/1000000</f>
        <v>10.4493553248892</v>
      </c>
      <c r="U56" s="56" t="n">
        <f aca="false">SUMPRODUCT((Events!$B$6:$B$174&lt;=$A56)*(Events!$C$6:$C$174&gt;=$A56)*(Events!$E$6:$E$174="Purchase")*Events!$H$6:$H$174)</f>
        <v>18.75</v>
      </c>
      <c r="V56" s="56" t="n">
        <f aca="false">SUMPRODUCT((Events!$B$6:$B$174&lt;=$A56)*(Events!$C$6:$C$174&gt;=$A56)*(Events!$E$6:$E$174="Subsidy &amp; guarantee")*Events!$H$6:$H$174)+SUMPRODUCT((Events!$B$6:$B$174&lt;=$A56)*(Events!$C$6:$C$174&gt;=$A56)*(Events!$E$6:$E$174="Relief")*Events!$H$6:$H$174)</f>
        <v>1.75</v>
      </c>
      <c r="W56" s="56" t="n">
        <f aca="false">SUMPRODUCT((Events!$B$6:$B$174&lt;=$A56)*(Events!$C$6:$C$174&gt;=$A56)*(Events!$E$6:$E$174="Bank rescue &amp; capital")*Events!$H$6:$H$174)</f>
        <v>0</v>
      </c>
      <c r="X56" s="56" t="n">
        <f aca="false">'Debt &amp; cash'!R55*Paths!Y56</f>
        <v>5.62001995994053</v>
      </c>
      <c r="Y56" s="56" t="n">
        <f aca="false">SUM(N56:X56)</f>
        <v>241.813228160115</v>
      </c>
      <c r="Z56" s="56" t="n">
        <f aca="false">M56-Y56</f>
        <v>31.5036719902163</v>
      </c>
      <c r="AA56" s="66" t="n">
        <f aca="false">M56/Economy!O56</f>
        <v>0.101036146409914</v>
      </c>
      <c r="AB56" s="66" t="n">
        <f aca="false">Y56/Economy!O56</f>
        <v>0.0893902891142153</v>
      </c>
      <c r="AC56" s="66" t="n">
        <f aca="false">(N56+O56+P56)/Economy!O56</f>
        <v>0.00989912021281636</v>
      </c>
    </row>
    <row r="57" customFormat="false" ht="14.25" hidden="false" customHeight="false" outlineLevel="0" collapsed="false">
      <c r="A57" s="61" t="n">
        <v>1897</v>
      </c>
      <c r="B57" s="56" t="n">
        <f aca="false">Economy!O57*Paths!N57*Paths!O57*cust_coll</f>
        <v>67.5562686623379</v>
      </c>
      <c r="C57" s="56" t="n">
        <f aca="false">(Economy!J57+Economy!L57+Economy!M57+Economy!N57)*Paths!P57*Paths!Q57</f>
        <v>187.764790291417</v>
      </c>
      <c r="D57" s="56" t="n">
        <f aca="false">Resources!P57+Resources!Q57</f>
        <v>5.211675</v>
      </c>
      <c r="E57" s="56" t="n">
        <f aca="false">Paths!S57*(1-canal_opcost)*canal_share</f>
        <v>0</v>
      </c>
      <c r="F57" s="56" t="n">
        <f aca="false">Economy!O57*Paths!R57</f>
        <v>6.10264396227082</v>
      </c>
      <c r="G57" s="56" t="n">
        <f aca="false">SUMPRODUCT((Events!$B$6:$B$174&lt;=$A57)*(Events!$C$6:$C$174&gt;=$A57)*(Events!$E$6:$E$174="Receipt")*Events!$H$6:$H$174)</f>
        <v>2.05</v>
      </c>
      <c r="H57" s="72" t="n">
        <f aca="false">Loans!Y57</f>
        <v>5.74340498247455</v>
      </c>
      <c r="I57" s="56" t="n">
        <f aca="false">'Debt &amp; cash'!S56*fund_yield</f>
        <v>0.0744279901024391</v>
      </c>
      <c r="J57" s="72" t="n">
        <f aca="false">Labour!Q57</f>
        <v>23.2615766411964</v>
      </c>
      <c r="K57" s="72" t="n">
        <f aca="false">Champions!BD57</f>
        <v>6.07580883846296</v>
      </c>
      <c r="L57" s="72" t="n">
        <f aca="false">Abroad!N57</f>
        <v>4.37599327660983</v>
      </c>
      <c r="M57" s="56" t="n">
        <f aca="false">SUM(B57:L57)</f>
        <v>308.216589644872</v>
      </c>
      <c r="N57" s="56" t="n">
        <f aca="false">(Paths!W57*army_cost+Paths!X57*res_cost)*Economy!H57/1000000</f>
        <v>15.645</v>
      </c>
      <c r="O57" s="72" t="n">
        <f aca="false">Navy!Y57</f>
        <v>11.0046225</v>
      </c>
      <c r="P57" s="56" t="n">
        <f aca="false">SUMPRODUCT((Events!$B$6:$B$174&lt;=$A57)*(Events!$C$6:$C$174&gt;=$A57)*(Events!$E$6:$E$174="War &amp; operations")*Events!$H$6:$H$174)</f>
        <v>0.1</v>
      </c>
      <c r="Q57" s="56" t="n">
        <f aca="false">Economy!O57*Paths!T57</f>
        <v>105.270608349172</v>
      </c>
      <c r="R57" s="56" t="n">
        <f aca="false">Economy!O57*Paths!U57</f>
        <v>61.0264396227082</v>
      </c>
      <c r="S57" s="56" t="n">
        <f aca="false">Economy!O57*Paths!V57+SUMPRODUCT((Events!$B$6:$B$174&lt;=$A57)*(Events!$C$6:$C$174&gt;=$A57)*(Events!$E$6:$E$174="Programme")*Events!$H$6:$H$174)+SUMPRODUCT((Events!$B$6:$B$174&lt;=$A57)*(Events!$C$6:$C$174&gt;=$A57)*(Events!$E$6:$E$174="Investment")*Events!$H$6:$H$174)</f>
        <v>35.3021622264458</v>
      </c>
      <c r="T57" s="56" t="n">
        <f aca="false">(People!T57*assist_cost+Labour!AD57*talent_cost+Labour!L57*gw_admin)*Economy!H57/1000000</f>
        <v>11.4728825650151</v>
      </c>
      <c r="U57" s="56" t="n">
        <f aca="false">SUMPRODUCT((Events!$B$6:$B$174&lt;=$A57)*(Events!$C$6:$C$174&gt;=$A57)*(Events!$E$6:$E$174="Purchase")*Events!$H$6:$H$174)</f>
        <v>18.75</v>
      </c>
      <c r="V57" s="56" t="n">
        <f aca="false">SUMPRODUCT((Events!$B$6:$B$174&lt;=$A57)*(Events!$C$6:$C$174&gt;=$A57)*(Events!$E$6:$E$174="Subsidy &amp; guarantee")*Events!$H$6:$H$174)+SUMPRODUCT((Events!$B$6:$B$174&lt;=$A57)*(Events!$C$6:$C$174&gt;=$A57)*(Events!$E$6:$E$174="Relief")*Events!$H$6:$H$174)</f>
        <v>1.75</v>
      </c>
      <c r="W57" s="56" t="n">
        <f aca="false">SUMPRODUCT((Events!$B$6:$B$174&lt;=$A57)*(Events!$C$6:$C$174&gt;=$A57)*(Events!$E$6:$E$174="Bank rescue &amp; capital")*Events!$H$6:$H$174)</f>
        <v>0</v>
      </c>
      <c r="X57" s="56" t="n">
        <f aca="false">'Debt &amp; cash'!R56*Paths!Y57</f>
        <v>5.95130754384879</v>
      </c>
      <c r="Y57" s="56" t="n">
        <f aca="false">SUM(N57:X57)</f>
        <v>266.273022807189</v>
      </c>
      <c r="Z57" s="56" t="n">
        <f aca="false">M57-Y57</f>
        <v>41.9435668376827</v>
      </c>
      <c r="AA57" s="66" t="n">
        <f aca="false">M57/Economy!O57</f>
        <v>0.101010837777986</v>
      </c>
      <c r="AB57" s="66" t="n">
        <f aca="false">Y57/Economy!O57</f>
        <v>0.0872648066816299</v>
      </c>
      <c r="AC57" s="66" t="n">
        <f aca="false">(N57+O57+P57)/Economy!O57</f>
        <v>0.00876656828265838</v>
      </c>
    </row>
    <row r="58" customFormat="false" ht="14.25" hidden="false" customHeight="false" outlineLevel="0" collapsed="false">
      <c r="A58" s="61" t="n">
        <v>1898</v>
      </c>
      <c r="B58" s="56" t="n">
        <f aca="false">Economy!O58*Paths!N58*Paths!O58*cust_coll</f>
        <v>73.7517325554516</v>
      </c>
      <c r="C58" s="56" t="n">
        <f aca="false">(Economy!J58+Economy!L58+Economy!M58+Economy!N58)*Paths!P58*Paths!Q58</f>
        <v>206.735092054526</v>
      </c>
      <c r="D58" s="56" t="n">
        <f aca="false">Resources!P58+Resources!Q58</f>
        <v>5.7555</v>
      </c>
      <c r="E58" s="56" t="n">
        <f aca="false">Paths!S58*(1-canal_opcost)*canal_share</f>
        <v>0</v>
      </c>
      <c r="F58" s="56" t="n">
        <f aca="false">Economy!O58*Paths!R58</f>
        <v>6.71801684752069</v>
      </c>
      <c r="G58" s="56" t="n">
        <f aca="false">SUMPRODUCT((Events!$B$6:$B$174&lt;=$A58)*(Events!$C$6:$C$174&gt;=$A58)*(Events!$E$6:$E$174="Receipt")*Events!$H$6:$H$174)</f>
        <v>2.05</v>
      </c>
      <c r="H58" s="72" t="n">
        <f aca="false">Loans!Y58</f>
        <v>6.77993748112939</v>
      </c>
      <c r="I58" s="56" t="n">
        <f aca="false">'Debt &amp; cash'!S57*fund_yield</f>
        <v>0.103136628570409</v>
      </c>
      <c r="J58" s="72" t="n">
        <f aca="false">Labour!Q58</f>
        <v>26.4499870456524</v>
      </c>
      <c r="K58" s="72" t="n">
        <f aca="false">Champions!BD58</f>
        <v>6.65438255415831</v>
      </c>
      <c r="L58" s="72" t="n">
        <f aca="false">Abroad!N58</f>
        <v>5.03688839699547</v>
      </c>
      <c r="M58" s="56" t="n">
        <f aca="false">SUM(B58:L58)</f>
        <v>340.034673564004</v>
      </c>
      <c r="N58" s="56" t="n">
        <f aca="false">(Paths!W58*army_cost+Paths!X58*res_cost)*Economy!H58/1000000</f>
        <v>16.3044</v>
      </c>
      <c r="O58" s="72" t="n">
        <f aca="false">Navy!Y58</f>
        <v>15.013575</v>
      </c>
      <c r="P58" s="56" t="n">
        <f aca="false">SUMPRODUCT((Events!$B$6:$B$174&lt;=$A58)*(Events!$C$6:$C$174&gt;=$A58)*(Events!$E$6:$E$174="War &amp; operations")*Events!$H$6:$H$174)</f>
        <v>6</v>
      </c>
      <c r="Q58" s="56" t="n">
        <f aca="false">Economy!O58*Paths!T58</f>
        <v>117.565294831612</v>
      </c>
      <c r="R58" s="56" t="n">
        <f aca="false">Economy!O58*Paths!U58</f>
        <v>67.1801684752069</v>
      </c>
      <c r="S58" s="56" t="n">
        <f aca="false">Economy!O58*Paths!V58+SUMPRODUCT((Events!$B$6:$B$174&lt;=$A58)*(Events!$C$6:$C$174&gt;=$A58)*(Events!$E$6:$E$174="Programme")*Events!$H$6:$H$174)+SUMPRODUCT((Events!$B$6:$B$174&lt;=$A58)*(Events!$C$6:$C$174&gt;=$A58)*(Events!$E$6:$E$174="Investment")*Events!$H$6:$H$174)</f>
        <v>40.7969766562191</v>
      </c>
      <c r="T58" s="56" t="n">
        <f aca="false">(People!T58*assist_cost+Labour!AD58*talent_cost+Labour!L58*gw_admin)*Economy!H58/1000000</f>
        <v>12.4361861581056</v>
      </c>
      <c r="U58" s="56" t="n">
        <f aca="false">SUMPRODUCT((Events!$B$6:$B$174&lt;=$A58)*(Events!$C$6:$C$174&gt;=$A58)*(Events!$E$6:$E$174="Purchase")*Events!$H$6:$H$174)</f>
        <v>18.75</v>
      </c>
      <c r="V58" s="56" t="n">
        <f aca="false">SUMPRODUCT((Events!$B$6:$B$174&lt;=$A58)*(Events!$C$6:$C$174&gt;=$A58)*(Events!$E$6:$E$174="Subsidy &amp; guarantee")*Events!$H$6:$H$174)+SUMPRODUCT((Events!$B$6:$B$174&lt;=$A58)*(Events!$C$6:$C$174&gt;=$A58)*(Events!$E$6:$E$174="Relief")*Events!$H$6:$H$174)</f>
        <v>1.75</v>
      </c>
      <c r="W58" s="56" t="n">
        <f aca="false">SUMPRODUCT((Events!$B$6:$B$174&lt;=$A58)*(Events!$C$6:$C$174&gt;=$A58)*(Events!$E$6:$E$174="Bank rescue &amp; capital")*Events!$H$6:$H$174)</f>
        <v>0</v>
      </c>
      <c r="X58" s="56" t="n">
        <f aca="false">'Debt &amp; cash'!R57*Paths!Y58</f>
        <v>6.63662530896951</v>
      </c>
      <c r="Y58" s="56" t="n">
        <f aca="false">SUM(N58:X58)</f>
        <v>302.433226430113</v>
      </c>
      <c r="Z58" s="56" t="n">
        <f aca="false">M58-Y58</f>
        <v>37.6014471338907</v>
      </c>
      <c r="AA58" s="66" t="n">
        <f aca="false">M58/Economy!O58</f>
        <v>0.101230670086663</v>
      </c>
      <c r="AB58" s="66" t="n">
        <f aca="false">Y58/Economy!O58</f>
        <v>0.0900364596560151</v>
      </c>
      <c r="AC58" s="66" t="n">
        <f aca="false">(N58+O58+P58)/Economy!O58</f>
        <v>0.0111098188191571</v>
      </c>
    </row>
    <row r="59" customFormat="false" ht="14.25" hidden="false" customHeight="false" outlineLevel="0" collapsed="false">
      <c r="A59" s="61" t="n">
        <v>1899</v>
      </c>
      <c r="B59" s="56" t="n">
        <f aca="false">Economy!O59*Paths!N59*Paths!O59*cust_coll</f>
        <v>80.3400505731016</v>
      </c>
      <c r="C59" s="56" t="n">
        <f aca="false">(Economy!J59+Economy!L59+Economy!M59+Economy!N59)*Paths!P59*Paths!Q59</f>
        <v>226.894135055628</v>
      </c>
      <c r="D59" s="56" t="n">
        <f aca="false">Resources!P59+Resources!Q59</f>
        <v>6.5065</v>
      </c>
      <c r="E59" s="56" t="n">
        <f aca="false">Paths!S59*(1-canal_opcost)*canal_share</f>
        <v>0</v>
      </c>
      <c r="F59" s="56" t="n">
        <f aca="false">Economy!O59*Paths!R59</f>
        <v>7.37619590637925</v>
      </c>
      <c r="G59" s="56" t="n">
        <f aca="false">SUMPRODUCT((Events!$B$6:$B$174&lt;=$A59)*(Events!$C$6:$C$174&gt;=$A59)*(Events!$E$6:$E$174="Receipt")*Events!$H$6:$H$174)</f>
        <v>2.05</v>
      </c>
      <c r="H59" s="72" t="n">
        <f aca="false">Loans!Y59</f>
        <v>7.78497061889942</v>
      </c>
      <c r="I59" s="56" t="n">
        <f aca="false">'Debt &amp; cash'!S58*fund_yield</f>
        <v>0.121825083676968</v>
      </c>
      <c r="J59" s="72" t="n">
        <f aca="false">Labour!Q59</f>
        <v>29.5192834569915</v>
      </c>
      <c r="K59" s="72" t="n">
        <f aca="false">Champions!BD59</f>
        <v>7.22829425386508</v>
      </c>
      <c r="L59" s="72" t="n">
        <f aca="false">Abroad!N59</f>
        <v>5.71592159131665</v>
      </c>
      <c r="M59" s="56" t="n">
        <f aca="false">SUM(B59:L59)</f>
        <v>373.537176539858</v>
      </c>
      <c r="N59" s="56" t="n">
        <f aca="false">(Paths!W59*army_cost+Paths!X59*res_cost)*Economy!H59/1000000</f>
        <v>16.9756</v>
      </c>
      <c r="O59" s="72" t="n">
        <f aca="false">Navy!Y59</f>
        <v>14.0799595</v>
      </c>
      <c r="P59" s="56" t="n">
        <f aca="false">SUMPRODUCT((Events!$B$6:$B$174&lt;=$A59)*(Events!$C$6:$C$174&gt;=$A59)*(Events!$E$6:$E$174="War &amp; operations")*Events!$H$6:$H$174)</f>
        <v>6</v>
      </c>
      <c r="Q59" s="56" t="n">
        <f aca="false">Economy!O59*Paths!T59</f>
        <v>130.927477338232</v>
      </c>
      <c r="R59" s="56" t="n">
        <f aca="false">Economy!O59*Paths!U59</f>
        <v>73.7619590637926</v>
      </c>
      <c r="S59" s="56" t="n">
        <f aca="false">Economy!O59*Paths!V59+SUMPRODUCT((Events!$B$6:$B$174&lt;=$A59)*(Events!$C$6:$C$174&gt;=$A59)*(Events!$E$6:$E$174="Programme")*Events!$H$6:$H$174)+SUMPRODUCT((Events!$B$6:$B$174&lt;=$A59)*(Events!$C$6:$C$174&gt;=$A59)*(Events!$E$6:$E$174="Investment")*Events!$H$6:$H$174)</f>
        <v>44.7916913740256</v>
      </c>
      <c r="T59" s="56" t="n">
        <f aca="false">(People!T59*assist_cost+Labour!AD59*talent_cost+Labour!L59*gw_admin)*Economy!H59/1000000</f>
        <v>13.38233554855</v>
      </c>
      <c r="U59" s="56" t="n">
        <f aca="false">SUMPRODUCT((Events!$B$6:$B$174&lt;=$A59)*(Events!$C$6:$C$174&gt;=$A59)*(Events!$E$6:$E$174="Purchase")*Events!$H$6:$H$174)</f>
        <v>21.75</v>
      </c>
      <c r="V59" s="56" t="n">
        <f aca="false">SUMPRODUCT((Events!$B$6:$B$174&lt;=$A59)*(Events!$C$6:$C$174&gt;=$A59)*(Events!$E$6:$E$174="Subsidy &amp; guarantee")*Events!$H$6:$H$174)+SUMPRODUCT((Events!$B$6:$B$174&lt;=$A59)*(Events!$C$6:$C$174&gt;=$A59)*(Events!$E$6:$E$174="Relief")*Events!$H$6:$H$174)</f>
        <v>1.85</v>
      </c>
      <c r="W59" s="56" t="n">
        <f aca="false">SUMPRODUCT((Events!$B$6:$B$174&lt;=$A59)*(Events!$C$6:$C$174&gt;=$A59)*(Events!$E$6:$E$174="Bank rescue &amp; capital")*Events!$H$6:$H$174)</f>
        <v>0</v>
      </c>
      <c r="X59" s="56" t="n">
        <f aca="false">'Debt &amp; cash'!R58*Paths!Y59</f>
        <v>7.22186811108474</v>
      </c>
      <c r="Y59" s="56" t="n">
        <f aca="false">SUM(N59:X59)</f>
        <v>330.740890935685</v>
      </c>
      <c r="Z59" s="56" t="n">
        <f aca="false">M59-Y59</f>
        <v>42.7962856041733</v>
      </c>
      <c r="AA59" s="66" t="n">
        <f aca="false">M59/Economy!O59</f>
        <v>0.101281793835439</v>
      </c>
      <c r="AB59" s="66" t="n">
        <f aca="false">Y59/Economy!O59</f>
        <v>0.0896779031179597</v>
      </c>
      <c r="AC59" s="66" t="n">
        <f aca="false">(N59+O59+P59)/Economy!O59</f>
        <v>0.0100473360443024</v>
      </c>
    </row>
    <row r="60" customFormat="false" ht="14.25" hidden="false" customHeight="false" outlineLevel="0" collapsed="false">
      <c r="A60" s="61" t="n">
        <v>1900</v>
      </c>
      <c r="B60" s="56" t="n">
        <f aca="false">Economy!O60*Paths!N60*Paths!O60*cust_coll</f>
        <v>87.5958689198368</v>
      </c>
      <c r="C60" s="56" t="n">
        <f aca="false">(Economy!J60+Economy!L60+Economy!M60+Economy!N60)*Paths!P60*Paths!Q60</f>
        <v>249.457582086006</v>
      </c>
      <c r="D60" s="56" t="n">
        <f aca="false">Resources!P60+Resources!Q60</f>
        <v>7.24875</v>
      </c>
      <c r="E60" s="56" t="n">
        <f aca="false">Paths!S60*(1-canal_opcost)*canal_share</f>
        <v>0</v>
      </c>
      <c r="F60" s="56" t="n">
        <f aca="false">Economy!O60*Paths!R60</f>
        <v>8.1107286036886</v>
      </c>
      <c r="G60" s="56" t="n">
        <f aca="false">SUMPRODUCT((Events!$B$6:$B$174&lt;=$A60)*(Events!$C$6:$C$174&gt;=$A60)*(Events!$E$6:$E$174="Receipt")*Events!$H$6:$H$174)</f>
        <v>2.4</v>
      </c>
      <c r="H60" s="72" t="n">
        <f aca="false">Loans!Y60</f>
        <v>8.74976551204819</v>
      </c>
      <c r="I60" s="56" t="n">
        <f aca="false">'Debt &amp; cash'!S59*fund_yield</f>
        <v>0.153039464129516</v>
      </c>
      <c r="J60" s="72" t="n">
        <f aca="false">Labour!Q60</f>
        <v>32.6269925638968</v>
      </c>
      <c r="K60" s="72" t="n">
        <f aca="false">Champions!BD60</f>
        <v>7.88318317771776</v>
      </c>
      <c r="L60" s="72" t="n">
        <f aca="false">Abroad!N60</f>
        <v>6.42847379315629</v>
      </c>
      <c r="M60" s="56" t="n">
        <f aca="false">SUM(B60:L60)</f>
        <v>410.65438412048</v>
      </c>
      <c r="N60" s="56" t="n">
        <f aca="false">(Paths!W60*army_cost+Paths!X60*res_cost)*Economy!H60/1000000</f>
        <v>17.67</v>
      </c>
      <c r="O60" s="72" t="n">
        <f aca="false">Navy!Y60</f>
        <v>14.693034</v>
      </c>
      <c r="P60" s="56" t="n">
        <f aca="false">SUMPRODUCT((Events!$B$6:$B$174&lt;=$A60)*(Events!$C$6:$C$174&gt;=$A60)*(Events!$E$6:$E$174="War &amp; operations")*Events!$H$6:$H$174)</f>
        <v>1</v>
      </c>
      <c r="Q60" s="56" t="n">
        <f aca="false">Economy!O60*Paths!T60</f>
        <v>145.993114866395</v>
      </c>
      <c r="R60" s="56" t="n">
        <f aca="false">Economy!O60*Paths!U60</f>
        <v>81.107286036886</v>
      </c>
      <c r="S60" s="56" t="n">
        <f aca="false">Economy!O60*Paths!V60+SUMPRODUCT((Events!$B$6:$B$174&lt;=$A60)*(Events!$C$6:$C$174&gt;=$A60)*(Events!$E$6:$E$174="Programme")*Events!$H$6:$H$174)+SUMPRODUCT((Events!$B$6:$B$174&lt;=$A60)*(Events!$C$6:$C$174&gt;=$A60)*(Events!$E$6:$E$174="Investment")*Events!$H$6:$H$174)</f>
        <v>47.7782787165987</v>
      </c>
      <c r="T60" s="56" t="n">
        <f aca="false">(People!T60*assist_cost+Labour!AD60*talent_cost+Labour!L60*gw_admin)*Economy!H60/1000000</f>
        <v>14.8981066695475</v>
      </c>
      <c r="U60" s="56" t="n">
        <f aca="false">SUMPRODUCT((Events!$B$6:$B$174&lt;=$A60)*(Events!$C$6:$C$174&gt;=$A60)*(Events!$E$6:$E$174="Purchase")*Events!$H$6:$H$174)</f>
        <v>18.75</v>
      </c>
      <c r="V60" s="56" t="n">
        <f aca="false">SUMPRODUCT((Events!$B$6:$B$174&lt;=$A60)*(Events!$C$6:$C$174&gt;=$A60)*(Events!$E$6:$E$174="Subsidy &amp; guarantee")*Events!$H$6:$H$174)+SUMPRODUCT((Events!$B$6:$B$174&lt;=$A60)*(Events!$C$6:$C$174&gt;=$A60)*(Events!$E$6:$E$174="Relief")*Events!$H$6:$H$174)</f>
        <v>1.85</v>
      </c>
      <c r="W60" s="56" t="n">
        <f aca="false">SUMPRODUCT((Events!$B$6:$B$174&lt;=$A60)*(Events!$C$6:$C$174&gt;=$A60)*(Events!$E$6:$E$174="Bank rescue &amp; capital")*Events!$H$6:$H$174)</f>
        <v>10</v>
      </c>
      <c r="X60" s="56" t="n">
        <f aca="false">'Debt &amp; cash'!R59*Paths!Y60</f>
        <v>7.83720815052796</v>
      </c>
      <c r="Y60" s="56" t="n">
        <f aca="false">SUM(N60:X60)</f>
        <v>361.577028439955</v>
      </c>
      <c r="Z60" s="56" t="n">
        <f aca="false">M60-Y60</f>
        <v>49.0773556805254</v>
      </c>
      <c r="AA60" s="66" t="n">
        <f aca="false">M60/Economy!O60</f>
        <v>0.101262020759448</v>
      </c>
      <c r="AB60" s="66" t="n">
        <f aca="false">Y60/Economy!O60</f>
        <v>0.0891601842713654</v>
      </c>
      <c r="AC60" s="66" t="n">
        <f aca="false">(N60+O60+P60)/Economy!O60</f>
        <v>0.00822688950159845</v>
      </c>
    </row>
    <row r="61" customFormat="false" ht="14.25" hidden="false" customHeight="false" outlineLevel="0" collapsed="false">
      <c r="A61" s="61" t="n">
        <v>1901</v>
      </c>
      <c r="B61" s="56" t="n">
        <f aca="false">Economy!O61*Paths!N61*Paths!O61*cust_coll</f>
        <v>95.127388802462</v>
      </c>
      <c r="C61" s="56" t="n">
        <f aca="false">(Economy!J61+Economy!L61+Economy!M61+Economy!N61)*Paths!P61*Paths!Q61</f>
        <v>272.860289180656</v>
      </c>
      <c r="D61" s="56" t="n">
        <f aca="false">Resources!P61+Resources!Q61</f>
        <v>7.8495</v>
      </c>
      <c r="E61" s="56" t="n">
        <f aca="false">Paths!S61*(1-canal_opcost)*canal_share</f>
        <v>2.4</v>
      </c>
      <c r="F61" s="56" t="n">
        <f aca="false">Economy!O61*Paths!R61</f>
        <v>8.87018283563295</v>
      </c>
      <c r="G61" s="56" t="n">
        <f aca="false">SUMPRODUCT((Events!$B$6:$B$174&lt;=$A61)*(Events!$C$6:$C$174&gt;=$A61)*(Events!$E$6:$E$174="Receipt")*Events!$H$6:$H$174)</f>
        <v>2.4</v>
      </c>
      <c r="H61" s="72" t="n">
        <f aca="false">Loans!Y61</f>
        <v>8.40093279793387</v>
      </c>
      <c r="I61" s="56" t="n">
        <f aca="false">'Debt &amp; cash'!S60*fund_yield</f>
        <v>0.255704837405398</v>
      </c>
      <c r="J61" s="72" t="n">
        <f aca="false">Labour!Q61</f>
        <v>35.6279979412364</v>
      </c>
      <c r="K61" s="72" t="n">
        <f aca="false">Champions!BD61</f>
        <v>10.7409862205015</v>
      </c>
      <c r="L61" s="72" t="n">
        <f aca="false">Abroad!N61</f>
        <v>11.258121580456</v>
      </c>
      <c r="M61" s="56" t="n">
        <f aca="false">SUM(B61:L61)</f>
        <v>455.791104196284</v>
      </c>
      <c r="N61" s="56" t="n">
        <f aca="false">(Paths!W61*army_cost+Paths!X61*res_cost)*Economy!H61/1000000</f>
        <v>18.18832</v>
      </c>
      <c r="O61" s="72" t="n">
        <f aca="false">Navy!Y61</f>
        <v>15.7189258</v>
      </c>
      <c r="P61" s="56" t="n">
        <f aca="false">SUMPRODUCT((Events!$B$6:$B$174&lt;=$A61)*(Events!$C$6:$C$174&gt;=$A61)*(Events!$E$6:$E$174="War &amp; operations")*Events!$H$6:$H$174)</f>
        <v>0</v>
      </c>
      <c r="Q61" s="56" t="n">
        <f aca="false">Economy!O61*Paths!T61</f>
        <v>160.993818466738</v>
      </c>
      <c r="R61" s="56" t="n">
        <f aca="false">Economy!O61*Paths!U61</f>
        <v>88.7018283563295</v>
      </c>
      <c r="S61" s="56" t="n">
        <f aca="false">Economy!O61*Paths!V61+SUMPRODUCT((Events!$B$6:$B$174&lt;=$A61)*(Events!$C$6:$C$174&gt;=$A61)*(Events!$E$6:$E$174="Programme")*Events!$H$6:$H$174)+SUMPRODUCT((Events!$B$6:$B$174&lt;=$A61)*(Events!$C$6:$C$174&gt;=$A61)*(Events!$E$6:$E$174="Investment")*Events!$H$6:$H$174)</f>
        <v>46.6523136185666</v>
      </c>
      <c r="T61" s="56" t="n">
        <f aca="false">(People!T61*assist_cost+Labour!AD61*talent_cost+Labour!L61*gw_admin)*Economy!H61/1000000</f>
        <v>15.7937247168286</v>
      </c>
      <c r="U61" s="56" t="n">
        <f aca="false">SUMPRODUCT((Events!$B$6:$B$174&lt;=$A61)*(Events!$C$6:$C$174&gt;=$A61)*(Events!$E$6:$E$174="Purchase")*Events!$H$6:$H$174)</f>
        <v>18.75</v>
      </c>
      <c r="V61" s="56" t="n">
        <f aca="false">SUMPRODUCT((Events!$B$6:$B$174&lt;=$A61)*(Events!$C$6:$C$174&gt;=$A61)*(Events!$E$6:$E$174="Subsidy &amp; guarantee")*Events!$H$6:$H$174)+SUMPRODUCT((Events!$B$6:$B$174&lt;=$A61)*(Events!$C$6:$C$174&gt;=$A61)*(Events!$E$6:$E$174="Relief")*Events!$H$6:$H$174)</f>
        <v>0.75</v>
      </c>
      <c r="W61" s="56" t="n">
        <f aca="false">SUMPRODUCT((Events!$B$6:$B$174&lt;=$A61)*(Events!$C$6:$C$174&gt;=$A61)*(Events!$E$6:$E$174="Bank rescue &amp; capital")*Events!$H$6:$H$174)</f>
        <v>0</v>
      </c>
      <c r="X61" s="56" t="n">
        <f aca="false">'Debt &amp; cash'!R60*Paths!Y61</f>
        <v>8.51626503387303</v>
      </c>
      <c r="Y61" s="56" t="n">
        <f aca="false">SUM(N61:X61)</f>
        <v>374.065195992336</v>
      </c>
      <c r="Z61" s="56" t="n">
        <f aca="false">M61-Y61</f>
        <v>81.7259082039486</v>
      </c>
      <c r="AA61" s="66" t="n">
        <f aca="false">M61/Economy!O61</f>
        <v>0.102769269279388</v>
      </c>
      <c r="AB61" s="66" t="n">
        <f aca="false">Y61/Economy!O61</f>
        <v>0.0843421613565068</v>
      </c>
      <c r="AC61" s="66" t="n">
        <f aca="false">(N61+O61+P61)/Economy!O61</f>
        <v>0.00764521914109575</v>
      </c>
    </row>
    <row r="62" customFormat="false" ht="14.25" hidden="false" customHeight="false" outlineLevel="0" collapsed="false">
      <c r="A62" s="61" t="n">
        <v>1902</v>
      </c>
      <c r="B62" s="56" t="n">
        <f aca="false">Economy!O62*Paths!N62*Paths!O62*cust_coll</f>
        <v>103.442379931374</v>
      </c>
      <c r="C62" s="56" t="n">
        <f aca="false">(Economy!J62+Economy!L62+Economy!M62+Economy!N62)*Paths!P62*Paths!Q62</f>
        <v>298.929232643427</v>
      </c>
      <c r="D62" s="56" t="n">
        <f aca="false">Resources!P62+Resources!Q62</f>
        <v>8.37275</v>
      </c>
      <c r="E62" s="56" t="n">
        <f aca="false">Paths!S62*(1-canal_opcost)*canal_share</f>
        <v>3.6</v>
      </c>
      <c r="F62" s="56" t="n">
        <f aca="false">Economy!O62*Paths!R62</f>
        <v>9.71399405861452</v>
      </c>
      <c r="G62" s="56" t="n">
        <f aca="false">SUMPRODUCT((Events!$B$6:$B$174&lt;=$A62)*(Events!$C$6:$C$174&gt;=$A62)*(Events!$E$6:$E$174="Receipt")*Events!$H$6:$H$174)</f>
        <v>2.4</v>
      </c>
      <c r="H62" s="72" t="n">
        <f aca="false">Loans!Y62</f>
        <v>8.06601865519309</v>
      </c>
      <c r="I62" s="56" t="n">
        <f aca="false">'Debt &amp; cash'!S61*fund_yield</f>
        <v>0.430395198217639</v>
      </c>
      <c r="J62" s="72" t="n">
        <f aca="false">Labour!Q62</f>
        <v>39.1516377868807</v>
      </c>
      <c r="K62" s="72" t="n">
        <f aca="false">Champions!BD62</f>
        <v>12.3532897442641</v>
      </c>
      <c r="L62" s="72" t="n">
        <f aca="false">Abroad!N62</f>
        <v>12.7542324366414</v>
      </c>
      <c r="M62" s="56" t="n">
        <f aca="false">SUM(B62:L62)</f>
        <v>499.213930454612</v>
      </c>
      <c r="N62" s="56" t="n">
        <f aca="false">(Paths!W62*army_cost+Paths!X62*res_cost)*Economy!H62/1000000</f>
        <v>18.72584</v>
      </c>
      <c r="O62" s="72" t="n">
        <f aca="false">Navy!Y62</f>
        <v>18.3396938</v>
      </c>
      <c r="P62" s="56" t="n">
        <f aca="false">SUMPRODUCT((Events!$B$6:$B$174&lt;=$A62)*(Events!$C$6:$C$174&gt;=$A62)*(Events!$E$6:$E$174="War &amp; operations")*Events!$H$6:$H$174)</f>
        <v>0</v>
      </c>
      <c r="Q62" s="56" t="n">
        <f aca="false">Economy!O62*Paths!T62</f>
        <v>177.766091272646</v>
      </c>
      <c r="R62" s="56" t="n">
        <f aca="false">Economy!O62*Paths!U62</f>
        <v>97.1399405861452</v>
      </c>
      <c r="S62" s="56" t="n">
        <f aca="false">Economy!O62*Paths!V62+SUMPRODUCT((Events!$B$6:$B$174&lt;=$A62)*(Events!$C$6:$C$174&gt;=$A62)*(Events!$E$6:$E$174="Programme")*Events!$H$6:$H$174)+SUMPRODUCT((Events!$B$6:$B$174&lt;=$A62)*(Events!$C$6:$C$174&gt;=$A62)*(Events!$E$6:$E$174="Investment")*Events!$H$6:$H$174)</f>
        <v>48.9215738579039</v>
      </c>
      <c r="T62" s="56" t="n">
        <f aca="false">(People!T62*assist_cost+Labour!AD62*talent_cost+Labour!L62*gw_admin)*Economy!H62/1000000</f>
        <v>16.7973597427738</v>
      </c>
      <c r="U62" s="56" t="n">
        <f aca="false">SUMPRODUCT((Events!$B$6:$B$174&lt;=$A62)*(Events!$C$6:$C$174&gt;=$A62)*(Events!$E$6:$E$174="Purchase")*Events!$H$6:$H$174)</f>
        <v>0</v>
      </c>
      <c r="V62" s="56" t="n">
        <f aca="false">SUMPRODUCT((Events!$B$6:$B$174&lt;=$A62)*(Events!$C$6:$C$174&gt;=$A62)*(Events!$E$6:$E$174="Subsidy &amp; guarantee")*Events!$H$6:$H$174)+SUMPRODUCT((Events!$B$6:$B$174&lt;=$A62)*(Events!$C$6:$C$174&gt;=$A62)*(Events!$E$6:$E$174="Relief")*Events!$H$6:$H$174)</f>
        <v>0.75</v>
      </c>
      <c r="W62" s="56" t="n">
        <f aca="false">SUMPRODUCT((Events!$B$6:$B$174&lt;=$A62)*(Events!$C$6:$C$174&gt;=$A62)*(Events!$E$6:$E$174="Bank rescue &amp; capital")*Events!$H$6:$H$174)</f>
        <v>0</v>
      </c>
      <c r="X62" s="56" t="n">
        <f aca="false">'Debt &amp; cash'!R61*Paths!Y62</f>
        <v>9.20281469196919</v>
      </c>
      <c r="Y62" s="56" t="n">
        <f aca="false">SUM(N62:X62)</f>
        <v>387.643313951438</v>
      </c>
      <c r="Z62" s="56" t="n">
        <f aca="false">M62-Y62</f>
        <v>111.570616503175</v>
      </c>
      <c r="AA62" s="66" t="n">
        <f aca="false">M62/Economy!O62</f>
        <v>0.102782424498582</v>
      </c>
      <c r="AB62" s="66" t="n">
        <f aca="false">Y62/Economy!O62</f>
        <v>0.079811313783473</v>
      </c>
      <c r="AC62" s="66" t="n">
        <f aca="false">(N62+O62+P62)/Economy!O62</f>
        <v>0.00763136843122314</v>
      </c>
    </row>
    <row r="63" customFormat="false" ht="14.25" hidden="false" customHeight="false" outlineLevel="0" collapsed="false">
      <c r="A63" s="61" t="n">
        <v>1903</v>
      </c>
      <c r="B63" s="56" t="n">
        <f aca="false">Economy!O63*Paths!N63*Paths!O63*cust_coll</f>
        <v>112.650176904262</v>
      </c>
      <c r="C63" s="56" t="n">
        <f aca="false">(Economy!J63+Economy!L63+Economy!M63+Economy!N63)*Paths!P63*Paths!Q63</f>
        <v>327.8975065666</v>
      </c>
      <c r="D63" s="56" t="n">
        <f aca="false">Resources!P63+Resources!Q63</f>
        <v>8.796</v>
      </c>
      <c r="E63" s="56" t="n">
        <f aca="false">Paths!S63*(1-canal_opcost)*canal_share</f>
        <v>4.8</v>
      </c>
      <c r="F63" s="56" t="n">
        <f aca="false">Economy!O63*Paths!R63</f>
        <v>10.6488738494944</v>
      </c>
      <c r="G63" s="56" t="n">
        <f aca="false">SUMPRODUCT((Events!$B$6:$B$174&lt;=$A63)*(Events!$C$6:$C$174&gt;=$A63)*(Events!$E$6:$E$174="Receipt")*Events!$H$6:$H$174)</f>
        <v>2.4</v>
      </c>
      <c r="H63" s="72" t="n">
        <f aca="false">Loans!Y63</f>
        <v>7.74446738308665</v>
      </c>
      <c r="I63" s="56" t="n">
        <f aca="false">'Debt &amp; cash'!S62*fund_yield</f>
        <v>0.676216944024082</v>
      </c>
      <c r="J63" s="72" t="n">
        <f aca="false">Labour!Q63</f>
        <v>43.1478974877788</v>
      </c>
      <c r="K63" s="72" t="n">
        <f aca="false">Champions!BD63</f>
        <v>14.0713030947728</v>
      </c>
      <c r="L63" s="72" t="n">
        <f aca="false">Abroad!N63</f>
        <v>14.391950861101</v>
      </c>
      <c r="M63" s="56" t="n">
        <f aca="false">SUM(B63:L63)</f>
        <v>547.22439309112</v>
      </c>
      <c r="N63" s="56" t="n">
        <f aca="false">(Paths!W63*army_cost+Paths!X63*res_cost)*Economy!H63/1000000</f>
        <v>19.25922</v>
      </c>
      <c r="O63" s="72" t="n">
        <f aca="false">Navy!Y63</f>
        <v>20.66852</v>
      </c>
      <c r="P63" s="56" t="n">
        <f aca="false">SUMPRODUCT((Events!$B$6:$B$174&lt;=$A63)*(Events!$C$6:$C$174&gt;=$A63)*(Events!$E$6:$E$174="War &amp; operations")*Events!$H$6:$H$174)</f>
        <v>0</v>
      </c>
      <c r="Q63" s="56" t="n">
        <f aca="false">Economy!O63*Paths!T63</f>
        <v>196.471722523173</v>
      </c>
      <c r="R63" s="56" t="n">
        <f aca="false">Economy!O63*Paths!U63</f>
        <v>106.488738494944</v>
      </c>
      <c r="S63" s="56" t="n">
        <f aca="false">Economy!O63*Paths!V63+SUMPRODUCT((Events!$B$6:$B$174&lt;=$A63)*(Events!$C$6:$C$174&gt;=$A63)*(Events!$E$6:$E$174="Programme")*Events!$H$6:$H$174)+SUMPRODUCT((Events!$B$6:$B$174&lt;=$A63)*(Events!$C$6:$C$174&gt;=$A63)*(Events!$E$6:$E$174="Investment")*Events!$H$6:$H$174)</f>
        <v>50.0350449377756</v>
      </c>
      <c r="T63" s="56" t="n">
        <f aca="false">(People!T63*assist_cost+Labour!AD63*talent_cost+Labour!L63*gw_admin)*Economy!H63/1000000</f>
        <v>17.8980826176941</v>
      </c>
      <c r="U63" s="56" t="n">
        <f aca="false">SUMPRODUCT((Events!$B$6:$B$174&lt;=$A63)*(Events!$C$6:$C$174&gt;=$A63)*(Events!$E$6:$E$174="Purchase")*Events!$H$6:$H$174)</f>
        <v>0</v>
      </c>
      <c r="V63" s="56" t="n">
        <f aca="false">SUMPRODUCT((Events!$B$6:$B$174&lt;=$A63)*(Events!$C$6:$C$174&gt;=$A63)*(Events!$E$6:$E$174="Subsidy &amp; guarantee")*Events!$H$6:$H$174)+SUMPRODUCT((Events!$B$6:$B$174&lt;=$A63)*(Events!$C$6:$C$174&gt;=$A63)*(Events!$E$6:$E$174="Relief")*Events!$H$6:$H$174)</f>
        <v>0.55</v>
      </c>
      <c r="W63" s="56" t="n">
        <f aca="false">SUMPRODUCT((Events!$B$6:$B$174&lt;=$A63)*(Events!$C$6:$C$174&gt;=$A63)*(Events!$E$6:$E$174="Bank rescue &amp; capital")*Events!$H$6:$H$174)</f>
        <v>0</v>
      </c>
      <c r="X63" s="56" t="n">
        <f aca="false">'Debt &amp; cash'!R62*Paths!Y63</f>
        <v>9.95684391007988</v>
      </c>
      <c r="Y63" s="56" t="n">
        <f aca="false">SUM(N63:X63)</f>
        <v>421.328172483667</v>
      </c>
      <c r="Z63" s="56" t="n">
        <f aca="false">M63-Y63</f>
        <v>125.896220607453</v>
      </c>
      <c r="AA63" s="66" t="n">
        <f aca="false">M63/Economy!O63</f>
        <v>0.102776011966204</v>
      </c>
      <c r="AB63" s="66" t="n">
        <f aca="false">Y63/Economy!O63</f>
        <v>0.0791310289592113</v>
      </c>
      <c r="AC63" s="66" t="n">
        <f aca="false">(N63+O63+P63)/Economy!O63</f>
        <v>0.00749896008992455</v>
      </c>
    </row>
    <row r="64" customFormat="false" ht="14.25" hidden="false" customHeight="false" outlineLevel="0" collapsed="false">
      <c r="A64" s="61" t="n">
        <v>1904</v>
      </c>
      <c r="B64" s="56" t="n">
        <f aca="false">Economy!O64*Paths!N64*Paths!O64*cust_coll</f>
        <v>122.56686042025</v>
      </c>
      <c r="C64" s="56" t="n">
        <f aca="false">(Economy!J64+Economy!L64+Economy!M64+Economy!N64)*Paths!P64*Paths!Q64</f>
        <v>359.582006453335</v>
      </c>
      <c r="D64" s="56" t="n">
        <f aca="false">Resources!P64+Resources!Q64</f>
        <v>9.14175</v>
      </c>
      <c r="E64" s="56" t="n">
        <f aca="false">Paths!S64*(1-canal_opcost)*canal_share</f>
        <v>5.4</v>
      </c>
      <c r="F64" s="56" t="n">
        <f aca="false">Economy!O64*Paths!R64</f>
        <v>11.6697001257022</v>
      </c>
      <c r="G64" s="56" t="n">
        <f aca="false">SUMPRODUCT((Events!$B$6:$B$174&lt;=$A64)*(Events!$C$6:$C$174&gt;=$A64)*(Events!$E$6:$E$174="Receipt")*Events!$H$6:$H$174)</f>
        <v>2.4</v>
      </c>
      <c r="H64" s="72" t="n">
        <f aca="false">Loans!Y64</f>
        <v>7.43574547764143</v>
      </c>
      <c r="I64" s="56" t="n">
        <f aca="false">'Debt &amp; cash'!S63*fund_yield</f>
        <v>0.952066545974751</v>
      </c>
      <c r="J64" s="72" t="n">
        <f aca="false">Labour!Q64</f>
        <v>47.531743590799</v>
      </c>
      <c r="K64" s="72" t="n">
        <f aca="false">Champions!BD64</f>
        <v>16.0031444599961</v>
      </c>
      <c r="L64" s="72" t="n">
        <f aca="false">Abroad!N64</f>
        <v>16.1894643263763</v>
      </c>
      <c r="M64" s="56" t="n">
        <f aca="false">SUM(B64:L64)</f>
        <v>598.872481400075</v>
      </c>
      <c r="N64" s="56" t="n">
        <f aca="false">(Paths!W64*army_cost+Paths!X64*res_cost)*Economy!H64/1000000</f>
        <v>19.80004</v>
      </c>
      <c r="O64" s="72" t="n">
        <f aca="false">Navy!Y64</f>
        <v>21.5080869</v>
      </c>
      <c r="P64" s="56" t="n">
        <f aca="false">SUMPRODUCT((Events!$B$6:$B$174&lt;=$A64)*(Events!$C$6:$C$174&gt;=$A64)*(Events!$E$6:$E$174="War &amp; operations")*Events!$H$6:$H$174)</f>
        <v>3</v>
      </c>
      <c r="Q64" s="56" t="n">
        <f aca="false">Economy!O64*Paths!T64</f>
        <v>217.056422338061</v>
      </c>
      <c r="R64" s="56" t="n">
        <f aca="false">Economy!O64*Paths!U64</f>
        <v>116.697001257022</v>
      </c>
      <c r="S64" s="56" t="n">
        <f aca="false">Economy!O64*Paths!V64+SUMPRODUCT((Events!$B$6:$B$174&lt;=$A64)*(Events!$C$6:$C$174&gt;=$A64)*(Events!$E$6:$E$174="Programme")*Events!$H$6:$H$174)+SUMPRODUCT((Events!$B$6:$B$174&lt;=$A64)*(Events!$C$6:$C$174&gt;=$A64)*(Events!$E$6:$E$174="Investment")*Events!$H$6:$H$174)</f>
        <v>53.9431955468047</v>
      </c>
      <c r="T64" s="56" t="n">
        <f aca="false">(People!T64*assist_cost+Labour!AD64*talent_cost+Labour!L64*gw_admin)*Economy!H64/1000000</f>
        <v>19.0822229038807</v>
      </c>
      <c r="U64" s="56" t="n">
        <f aca="false">SUMPRODUCT((Events!$B$6:$B$174&lt;=$A64)*(Events!$C$6:$C$174&gt;=$A64)*(Events!$E$6:$E$174="Purchase")*Events!$H$6:$H$174)</f>
        <v>0</v>
      </c>
      <c r="V64" s="56" t="n">
        <f aca="false">SUMPRODUCT((Events!$B$6:$B$174&lt;=$A64)*(Events!$C$6:$C$174&gt;=$A64)*(Events!$E$6:$E$174="Subsidy &amp; guarantee")*Events!$H$6:$H$174)+SUMPRODUCT((Events!$B$6:$B$174&lt;=$A64)*(Events!$C$6:$C$174&gt;=$A64)*(Events!$E$6:$E$174="Relief")*Events!$H$6:$H$174)</f>
        <v>0.55</v>
      </c>
      <c r="W64" s="56" t="n">
        <f aca="false">SUMPRODUCT((Events!$B$6:$B$174&lt;=$A64)*(Events!$C$6:$C$174&gt;=$A64)*(Events!$E$6:$E$174="Bank rescue &amp; capital")*Events!$H$6:$H$174)</f>
        <v>0</v>
      </c>
      <c r="X64" s="56" t="n">
        <f aca="false">'Debt &amp; cash'!R63*Paths!Y64</f>
        <v>10.7819847726131</v>
      </c>
      <c r="Y64" s="56" t="n">
        <f aca="false">SUM(N64:X64)</f>
        <v>462.418953718382</v>
      </c>
      <c r="Z64" s="56" t="n">
        <f aca="false">M64-Y64</f>
        <v>136.453527681693</v>
      </c>
      <c r="AA64" s="66" t="n">
        <f aca="false">M64/Economy!O64</f>
        <v>0.102637167184969</v>
      </c>
      <c r="AB64" s="66" t="n">
        <f aca="false">Y64/Economy!O64</f>
        <v>0.079251214467785</v>
      </c>
      <c r="AC64" s="66" t="n">
        <f aca="false">(N64+O64+P64)/Economy!O64</f>
        <v>0.00759370445216711</v>
      </c>
    </row>
    <row r="65" customFormat="false" ht="14.25" hidden="false" customHeight="false" outlineLevel="0" collapsed="false">
      <c r="A65" s="61" t="n">
        <v>1905</v>
      </c>
      <c r="B65" s="56" t="n">
        <f aca="false">Economy!O65*Paths!N65*Paths!O65*cust_coll</f>
        <v>132.964267913229</v>
      </c>
      <c r="C65" s="56" t="n">
        <f aca="false">(Economy!J65+Economy!L65+Economy!M65+Economy!N65)*Paths!P65*Paths!Q65</f>
        <v>393.217168802007</v>
      </c>
      <c r="D65" s="56" t="n">
        <f aca="false">Resources!P65+Resources!Q65</f>
        <v>9.3875</v>
      </c>
      <c r="E65" s="56" t="n">
        <f aca="false">Paths!S65*(1-canal_opcost)*canal_share</f>
        <v>6</v>
      </c>
      <c r="F65" s="56" t="n">
        <f aca="false">Economy!O65*Paths!R65</f>
        <v>12.7514306455328</v>
      </c>
      <c r="G65" s="56" t="n">
        <f aca="false">SUMPRODUCT((Events!$B$6:$B$174&lt;=$A65)*(Events!$C$6:$C$174&gt;=$A65)*(Events!$E$6:$E$174="Receipt")*Events!$H$6:$H$174)</f>
        <v>2.4</v>
      </c>
      <c r="H65" s="72" t="n">
        <f aca="false">Loans!Y65</f>
        <v>8.78934074471767</v>
      </c>
      <c r="I65" s="56" t="n">
        <f aca="false">'Debt &amp; cash'!S64*fund_yield</f>
        <v>1.17738430581069</v>
      </c>
      <c r="J65" s="72" t="n">
        <f aca="false">Labour!Q65</f>
        <v>52.2608605091902</v>
      </c>
      <c r="K65" s="72" t="n">
        <f aca="false">Champions!BD65</f>
        <v>17.9897861221812</v>
      </c>
      <c r="L65" s="72" t="n">
        <f aca="false">Abroad!N65</f>
        <v>18.1075428381808</v>
      </c>
      <c r="M65" s="56" t="n">
        <f aca="false">SUM(B65:L65)</f>
        <v>655.045281880849</v>
      </c>
      <c r="N65" s="56" t="n">
        <f aca="false">(Paths!W65*army_cost+Paths!X65*res_cost)*Economy!H65/1000000</f>
        <v>20.3606</v>
      </c>
      <c r="O65" s="72" t="n">
        <f aca="false">Navy!Y65</f>
        <v>28.711684</v>
      </c>
      <c r="P65" s="56" t="n">
        <f aca="false">SUMPRODUCT((Events!$B$6:$B$174&lt;=$A65)*(Events!$C$6:$C$174&gt;=$A65)*(Events!$E$6:$E$174="War &amp; operations")*Events!$H$6:$H$174)</f>
        <v>3</v>
      </c>
      <c r="Q65" s="56" t="n">
        <f aca="false">Economy!O65*Paths!T65</f>
        <v>239.08932460374</v>
      </c>
      <c r="R65" s="56" t="n">
        <f aca="false">Economy!O65*Paths!U65</f>
        <v>127.514306455328</v>
      </c>
      <c r="S65" s="56" t="n">
        <f aca="false">Economy!O65*Paths!V65+SUMPRODUCT((Events!$B$6:$B$174&lt;=$A65)*(Events!$C$6:$C$174&gt;=$A65)*(Events!$E$6:$E$174="Programme")*Events!$H$6:$H$174)+SUMPRODUCT((Events!$B$6:$B$174&lt;=$A65)*(Events!$C$6:$C$174&gt;=$A65)*(Events!$E$6:$E$174="Investment")*Events!$H$6:$H$174)</f>
        <v>58.0111517757911</v>
      </c>
      <c r="T65" s="56" t="n">
        <f aca="false">(People!T65*assist_cost+Labour!AD65*talent_cost+Labour!L65*gw_admin)*Economy!H65/1000000</f>
        <v>20.3474081904267</v>
      </c>
      <c r="U65" s="56" t="n">
        <f aca="false">SUMPRODUCT((Events!$B$6:$B$174&lt;=$A65)*(Events!$C$6:$C$174&gt;=$A65)*(Events!$E$6:$E$174="Purchase")*Events!$H$6:$H$174)</f>
        <v>0</v>
      </c>
      <c r="V65" s="56" t="n">
        <f aca="false">SUMPRODUCT((Events!$B$6:$B$174&lt;=$A65)*(Events!$C$6:$C$174&gt;=$A65)*(Events!$E$6:$E$174="Subsidy &amp; guarantee")*Events!$H$6:$H$174)+SUMPRODUCT((Events!$B$6:$B$174&lt;=$A65)*(Events!$C$6:$C$174&gt;=$A65)*(Events!$E$6:$E$174="Relief")*Events!$H$6:$H$174)</f>
        <v>0.55</v>
      </c>
      <c r="W65" s="56" t="n">
        <f aca="false">SUMPRODUCT((Events!$B$6:$B$174&lt;=$A65)*(Events!$C$6:$C$174&gt;=$A65)*(Events!$E$6:$E$174="Bank rescue &amp; capital")*Events!$H$6:$H$174)</f>
        <v>0</v>
      </c>
      <c r="X65" s="56" t="n">
        <f aca="false">'Debt &amp; cash'!R64*Paths!Y65</f>
        <v>11.6697001257022</v>
      </c>
      <c r="Y65" s="56" t="n">
        <f aca="false">SUM(N65:X65)</f>
        <v>509.254175150988</v>
      </c>
      <c r="Z65" s="56" t="n">
        <f aca="false">M65-Y65</f>
        <v>145.791106729861</v>
      </c>
      <c r="AA65" s="66" t="n">
        <f aca="false">M65/Economy!O65</f>
        <v>0.102740672806048</v>
      </c>
      <c r="AB65" s="66" t="n">
        <f aca="false">Y65/Economy!O65</f>
        <v>0.07987404540045</v>
      </c>
      <c r="AC65" s="66" t="n">
        <f aca="false">(N65+O65+P65)/Economy!O65</f>
        <v>0.00816728498119424</v>
      </c>
    </row>
    <row r="66" customFormat="false" ht="14.25" hidden="false" customHeight="false" outlineLevel="0" collapsed="false">
      <c r="A66" s="61" t="n">
        <v>1906</v>
      </c>
      <c r="B66" s="56" t="n">
        <f aca="false">Economy!O66*Paths!N66*Paths!O66*cust_coll</f>
        <v>146.140448755941</v>
      </c>
      <c r="C66" s="56" t="n">
        <f aca="false">(Economy!J66+Economy!L66+Economy!M66+Economy!N66)*Paths!P66*Paths!Q66</f>
        <v>435.406220304136</v>
      </c>
      <c r="D66" s="56" t="n">
        <f aca="false">Resources!P66+Resources!Q66</f>
        <v>10.447</v>
      </c>
      <c r="E66" s="56" t="n">
        <f aca="false">Paths!S66*(1-canal_opcost)*canal_share</f>
        <v>6.48</v>
      </c>
      <c r="F66" s="56" t="n">
        <f aca="false">Economy!O66*Paths!R66</f>
        <v>14.1173949222301</v>
      </c>
      <c r="G66" s="56" t="n">
        <f aca="false">SUMPRODUCT((Events!$B$6:$B$174&lt;=$A66)*(Events!$C$6:$C$174&gt;=$A66)*(Events!$E$6:$E$174="Receipt")*Events!$H$6:$H$174)</f>
        <v>2.4</v>
      </c>
      <c r="H66" s="72" t="n">
        <f aca="false">Loans!Y66</f>
        <v>10.0887614485254</v>
      </c>
      <c r="I66" s="56" t="n">
        <f aca="false">'Debt &amp; cash'!S65*fund_yield</f>
        <v>1.42351004085162</v>
      </c>
      <c r="J66" s="72" t="n">
        <f aca="false">Labour!Q66</f>
        <v>58.1109944820345</v>
      </c>
      <c r="K66" s="72" t="n">
        <f aca="false">Champions!BD66</f>
        <v>19.8649727239632</v>
      </c>
      <c r="L66" s="72" t="n">
        <f aca="false">Abroad!N66</f>
        <v>19.9330292850169</v>
      </c>
      <c r="M66" s="56" t="n">
        <f aca="false">SUM(B66:L66)</f>
        <v>724.412331962699</v>
      </c>
      <c r="N66" s="56" t="n">
        <f aca="false">(Paths!W66*army_cost+Paths!X66*res_cost)*Economy!H66/1000000</f>
        <v>21.27724</v>
      </c>
      <c r="O66" s="72" t="n">
        <f aca="false">Navy!Y66</f>
        <v>34.4976065</v>
      </c>
      <c r="P66" s="56" t="n">
        <f aca="false">SUMPRODUCT((Events!$B$6:$B$174&lt;=$A66)*(Events!$C$6:$C$174&gt;=$A66)*(Events!$E$6:$E$174="War &amp; operations")*Events!$H$6:$H$174)</f>
        <v>0</v>
      </c>
      <c r="Q66" s="56" t="n">
        <f aca="false">Economy!O66*Paths!T66</f>
        <v>266.818764030148</v>
      </c>
      <c r="R66" s="56" t="n">
        <f aca="false">Economy!O66*Paths!U66</f>
        <v>141.173949222301</v>
      </c>
      <c r="S66" s="56" t="n">
        <f aca="false">Economy!O66*Paths!V66+SUMPRODUCT((Events!$B$6:$B$174&lt;=$A66)*(Events!$C$6:$C$174&gt;=$A66)*(Events!$E$6:$E$174="Programme")*Events!$H$6:$H$174)+SUMPRODUCT((Events!$B$6:$B$174&lt;=$A66)*(Events!$C$6:$C$174&gt;=$A66)*(Events!$E$6:$E$174="Investment")*Events!$H$6:$H$174)</f>
        <v>66.9789284194778</v>
      </c>
      <c r="T66" s="56" t="n">
        <f aca="false">(People!T66*assist_cost+Labour!AD66*talent_cost+Labour!L66*gw_admin)*Economy!H66/1000000</f>
        <v>21.9851163714374</v>
      </c>
      <c r="U66" s="56" t="n">
        <f aca="false">SUMPRODUCT((Events!$B$6:$B$174&lt;=$A66)*(Events!$C$6:$C$174&gt;=$A66)*(Events!$E$6:$E$174="Purchase")*Events!$H$6:$H$174)</f>
        <v>0</v>
      </c>
      <c r="V66" s="56" t="n">
        <f aca="false">SUMPRODUCT((Events!$B$6:$B$174&lt;=$A66)*(Events!$C$6:$C$174&gt;=$A66)*(Events!$E$6:$E$174="Subsidy &amp; guarantee")*Events!$H$6:$H$174)+SUMPRODUCT((Events!$B$6:$B$174&lt;=$A66)*(Events!$C$6:$C$174&gt;=$A66)*(Events!$E$6:$E$174="Relief")*Events!$H$6:$H$174)</f>
        <v>0.55</v>
      </c>
      <c r="W66" s="56" t="n">
        <f aca="false">SUMPRODUCT((Events!$B$6:$B$174&lt;=$A66)*(Events!$C$6:$C$174&gt;=$A66)*(Events!$E$6:$E$174="Bank rescue &amp; capital")*Events!$H$6:$H$174)</f>
        <v>0</v>
      </c>
      <c r="X66" s="56" t="n">
        <f aca="false">'Debt &amp; cash'!R65*Paths!Y66</f>
        <v>13.102094988285</v>
      </c>
      <c r="Y66" s="56" t="n">
        <f aca="false">SUM(N66:X66)</f>
        <v>566.383699531649</v>
      </c>
      <c r="Z66" s="56" t="n">
        <f aca="false">M66-Y66</f>
        <v>158.028632431049</v>
      </c>
      <c r="AA66" s="66" t="n">
        <f aca="false">M66/Economy!O66</f>
        <v>0.102626913244737</v>
      </c>
      <c r="AB66" s="66" t="n">
        <f aca="false">Y66/Economy!O66</f>
        <v>0.0802391238116869</v>
      </c>
      <c r="AC66" s="66" t="n">
        <f aca="false">(N66+O66+P66)/Economy!O66</f>
        <v>0.00790157770711276</v>
      </c>
    </row>
    <row r="67" customFormat="false" ht="14.25" hidden="false" customHeight="false" outlineLevel="0" collapsed="false">
      <c r="A67" s="61" t="n">
        <v>1907</v>
      </c>
      <c r="B67" s="56" t="n">
        <f aca="false">Economy!O67*Paths!N67*Paths!O67*cust_coll</f>
        <v>158.024565319889</v>
      </c>
      <c r="C67" s="56" t="n">
        <f aca="false">(Economy!J67+Economy!L67+Economy!M67+Economy!N67)*Paths!P67*Paths!Q67</f>
        <v>474.634084529369</v>
      </c>
      <c r="D67" s="56" t="n">
        <f aca="false">Resources!P67+Resources!Q67</f>
        <v>11.1615</v>
      </c>
      <c r="E67" s="56" t="n">
        <f aca="false">Paths!S67*(1-canal_opcost)*canal_share</f>
        <v>6.96</v>
      </c>
      <c r="F67" s="56" t="n">
        <f aca="false">Economy!O67*Paths!R67</f>
        <v>15.3777238006159</v>
      </c>
      <c r="G67" s="56" t="n">
        <f aca="false">SUMPRODUCT((Events!$B$6:$B$174&lt;=$A67)*(Events!$C$6:$C$174&gt;=$A67)*(Events!$E$6:$E$174="Receipt")*Events!$H$6:$H$174)</f>
        <v>2.4</v>
      </c>
      <c r="H67" s="72" t="n">
        <f aca="false">Loans!Y67</f>
        <v>9.68617549417293</v>
      </c>
      <c r="I67" s="56" t="n">
        <f aca="false">'Debt &amp; cash'!S66*fund_yield</f>
        <v>1.76403526705819</v>
      </c>
      <c r="J67" s="72" t="n">
        <f aca="false">Labour!Q67</f>
        <v>61.8412910308593</v>
      </c>
      <c r="K67" s="72" t="n">
        <f aca="false">Champions!BD67</f>
        <v>21.8972776885813</v>
      </c>
      <c r="L67" s="72" t="n">
        <f aca="false">Abroad!N67</f>
        <v>21.9319847541864</v>
      </c>
      <c r="M67" s="56" t="n">
        <f aca="false">SUM(B67:L67)</f>
        <v>785.678637884732</v>
      </c>
      <c r="N67" s="56" t="n">
        <f aca="false">(Paths!W67*army_cost+Paths!X67*res_cost)*Economy!H67/1000000</f>
        <v>22.21212</v>
      </c>
      <c r="O67" s="72" t="n">
        <f aca="false">Navy!Y67</f>
        <v>34.5010179</v>
      </c>
      <c r="P67" s="56" t="n">
        <f aca="false">SUMPRODUCT((Events!$B$6:$B$174&lt;=$A67)*(Events!$C$6:$C$174&gt;=$A67)*(Events!$E$6:$E$174="War &amp; operations")*Events!$H$6:$H$174)</f>
        <v>0</v>
      </c>
      <c r="Q67" s="56" t="n">
        <f aca="false">Economy!O67*Paths!T67</f>
        <v>293.714524591763</v>
      </c>
      <c r="R67" s="56" t="n">
        <f aca="false">Economy!O67*Paths!U67</f>
        <v>153.777238006159</v>
      </c>
      <c r="S67" s="56" t="n">
        <f aca="false">Economy!O67*Paths!V67+SUMPRODUCT((Events!$B$6:$B$174&lt;=$A67)*(Events!$C$6:$C$174&gt;=$A67)*(Events!$E$6:$E$174="Programme")*Events!$H$6:$H$174)+SUMPRODUCT((Events!$B$6:$B$174&lt;=$A67)*(Events!$C$6:$C$174&gt;=$A67)*(Events!$E$6:$E$174="Investment")*Events!$H$6:$H$174)</f>
        <v>72.3353261526175</v>
      </c>
      <c r="T67" s="56" t="n">
        <f aca="false">(People!T67*assist_cost+Labour!AD67*talent_cost+Labour!L67*gw_admin)*Economy!H67/1000000</f>
        <v>23.0071489778635</v>
      </c>
      <c r="U67" s="56" t="n">
        <f aca="false">SUMPRODUCT((Events!$B$6:$B$174&lt;=$A67)*(Events!$C$6:$C$174&gt;=$A67)*(Events!$E$6:$E$174="Purchase")*Events!$H$6:$H$174)</f>
        <v>0</v>
      </c>
      <c r="V67" s="56" t="n">
        <f aca="false">SUMPRODUCT((Events!$B$6:$B$174&lt;=$A67)*(Events!$C$6:$C$174&gt;=$A67)*(Events!$E$6:$E$174="Subsidy &amp; guarantee")*Events!$H$6:$H$174)+SUMPRODUCT((Events!$B$6:$B$174&lt;=$A67)*(Events!$C$6:$C$174&gt;=$A67)*(Events!$E$6:$E$174="Relief")*Events!$H$6:$H$174)</f>
        <v>0.55</v>
      </c>
      <c r="W67" s="56" t="n">
        <f aca="false">SUMPRODUCT((Events!$B$6:$B$174&lt;=$A67)*(Events!$C$6:$C$174&gt;=$A67)*(Events!$E$6:$E$174="Bank rescue &amp; capital")*Events!$H$6:$H$174)</f>
        <v>0</v>
      </c>
      <c r="X67" s="56" t="n">
        <f aca="false">'Debt &amp; cash'!R66*Paths!Y67</f>
        <v>14.8938516429527</v>
      </c>
      <c r="Y67" s="56" t="n">
        <f aca="false">SUM(N67:X67)</f>
        <v>614.991227271356</v>
      </c>
      <c r="Z67" s="56" t="n">
        <f aca="false">M67-Y67</f>
        <v>170.687410613377</v>
      </c>
      <c r="AA67" s="66" t="n">
        <f aca="false">M67/Economy!O67</f>
        <v>0.102183996548731</v>
      </c>
      <c r="AB67" s="66" t="n">
        <f aca="false">Y67/Economy!O67</f>
        <v>0.0799846889234316</v>
      </c>
      <c r="AC67" s="66" t="n">
        <f aca="false">(N67+O67+P67)/Economy!O67</f>
        <v>0.00737601203342313</v>
      </c>
    </row>
    <row r="68" customFormat="false" ht="14.25" hidden="false" customHeight="false" outlineLevel="0" collapsed="false">
      <c r="A68" s="61" t="n">
        <v>1908</v>
      </c>
      <c r="B68" s="56" t="n">
        <f aca="false">Economy!O68*Paths!N68*Paths!O68*cust_coll</f>
        <v>166.372938038216</v>
      </c>
      <c r="C68" s="56" t="n">
        <f aca="false">(Economy!J68+Economy!L68+Economy!M68+Economy!N68)*Paths!P68*Paths!Q68</f>
        <v>503.344352844396</v>
      </c>
      <c r="D68" s="56" t="n">
        <f aca="false">Resources!P68+Resources!Q68</f>
        <v>11.831</v>
      </c>
      <c r="E68" s="56" t="n">
        <f aca="false">Paths!S68*(1-canal_opcost)*canal_share</f>
        <v>7.44</v>
      </c>
      <c r="F68" s="56" t="n">
        <f aca="false">Economy!O68*Paths!R68</f>
        <v>16.3014832488944</v>
      </c>
      <c r="G68" s="56" t="n">
        <f aca="false">SUMPRODUCT((Events!$B$6:$B$174&lt;=$A68)*(Events!$C$6:$C$174&gt;=$A68)*(Events!$E$6:$E$174="Receipt")*Events!$H$6:$H$174)</f>
        <v>2.4</v>
      </c>
      <c r="H68" s="72" t="n">
        <f aca="false">Loans!Y68</f>
        <v>9.2996640428869</v>
      </c>
      <c r="I68" s="56" t="n">
        <f aca="false">'Debt &amp; cash'!S67*fund_yield</f>
        <v>2.13743710094353</v>
      </c>
      <c r="J68" s="72" t="n">
        <f aca="false">Labour!Q68</f>
        <v>61.3859531194836</v>
      </c>
      <c r="K68" s="72" t="n">
        <f aca="false">Champions!BD68</f>
        <v>23.8398034076825</v>
      </c>
      <c r="L68" s="72" t="n">
        <f aca="false">Abroad!N68</f>
        <v>23.9116922774947</v>
      </c>
      <c r="M68" s="56" t="n">
        <f aca="false">SUM(B68:L68)</f>
        <v>828.264324079998</v>
      </c>
      <c r="N68" s="56" t="n">
        <f aca="false">(Paths!W68*army_cost+Paths!X68*res_cost)*Economy!H68/1000000</f>
        <v>23.16524</v>
      </c>
      <c r="O68" s="72" t="n">
        <f aca="false">Navy!Y68</f>
        <v>37.4206716</v>
      </c>
      <c r="P68" s="56" t="n">
        <f aca="false">SUMPRODUCT((Events!$B$6:$B$174&lt;=$A68)*(Events!$C$6:$C$174&gt;=$A68)*(Events!$E$6:$E$174="War &amp; operations")*Events!$H$6:$H$174)</f>
        <v>0</v>
      </c>
      <c r="Q68" s="56" t="n">
        <f aca="false">Economy!O68*Paths!T68</f>
        <v>313.803552541217</v>
      </c>
      <c r="R68" s="56" t="n">
        <f aca="false">Economy!O68*Paths!U68</f>
        <v>163.014832488944</v>
      </c>
      <c r="S68" s="56" t="n">
        <f aca="false">Economy!O68*Paths!V68+SUMPRODUCT((Events!$B$6:$B$174&lt;=$A68)*(Events!$C$6:$C$174&gt;=$A68)*(Events!$E$6:$E$174="Programme")*Events!$H$6:$H$174)+SUMPRODUCT((Events!$B$6:$B$174&lt;=$A68)*(Events!$C$6:$C$174&gt;=$A68)*(Events!$E$6:$E$174="Investment")*Events!$H$6:$H$174)</f>
        <v>75.4462296453566</v>
      </c>
      <c r="T68" s="56" t="n">
        <f aca="false">(People!T68*assist_cost+Labour!AD68*talent_cost+Labour!L68*gw_admin)*Economy!H68/1000000</f>
        <v>22.4881600820494</v>
      </c>
      <c r="U68" s="56" t="n">
        <f aca="false">SUMPRODUCT((Events!$B$6:$B$174&lt;=$A68)*(Events!$C$6:$C$174&gt;=$A68)*(Events!$E$6:$E$174="Purchase")*Events!$H$6:$H$174)</f>
        <v>0</v>
      </c>
      <c r="V68" s="56" t="n">
        <f aca="false">SUMPRODUCT((Events!$B$6:$B$174&lt;=$A68)*(Events!$C$6:$C$174&gt;=$A68)*(Events!$E$6:$E$174="Subsidy &amp; guarantee")*Events!$H$6:$H$174)+SUMPRODUCT((Events!$B$6:$B$174&lt;=$A68)*(Events!$C$6:$C$174&gt;=$A68)*(Events!$E$6:$E$174="Relief")*Events!$H$6:$H$174)</f>
        <v>0.55</v>
      </c>
      <c r="W68" s="56" t="n">
        <f aca="false">SUMPRODUCT((Events!$B$6:$B$174&lt;=$A68)*(Events!$C$6:$C$174&gt;=$A68)*(Events!$E$6:$E$174="Bank rescue &amp; capital")*Events!$H$6:$H$174)</f>
        <v>0</v>
      </c>
      <c r="X68" s="56" t="n">
        <f aca="false">'Debt &amp; cash'!R67*Paths!Y68</f>
        <v>16.6463860141667</v>
      </c>
      <c r="Y68" s="56" t="n">
        <f aca="false">SUM(N68:X68)</f>
        <v>652.535072371734</v>
      </c>
      <c r="Z68" s="56" t="n">
        <f aca="false">M68-Y68</f>
        <v>175.729251708264</v>
      </c>
      <c r="AA68" s="66" t="n">
        <f aca="false">M68/Economy!O68</f>
        <v>0.101618277482348</v>
      </c>
      <c r="AB68" s="66" t="n">
        <f aca="false">Y68/Economy!O68</f>
        <v>0.0800583679912673</v>
      </c>
      <c r="AC68" s="66" t="n">
        <f aca="false">(N68+O68+P68)/Economy!O68</f>
        <v>0.00743317778817569</v>
      </c>
    </row>
    <row r="69" customFormat="false" ht="14.25" hidden="false" customHeight="false" outlineLevel="0" collapsed="false">
      <c r="A69" s="61" t="n">
        <v>1909</v>
      </c>
      <c r="B69" s="56" t="n">
        <f aca="false">Economy!O69*Paths!N69*Paths!O69*cust_coll</f>
        <v>190.352226345076</v>
      </c>
      <c r="C69" s="56" t="n">
        <f aca="false">(Economy!J69+Economy!L69+Economy!M69+Economy!N69)*Paths!P69*Paths!Q69</f>
        <v>581.207535233993</v>
      </c>
      <c r="D69" s="56" t="n">
        <f aca="false">Resources!P69+Resources!Q69</f>
        <v>12.684875</v>
      </c>
      <c r="E69" s="56" t="n">
        <f aca="false">Paths!S69*(1-canal_opcost)*canal_share</f>
        <v>7.92</v>
      </c>
      <c r="F69" s="56" t="n">
        <f aca="false">Economy!O69*Paths!R69</f>
        <v>18.7901984467618</v>
      </c>
      <c r="G69" s="56" t="n">
        <f aca="false">SUMPRODUCT((Events!$B$6:$B$174&lt;=$A69)*(Events!$C$6:$C$174&gt;=$A69)*(Events!$E$6:$E$174="Receipt")*Events!$H$6:$H$174)</f>
        <v>2.4</v>
      </c>
      <c r="H69" s="72" t="n">
        <f aca="false">Loans!Y69</f>
        <v>8.92858498259789</v>
      </c>
      <c r="I69" s="56" t="n">
        <f aca="false">'Debt &amp; cash'!S68*fund_yield</f>
        <v>2.53193856962228</v>
      </c>
      <c r="J69" s="72" t="n">
        <f aca="false">Labour!Q69</f>
        <v>74.8361358387507</v>
      </c>
      <c r="K69" s="72" t="n">
        <f aca="false">Champions!BD69</f>
        <v>25.8000894990465</v>
      </c>
      <c r="L69" s="72" t="n">
        <f aca="false">Abroad!N69</f>
        <v>25.9339700651453</v>
      </c>
      <c r="M69" s="56" t="n">
        <f aca="false">SUM(B69:L69)</f>
        <v>951.385553980993</v>
      </c>
      <c r="N69" s="56" t="n">
        <f aca="false">(Paths!W69*army_cost+Paths!X69*res_cost)*Economy!H69/1000000</f>
        <v>24.15034</v>
      </c>
      <c r="O69" s="72" t="n">
        <f aca="false">Navy!Y69</f>
        <v>47.7956182</v>
      </c>
      <c r="P69" s="56" t="n">
        <f aca="false">SUMPRODUCT((Events!$B$6:$B$174&lt;=$A69)*(Events!$C$6:$C$174&gt;=$A69)*(Events!$E$6:$E$174="War &amp; operations")*Events!$H$6:$H$174)</f>
        <v>0</v>
      </c>
      <c r="Q69" s="56" t="n">
        <f aca="false">Economy!O69*Paths!T69</f>
        <v>364.529849867179</v>
      </c>
      <c r="R69" s="56" t="n">
        <f aca="false">Economy!O69*Paths!U69</f>
        <v>187.901984467618</v>
      </c>
      <c r="S69" s="56" t="n">
        <f aca="false">Economy!O69*Paths!V69+SUMPRODUCT((Events!$B$6:$B$174&lt;=$A69)*(Events!$C$6:$C$174&gt;=$A69)*(Events!$E$6:$E$174="Programme")*Events!$H$6:$H$174)+SUMPRODUCT((Events!$B$6:$B$174&lt;=$A69)*(Events!$C$6:$C$174&gt;=$A69)*(Events!$E$6:$E$174="Investment")*Events!$H$6:$H$174)</f>
        <v>84.9593235540615</v>
      </c>
      <c r="T69" s="56" t="n">
        <f aca="false">(People!T69*assist_cost+Labour!AD69*talent_cost+Labour!L69*gw_admin)*Economy!H69/1000000</f>
        <v>22.2402044067082</v>
      </c>
      <c r="U69" s="56" t="n">
        <f aca="false">SUMPRODUCT((Events!$B$6:$B$174&lt;=$A69)*(Events!$C$6:$C$174&gt;=$A69)*(Events!$E$6:$E$174="Purchase")*Events!$H$6:$H$174)</f>
        <v>0</v>
      </c>
      <c r="V69" s="56" t="n">
        <f aca="false">SUMPRODUCT((Events!$B$6:$B$174&lt;=$A69)*(Events!$C$6:$C$174&gt;=$A69)*(Events!$E$6:$E$174="Subsidy &amp; guarantee")*Events!$H$6:$H$174)+SUMPRODUCT((Events!$B$6:$B$174&lt;=$A69)*(Events!$C$6:$C$174&gt;=$A69)*(Events!$E$6:$E$174="Relief")*Events!$H$6:$H$174)</f>
        <v>0.55</v>
      </c>
      <c r="W69" s="56" t="n">
        <f aca="false">SUMPRODUCT((Events!$B$6:$B$174&lt;=$A69)*(Events!$C$6:$C$174&gt;=$A69)*(Events!$E$6:$E$174="Bank rescue &amp; capital")*Events!$H$6:$H$174)</f>
        <v>0</v>
      </c>
      <c r="X69" s="56" t="n">
        <f aca="false">'Debt &amp; cash'!R68*Paths!Y69</f>
        <v>18.0946464062728</v>
      </c>
      <c r="Y69" s="56" t="n">
        <f aca="false">SUM(N69:X69)</f>
        <v>750.22196690184</v>
      </c>
      <c r="Z69" s="56" t="n">
        <f aca="false">M69-Y69</f>
        <v>201.163587079153</v>
      </c>
      <c r="AA69" s="66" t="n">
        <f aca="false">M69/Economy!O69</f>
        <v>0.101264024078995</v>
      </c>
      <c r="AB69" s="66" t="n">
        <f aca="false">Y69/Economy!O69</f>
        <v>0.0798524793686922</v>
      </c>
      <c r="AC69" s="66" t="n">
        <f aca="false">(N69+O69+P69)/Economy!O69</f>
        <v>0.00765781781430826</v>
      </c>
    </row>
    <row r="70" customFormat="false" ht="14.25" hidden="false" customHeight="false" outlineLevel="0" collapsed="false">
      <c r="A70" s="61" t="n">
        <v>1910</v>
      </c>
      <c r="B70" s="56" t="n">
        <f aca="false">Economy!O70*Paths!N70*Paths!O70*cust_coll</f>
        <v>206.913933401377</v>
      </c>
      <c r="C70" s="56" t="n">
        <f aca="false">(Economy!J70+Economy!L70+Economy!M70+Economy!N70)*Paths!P70*Paths!Q70</f>
        <v>637.02674727586</v>
      </c>
      <c r="D70" s="56" t="n">
        <f aca="false">Resources!P70+Resources!Q70</f>
        <v>13.595</v>
      </c>
      <c r="E70" s="56" t="n">
        <f aca="false">Paths!S70*(1-canal_opcost)*canal_share</f>
        <v>8.4</v>
      </c>
      <c r="F70" s="56" t="n">
        <f aca="false">Economy!O70*Paths!R70</f>
        <v>20.5786224888986</v>
      </c>
      <c r="G70" s="56" t="n">
        <f aca="false">SUMPRODUCT((Events!$B$6:$B$174&lt;=$A70)*(Events!$C$6:$C$174&gt;=$A70)*(Events!$E$6:$E$174="Receipt")*Events!$H$6:$H$174)</f>
        <v>2.4</v>
      </c>
      <c r="H70" s="72" t="n">
        <f aca="false">Loans!Y70</f>
        <v>8.57232185967764</v>
      </c>
      <c r="I70" s="56" t="n">
        <f aca="false">'Debt &amp; cash'!S69*fund_yield</f>
        <v>2.93738367463758</v>
      </c>
      <c r="J70" s="72" t="n">
        <f aca="false">Labour!Q70</f>
        <v>83.5974828774489</v>
      </c>
      <c r="K70" s="72" t="n">
        <f aca="false">Champions!BD70</f>
        <v>27.8055275663423</v>
      </c>
      <c r="L70" s="72" t="n">
        <f aca="false">Abroad!N70</f>
        <v>28.0453095397637</v>
      </c>
      <c r="M70" s="56" t="n">
        <f aca="false">SUM(B70:L70)</f>
        <v>1039.87232868401</v>
      </c>
      <c r="N70" s="56" t="n">
        <f aca="false">(Paths!W70*army_cost+Paths!X70*res_cost)*Economy!H70/1000000</f>
        <v>25.1403</v>
      </c>
      <c r="O70" s="72" t="n">
        <f aca="false">Navy!Y70</f>
        <v>52.99911</v>
      </c>
      <c r="P70" s="56" t="n">
        <f aca="false">SUMPRODUCT((Events!$B$6:$B$174&lt;=$A70)*(Events!$C$6:$C$174&gt;=$A70)*(Events!$E$6:$E$174="War &amp; operations")*Events!$H$6:$H$174)</f>
        <v>0</v>
      </c>
      <c r="Q70" s="56" t="n">
        <f aca="false">Economy!O70*Paths!T70</f>
        <v>402.312069657967</v>
      </c>
      <c r="R70" s="56" t="n">
        <f aca="false">Economy!O70*Paths!U70</f>
        <v>205.786224888986</v>
      </c>
      <c r="S70" s="56" t="n">
        <f aca="false">Economy!O70*Paths!V70+SUMPRODUCT((Events!$B$6:$B$174&lt;=$A70)*(Events!$C$6:$C$174&gt;=$A70)*(Events!$E$6:$E$174="Programme")*Events!$H$6:$H$174)+SUMPRODUCT((Events!$B$6:$B$174&lt;=$A70)*(Events!$C$6:$C$174&gt;=$A70)*(Events!$E$6:$E$174="Investment")*Events!$H$6:$H$174)</f>
        <v>91.3523522044841</v>
      </c>
      <c r="T70" s="56" t="n">
        <f aca="false">(People!T70*assist_cost+Labour!AD70*talent_cost+Labour!L70*gw_admin)*Economy!H70/1000000</f>
        <v>24.9463160985214</v>
      </c>
      <c r="U70" s="56" t="n">
        <f aca="false">SUMPRODUCT((Events!$B$6:$B$174&lt;=$A70)*(Events!$C$6:$C$174&gt;=$A70)*(Events!$E$6:$E$174="Purchase")*Events!$H$6:$H$174)</f>
        <v>0</v>
      </c>
      <c r="V70" s="56" t="n">
        <f aca="false">SUMPRODUCT((Events!$B$6:$B$174&lt;=$A70)*(Events!$C$6:$C$174&gt;=$A70)*(Events!$E$6:$E$174="Subsidy &amp; guarantee")*Events!$H$6:$H$174)+SUMPRODUCT((Events!$B$6:$B$174&lt;=$A70)*(Events!$C$6:$C$174&gt;=$A70)*(Events!$E$6:$E$174="Relief")*Events!$H$6:$H$174)</f>
        <v>0.55</v>
      </c>
      <c r="W70" s="56" t="n">
        <f aca="false">SUMPRODUCT((Events!$B$6:$B$174&lt;=$A70)*(Events!$C$6:$C$174&gt;=$A70)*(Events!$E$6:$E$174="Bank rescue &amp; capital")*Events!$H$6:$H$174)</f>
        <v>0</v>
      </c>
      <c r="X70" s="56" t="n">
        <f aca="false">'Debt &amp; cash'!R69*Paths!Y70</f>
        <v>21.4208262293085</v>
      </c>
      <c r="Y70" s="56" t="n">
        <f aca="false">SUM(N70:X70)</f>
        <v>824.507199079267</v>
      </c>
      <c r="Z70" s="56" t="n">
        <f aca="false">M70-Y70</f>
        <v>215.365129604739</v>
      </c>
      <c r="AA70" s="66" t="n">
        <f aca="false">M70/Economy!O70</f>
        <v>0.101063356329607</v>
      </c>
      <c r="AB70" s="66" t="n">
        <f aca="false">Y70/Economy!O70</f>
        <v>0.0801323994863173</v>
      </c>
      <c r="AC70" s="66" t="n">
        <f aca="false">(N70+O70+P70)/Economy!O70</f>
        <v>0.00759423134781285</v>
      </c>
    </row>
    <row r="71" customFormat="false" ht="14.25" hidden="false" customHeight="false" outlineLevel="0" collapsed="false">
      <c r="A71" s="61" t="n">
        <v>1911</v>
      </c>
      <c r="B71" s="56" t="n">
        <f aca="false">Economy!O71*Paths!N71*Paths!O71*cust_coll</f>
        <v>223.818153444449</v>
      </c>
      <c r="C71" s="56" t="n">
        <f aca="false">(Economy!J71+Economy!L71+Economy!M71+Economy!N71)*Paths!P71*Paths!Q71</f>
        <v>694.822672031279</v>
      </c>
      <c r="D71" s="56" t="n">
        <f aca="false">Resources!P71+Resources!Q71</f>
        <v>14.4598875</v>
      </c>
      <c r="E71" s="56" t="n">
        <f aca="false">Paths!S71*(1-canal_opcost)*canal_share</f>
        <v>8.82</v>
      </c>
      <c r="F71" s="56" t="n">
        <f aca="false">Economy!O71*Paths!R71</f>
        <v>22.428466554879</v>
      </c>
      <c r="G71" s="56" t="n">
        <f aca="false">SUMPRODUCT((Events!$B$6:$B$174&lt;=$A71)*(Events!$C$6:$C$174&gt;=$A71)*(Events!$E$6:$E$174="Receipt")*Events!$H$6:$H$174)</f>
        <v>2.4</v>
      </c>
      <c r="H71" s="72" t="n">
        <f aca="false">Loans!Y71</f>
        <v>8.23028285338269</v>
      </c>
      <c r="I71" s="56" t="n">
        <f aca="false">'Debt &amp; cash'!S70*fund_yield</f>
        <v>3.39406448363905</v>
      </c>
      <c r="J71" s="72" t="n">
        <f aca="false">Labour!Q71</f>
        <v>92.0722325565605</v>
      </c>
      <c r="K71" s="72" t="n">
        <f aca="false">Champions!BD71</f>
        <v>30.0409507825365</v>
      </c>
      <c r="L71" s="72" t="n">
        <f aca="false">Abroad!N71</f>
        <v>30.4872974726887</v>
      </c>
      <c r="M71" s="56" t="n">
        <f aca="false">SUM(B71:L71)</f>
        <v>1130.97400767941</v>
      </c>
      <c r="N71" s="56" t="n">
        <f aca="false">(Paths!W71*army_cost+Paths!X71*res_cost)*Economy!H71/1000000</f>
        <v>26.04</v>
      </c>
      <c r="O71" s="72" t="n">
        <f aca="false">Navy!Y71</f>
        <v>60.0899185</v>
      </c>
      <c r="P71" s="56" t="n">
        <f aca="false">SUMPRODUCT((Events!$B$6:$B$174&lt;=$A71)*(Events!$C$6:$C$174&gt;=$A71)*(Events!$E$6:$E$174="War &amp; operations")*Events!$H$6:$H$174)</f>
        <v>0</v>
      </c>
      <c r="Q71" s="56" t="n">
        <f aca="false">Economy!O71*Paths!T71</f>
        <v>441.840791131117</v>
      </c>
      <c r="R71" s="56" t="n">
        <f aca="false">Economy!O71*Paths!U71</f>
        <v>224.28466554879</v>
      </c>
      <c r="S71" s="56" t="n">
        <f aca="false">Economy!O71*Paths!V71+SUMPRODUCT((Events!$B$6:$B$174&lt;=$A71)*(Events!$C$6:$C$174&gt;=$A71)*(Events!$E$6:$E$174="Programme")*Events!$H$6:$H$174)+SUMPRODUCT((Events!$B$6:$B$174&lt;=$A71)*(Events!$C$6:$C$174&gt;=$A71)*(Events!$E$6:$E$174="Investment")*Events!$H$6:$H$174)</f>
        <v>100.636712875004</v>
      </c>
      <c r="T71" s="56" t="n">
        <f aca="false">(People!T71*assist_cost+Labour!AD71*talent_cost+Labour!L71*gw_admin)*Economy!H71/1000000</f>
        <v>26.7451913042192</v>
      </c>
      <c r="U71" s="56" t="n">
        <f aca="false">SUMPRODUCT((Events!$B$6:$B$174&lt;=$A71)*(Events!$C$6:$C$174&gt;=$A71)*(Events!$E$6:$E$174="Purchase")*Events!$H$6:$H$174)</f>
        <v>0</v>
      </c>
      <c r="V71" s="56" t="n">
        <f aca="false">SUMPRODUCT((Events!$B$6:$B$174&lt;=$A71)*(Events!$C$6:$C$174&gt;=$A71)*(Events!$E$6:$E$174="Subsidy &amp; guarantee")*Events!$H$6:$H$174)+SUMPRODUCT((Events!$B$6:$B$174&lt;=$A71)*(Events!$C$6:$C$174&gt;=$A71)*(Events!$E$6:$E$174="Relief")*Events!$H$6:$H$174)</f>
        <v>2.55</v>
      </c>
      <c r="W71" s="56" t="n">
        <f aca="false">SUMPRODUCT((Events!$B$6:$B$174&lt;=$A71)*(Events!$C$6:$C$174&gt;=$A71)*(Events!$E$6:$E$174="Bank rescue &amp; capital")*Events!$H$6:$H$174)</f>
        <v>0</v>
      </c>
      <c r="X71" s="56" t="n">
        <f aca="false">'Debt &amp; cash'!R70*Paths!Y71</f>
        <v>24.0255417557891</v>
      </c>
      <c r="Y71" s="56" t="n">
        <f aca="false">SUM(N71:X71)</f>
        <v>906.21282111492</v>
      </c>
      <c r="Z71" s="56" t="n">
        <f aca="false">M71-Y71</f>
        <v>224.761186564494</v>
      </c>
      <c r="AA71" s="66" t="n">
        <f aca="false">M71/Economy!O71</f>
        <v>0.100851656970136</v>
      </c>
      <c r="AB71" s="66" t="n">
        <f aca="false">Y71/Economy!O71</f>
        <v>0.0808091644515736</v>
      </c>
      <c r="AC71" s="66" t="n">
        <f aca="false">(N71+O71+P71)/Economy!O71</f>
        <v>0.00768041081089991</v>
      </c>
    </row>
    <row r="72" customFormat="false" ht="14.25" hidden="false" customHeight="false" outlineLevel="0" collapsed="false">
      <c r="A72" s="61" t="n">
        <v>1912</v>
      </c>
      <c r="B72" s="56" t="n">
        <f aca="false">Economy!O72*Paths!N72*Paths!O72*cust_coll</f>
        <v>242.262222023264</v>
      </c>
      <c r="C72" s="56" t="n">
        <f aca="false">(Economy!J72+Economy!L72+Economy!M72+Economy!N72)*Paths!P72*Paths!Q72</f>
        <v>758.338299807457</v>
      </c>
      <c r="D72" s="56" t="n">
        <f aca="false">Resources!P72+Resources!Q72</f>
        <v>15.4907625</v>
      </c>
      <c r="E72" s="56" t="n">
        <f aca="false">Paths!S72*(1-canal_opcost)*canal_share</f>
        <v>9.18</v>
      </c>
      <c r="F72" s="56" t="n">
        <f aca="false">Economy!O72*Paths!R72</f>
        <v>24.4620362315991</v>
      </c>
      <c r="G72" s="56" t="n">
        <f aca="false">SUMPRODUCT((Events!$B$6:$B$174&lt;=$A72)*(Events!$C$6:$C$174&gt;=$A72)*(Events!$E$6:$E$174="Receipt")*Events!$H$6:$H$174)</f>
        <v>2.4</v>
      </c>
      <c r="H72" s="72" t="n">
        <f aca="false">Loans!Y72</f>
        <v>7.90189979129678</v>
      </c>
      <c r="I72" s="56" t="n">
        <f aca="false">'Debt &amp; cash'!S71*fund_yield</f>
        <v>3.86896421545165</v>
      </c>
      <c r="J72" s="72" t="n">
        <f aca="false">Labour!Q72</f>
        <v>100.867962206493</v>
      </c>
      <c r="K72" s="72" t="n">
        <f aca="false">Champions!BD72</f>
        <v>32.4511335800136</v>
      </c>
      <c r="L72" s="72" t="n">
        <f aca="false">Abroad!N72</f>
        <v>32.9594139332892</v>
      </c>
      <c r="M72" s="56" t="n">
        <f aca="false">SUM(B72:L72)</f>
        <v>1230.18269428886</v>
      </c>
      <c r="N72" s="56" t="n">
        <f aca="false">(Paths!W72*army_cost+Paths!X72*res_cost)*Economy!H72/1000000</f>
        <v>26.9696</v>
      </c>
      <c r="O72" s="72" t="n">
        <f aca="false">Navy!Y72</f>
        <v>64.8694525</v>
      </c>
      <c r="P72" s="56" t="n">
        <f aca="false">SUMPRODUCT((Events!$B$6:$B$174&lt;=$A72)*(Events!$C$6:$C$174&gt;=$A72)*(Events!$E$6:$E$174="War &amp; operations")*Events!$H$6:$H$174)</f>
        <v>0</v>
      </c>
      <c r="Q72" s="56" t="n">
        <f aca="false">Economy!O72*Paths!T72</f>
        <v>485.571419197241</v>
      </c>
      <c r="R72" s="56" t="n">
        <f aca="false">Economy!O72*Paths!U72</f>
        <v>244.620362315991</v>
      </c>
      <c r="S72" s="56" t="n">
        <f aca="false">Economy!O72*Paths!V72+SUMPRODUCT((Events!$B$6:$B$174&lt;=$A72)*(Events!$C$6:$C$174&gt;=$A72)*(Events!$E$6:$E$174="Programme")*Events!$H$6:$H$174)+SUMPRODUCT((Events!$B$6:$B$174&lt;=$A72)*(Events!$C$6:$C$174&gt;=$A72)*(Events!$E$6:$E$174="Investment")*Events!$H$6:$H$174)</f>
        <v>107.751246737976</v>
      </c>
      <c r="T72" s="56" t="n">
        <f aca="false">(People!T72*assist_cost+Labour!AD72*talent_cost+Labour!L72*gw_admin)*Economy!H72/1000000</f>
        <v>28.619701858905</v>
      </c>
      <c r="U72" s="56" t="n">
        <f aca="false">SUMPRODUCT((Events!$B$6:$B$174&lt;=$A72)*(Events!$C$6:$C$174&gt;=$A72)*(Events!$E$6:$E$174="Purchase")*Events!$H$6:$H$174)</f>
        <v>0</v>
      </c>
      <c r="V72" s="56" t="n">
        <f aca="false">SUMPRODUCT((Events!$B$6:$B$174&lt;=$A72)*(Events!$C$6:$C$174&gt;=$A72)*(Events!$E$6:$E$174="Subsidy &amp; guarantee")*Events!$H$6:$H$174)+SUMPRODUCT((Events!$B$6:$B$174&lt;=$A72)*(Events!$C$6:$C$174&gt;=$A72)*(Events!$E$6:$E$174="Relief")*Events!$H$6:$H$174)</f>
        <v>2.55</v>
      </c>
      <c r="W72" s="56" t="n">
        <f aca="false">SUMPRODUCT((Events!$B$6:$B$174&lt;=$A72)*(Events!$C$6:$C$174&gt;=$A72)*(Events!$E$6:$E$174="Bank rescue &amp; capital")*Events!$H$6:$H$174)</f>
        <v>0</v>
      </c>
      <c r="X72" s="56" t="n">
        <f aca="false">'Debt &amp; cash'!R71*Paths!Y72</f>
        <v>26.8020175330805</v>
      </c>
      <c r="Y72" s="56" t="n">
        <f aca="false">SUM(N72:X72)</f>
        <v>987.753800143193</v>
      </c>
      <c r="Z72" s="56" t="n">
        <f aca="false">M72-Y72</f>
        <v>242.428894145671</v>
      </c>
      <c r="AA72" s="66" t="n">
        <f aca="false">M72/Economy!O72</f>
        <v>0.100578928315032</v>
      </c>
      <c r="AB72" s="66" t="n">
        <f aca="false">Y72/Economy!O72</f>
        <v>0.0807581013118813</v>
      </c>
      <c r="AC72" s="66" t="n">
        <f aca="false">(N72+O72+P72)/Economy!O72</f>
        <v>0.00750870055382929</v>
      </c>
    </row>
    <row r="73" customFormat="false" ht="14.25" hidden="false" customHeight="false" outlineLevel="0" collapsed="false">
      <c r="A73" s="61" t="n">
        <v>1913</v>
      </c>
      <c r="B73" s="56" t="n">
        <f aca="false">Economy!O73*Paths!N73*Paths!O73*cust_coll</f>
        <v>261.847239950336</v>
      </c>
      <c r="C73" s="56" t="n">
        <f aca="false">(Economy!J73+Economy!L73+Economy!M73+Economy!N73)*Paths!P73*Paths!Q73</f>
        <v>826.049105253489</v>
      </c>
      <c r="D73" s="56" t="n">
        <f aca="false">Resources!P73+Resources!Q73</f>
        <v>16.464</v>
      </c>
      <c r="E73" s="56" t="n">
        <f aca="false">Paths!S73*(1-canal_opcost)*canal_share</f>
        <v>9.6</v>
      </c>
      <c r="F73" s="56" t="n">
        <f aca="false">Economy!O73*Paths!R73</f>
        <v>26.628352345103</v>
      </c>
      <c r="G73" s="56" t="n">
        <f aca="false">SUMPRODUCT((Events!$B$6:$B$174&lt;=$A73)*(Events!$C$6:$C$174&gt;=$A73)*(Events!$E$6:$E$174="Receipt")*Events!$H$6:$H$174)</f>
        <v>2.4</v>
      </c>
      <c r="H73" s="72" t="n">
        <f aca="false">Loans!Y73</f>
        <v>7.58662720413282</v>
      </c>
      <c r="I73" s="56" t="n">
        <f aca="false">'Debt &amp; cash'!S72*fund_yield</f>
        <v>4.37859049115676</v>
      </c>
      <c r="J73" s="72" t="n">
        <f aca="false">Labour!Q73</f>
        <v>110.688781177758</v>
      </c>
      <c r="K73" s="72" t="n">
        <f aca="false">Champions!BD73</f>
        <v>34.9164943919187</v>
      </c>
      <c r="L73" s="72" t="n">
        <f aca="false">Abroad!N73</f>
        <v>35.6214934688195</v>
      </c>
      <c r="M73" s="56" t="n">
        <f aca="false">SUM(B73:L73)</f>
        <v>1336.18068428271</v>
      </c>
      <c r="N73" s="56" t="n">
        <f aca="false">(Paths!W73*army_cost+Paths!X73*res_cost)*Economy!H73/1000000</f>
        <v>27.9</v>
      </c>
      <c r="O73" s="72" t="n">
        <f aca="false">Navy!Y73</f>
        <v>74.37585</v>
      </c>
      <c r="P73" s="56" t="n">
        <f aca="false">SUMPRODUCT((Events!$B$6:$B$174&lt;=$A73)*(Events!$C$6:$C$174&gt;=$A73)*(Events!$E$6:$E$174="War &amp; operations")*Events!$H$6:$H$174)</f>
        <v>0</v>
      </c>
      <c r="Q73" s="56" t="n">
        <f aca="false">Economy!O73*Paths!T73</f>
        <v>532.56704690206</v>
      </c>
      <c r="R73" s="56" t="n">
        <f aca="false">Economy!O73*Paths!U73</f>
        <v>266.28352345103</v>
      </c>
      <c r="S73" s="56" t="n">
        <f aca="false">Economy!O73*Paths!V73+SUMPRODUCT((Events!$B$6:$B$174&lt;=$A73)*(Events!$C$6:$C$174&gt;=$A73)*(Events!$E$6:$E$174="Programme")*Events!$H$6:$H$174)+SUMPRODUCT((Events!$B$6:$B$174&lt;=$A73)*(Events!$C$6:$C$174&gt;=$A73)*(Events!$E$6:$E$174="Investment")*Events!$H$6:$H$174)</f>
        <v>115.193409380412</v>
      </c>
      <c r="T73" s="56" t="n">
        <f aca="false">(People!T73*assist_cost+Labour!AD73*talent_cost+Labour!L73*gw_admin)*Economy!H73/1000000</f>
        <v>30.5963447132978</v>
      </c>
      <c r="U73" s="56" t="n">
        <f aca="false">SUMPRODUCT((Events!$B$6:$B$174&lt;=$A73)*(Events!$C$6:$C$174&gt;=$A73)*(Events!$E$6:$E$174="Purchase")*Events!$H$6:$H$174)</f>
        <v>0</v>
      </c>
      <c r="V73" s="56" t="n">
        <f aca="false">SUMPRODUCT((Events!$B$6:$B$174&lt;=$A73)*(Events!$C$6:$C$174&gt;=$A73)*(Events!$E$6:$E$174="Subsidy &amp; guarantee")*Events!$H$6:$H$174)+SUMPRODUCT((Events!$B$6:$B$174&lt;=$A73)*(Events!$C$6:$C$174&gt;=$A73)*(Events!$E$6:$E$174="Relief")*Events!$H$6:$H$174)</f>
        <v>2.55</v>
      </c>
      <c r="W73" s="56" t="n">
        <f aca="false">SUMPRODUCT((Events!$B$6:$B$174&lt;=$A73)*(Events!$C$6:$C$174&gt;=$A73)*(Events!$E$6:$E$174="Bank rescue &amp; capital")*Events!$H$6:$H$174)</f>
        <v>0</v>
      </c>
      <c r="X73" s="56" t="n">
        <f aca="false">'Debt &amp; cash'!R72*Paths!Y73</f>
        <v>29.9048392931298</v>
      </c>
      <c r="Y73" s="56" t="n">
        <f aca="false">SUM(N73:X73)</f>
        <v>1079.37101373993</v>
      </c>
      <c r="Z73" s="56" t="n">
        <f aca="false">M73-Y73</f>
        <v>256.809670542784</v>
      </c>
      <c r="AA73" s="66" t="n">
        <f aca="false">M73/Economy!O73</f>
        <v>0.100357744029059</v>
      </c>
      <c r="AB73" s="66" t="n">
        <f aca="false">Y73/Economy!O73</f>
        <v>0.0810693053592877</v>
      </c>
      <c r="AC73" s="66" t="n">
        <f aca="false">(N73+O73+P73)/Economy!O73</f>
        <v>0.00768172575415157</v>
      </c>
    </row>
    <row r="74" customFormat="false" ht="14.25" hidden="false" customHeight="false" outlineLevel="0" collapsed="false">
      <c r="A74" s="64" t="n">
        <v>1914</v>
      </c>
      <c r="B74" s="56" t="n">
        <f aca="false">Economy!O74*Paths!N74*Paths!O74*cust_coll</f>
        <v>270.784042638217</v>
      </c>
      <c r="C74" s="56" t="n">
        <f aca="false">(Economy!J74+Economy!L74+Economy!M74+Economy!N74)*Paths!P74*Paths!Q74</f>
        <v>859.111218391647</v>
      </c>
      <c r="D74" s="56" t="n">
        <f aca="false">Resources!P74+Resources!Q74</f>
        <v>19.68325</v>
      </c>
      <c r="E74" s="56" t="n">
        <f aca="false">Paths!S74*(1-canal_opcost)*canal_share</f>
        <v>8.4</v>
      </c>
      <c r="F74" s="56" t="n">
        <f aca="false">Economy!O74*Paths!R74</f>
        <v>27.7505219043449</v>
      </c>
      <c r="G74" s="56" t="n">
        <f aca="false">SUMPRODUCT((Events!$B$6:$B$174&lt;=$A74)*(Events!$C$6:$C$174&gt;=$A74)*(Events!$E$6:$E$174="Receipt")*Events!$H$6:$H$174)</f>
        <v>2.15</v>
      </c>
      <c r="H74" s="72" t="n">
        <f aca="false">Loans!Y74</f>
        <v>7.28394141832078</v>
      </c>
      <c r="I74" s="56" t="n">
        <f aca="false">'Debt &amp; cash'!S73*fund_yield</f>
        <v>4.91564846941123</v>
      </c>
      <c r="J74" s="72" t="n">
        <f aca="false">Labour!Q74</f>
        <v>110.043635370375</v>
      </c>
      <c r="K74" s="72" t="n">
        <f aca="false">Champions!BD74</f>
        <v>40.324610123271</v>
      </c>
      <c r="L74" s="72" t="n">
        <f aca="false">Abroad!N74</f>
        <v>39.770787064319</v>
      </c>
      <c r="M74" s="56" t="n">
        <f aca="false">SUM(B74:L74)</f>
        <v>1390.21765537991</v>
      </c>
      <c r="N74" s="56" t="n">
        <f aca="false">(Paths!W74*army_cost+Paths!X74*res_cost)*Economy!H74/1000000</f>
        <v>31.0373</v>
      </c>
      <c r="O74" s="72" t="n">
        <f aca="false">Navy!Y74</f>
        <v>90.8056005</v>
      </c>
      <c r="P74" s="56" t="n">
        <f aca="false">SUMPRODUCT((Events!$B$6:$B$174&lt;=$A74)*(Events!$C$6:$C$174&gt;=$A74)*(Events!$E$6:$E$174="War &amp; operations")*Events!$H$6:$H$174)</f>
        <v>25</v>
      </c>
      <c r="Q74" s="56" t="n">
        <f aca="false">Economy!O74*Paths!T74</f>
        <v>559.173016372549</v>
      </c>
      <c r="R74" s="56" t="n">
        <f aca="false">Economy!O74*Paths!U74</f>
        <v>277.505219043449</v>
      </c>
      <c r="S74" s="56" t="n">
        <f aca="false">Economy!O74*Paths!V74+SUMPRODUCT((Events!$B$6:$B$174&lt;=$A74)*(Events!$C$6:$C$174&gt;=$A74)*(Events!$E$6:$E$174="Programme")*Events!$H$6:$H$174)+SUMPRODUCT((Events!$B$6:$B$174&lt;=$A74)*(Events!$C$6:$C$174&gt;=$A74)*(Events!$E$6:$E$174="Investment")*Events!$H$6:$H$174)</f>
        <v>119.48208761738</v>
      </c>
      <c r="T74" s="56" t="n">
        <f aca="false">(People!T74*assist_cost+Labour!AD74*talent_cost+Labour!L74*gw_admin)*Economy!H74/1000000</f>
        <v>25.2392513960713</v>
      </c>
      <c r="U74" s="56" t="n">
        <f aca="false">SUMPRODUCT((Events!$B$6:$B$174&lt;=$A74)*(Events!$C$6:$C$174&gt;=$A74)*(Events!$E$6:$E$174="Purchase")*Events!$H$6:$H$174)</f>
        <v>0</v>
      </c>
      <c r="V74" s="56" t="n">
        <f aca="false">SUMPRODUCT((Events!$B$6:$B$174&lt;=$A74)*(Events!$C$6:$C$174&gt;=$A74)*(Events!$E$6:$E$174="Subsidy &amp; guarantee")*Events!$H$6:$H$174)+SUMPRODUCT((Events!$B$6:$B$174&lt;=$A74)*(Events!$C$6:$C$174&gt;=$A74)*(Events!$E$6:$E$174="Relief")*Events!$H$6:$H$174)</f>
        <v>0.55</v>
      </c>
      <c r="W74" s="56" t="n">
        <f aca="false">SUMPRODUCT((Events!$B$6:$B$174&lt;=$A74)*(Events!$C$6:$C$174&gt;=$A74)*(Events!$E$6:$E$174="Bank rescue &amp; capital")*Events!$H$6:$H$174)</f>
        <v>0</v>
      </c>
      <c r="X74" s="56" t="n">
        <f aca="false">'Debt &amp; cash'!R73*Paths!Y74</f>
        <v>33.2854404313787</v>
      </c>
      <c r="Y74" s="56" t="n">
        <f aca="false">SUM(N74:X74)</f>
        <v>1162.07791536083</v>
      </c>
      <c r="Z74" s="56" t="n">
        <f aca="false">M74-Y74</f>
        <v>228.139740019077</v>
      </c>
      <c r="AA74" s="66" t="n">
        <f aca="false">M74/Economy!O74</f>
        <v>0.100193982669727</v>
      </c>
      <c r="AB74" s="66" t="n">
        <f aca="false">Y74/Economy!O74</f>
        <v>0.0837517881189025</v>
      </c>
      <c r="AC74" s="66" t="n">
        <f aca="false">(N74+O74+P74)/Economy!O74</f>
        <v>0.010583073068403</v>
      </c>
    </row>
    <row r="75" customFormat="false" ht="14.25" hidden="false" customHeight="false" outlineLevel="0" collapsed="false">
      <c r="A75" s="64" t="n">
        <v>1915</v>
      </c>
      <c r="B75" s="56" t="n">
        <f aca="false">Economy!O75*Paths!N75*Paths!O75*cust_coll</f>
        <v>300.659320405849</v>
      </c>
      <c r="C75" s="56" t="n">
        <f aca="false">(Economy!J75+Economy!L75+Economy!M75+Economy!N75)*Paths!P75*Paths!Q75</f>
        <v>1233.35085902286</v>
      </c>
      <c r="D75" s="56" t="n">
        <f aca="false">Resources!P75+Resources!Q75</f>
        <v>22.965</v>
      </c>
      <c r="E75" s="56" t="n">
        <f aca="false">Paths!S75*(1-canal_opcost)*canal_share</f>
        <v>7.2</v>
      </c>
      <c r="F75" s="56" t="n">
        <f aca="false">Economy!O75*Paths!R75</f>
        <v>31.0527896971607</v>
      </c>
      <c r="G75" s="56" t="n">
        <f aca="false">SUMPRODUCT((Events!$B$6:$B$174&lt;=$A75)*(Events!$C$6:$C$174&gt;=$A75)*(Events!$E$6:$E$174="Receipt")*Events!$H$6:$H$174)</f>
        <v>7.15</v>
      </c>
      <c r="H75" s="72" t="n">
        <f aca="false">Loans!Y75</f>
        <v>11.2456074547187</v>
      </c>
      <c r="I75" s="56" t="n">
        <f aca="false">'Debt &amp; cash'!S74*fund_yield</f>
        <v>5.20782119539622</v>
      </c>
      <c r="J75" s="72" t="n">
        <f aca="false">Labour!Q75</f>
        <v>129.631841592392</v>
      </c>
      <c r="K75" s="72" t="n">
        <f aca="false">Champions!BD75</f>
        <v>46.1041639776115</v>
      </c>
      <c r="L75" s="72" t="n">
        <f aca="false">Abroad!N75</f>
        <v>45.0094508162845</v>
      </c>
      <c r="M75" s="56" t="n">
        <f aca="false">SUM(B75:L75)</f>
        <v>1839.57685416228</v>
      </c>
      <c r="N75" s="56" t="n">
        <f aca="false">(Paths!W75*army_cost+Paths!X75*res_cost)*Economy!H75/1000000</f>
        <v>32.8796</v>
      </c>
      <c r="O75" s="72" t="n">
        <f aca="false">Navy!Y75</f>
        <v>118.769211</v>
      </c>
      <c r="P75" s="56" t="n">
        <f aca="false">SUMPRODUCT((Events!$B$6:$B$174&lt;=$A75)*(Events!$C$6:$C$174&gt;=$A75)*(Events!$E$6:$E$174="War &amp; operations")*Events!$H$6:$H$174)</f>
        <v>40</v>
      </c>
      <c r="Q75" s="56" t="n">
        <f aca="false">Economy!O75*Paths!T75</f>
        <v>630.371630852363</v>
      </c>
      <c r="R75" s="56" t="n">
        <f aca="false">Economy!O75*Paths!U75</f>
        <v>310.527896971607</v>
      </c>
      <c r="S75" s="56" t="n">
        <f aca="false">Economy!O75*Paths!V75+SUMPRODUCT((Events!$B$6:$B$174&lt;=$A75)*(Events!$C$6:$C$174&gt;=$A75)*(Events!$E$6:$E$174="Programme")*Events!$H$6:$H$174)+SUMPRODUCT((Events!$B$6:$B$174&lt;=$A75)*(Events!$C$6:$C$174&gt;=$A75)*(Events!$E$6:$E$174="Investment")*Events!$H$6:$H$174)</f>
        <v>132.691158788643</v>
      </c>
      <c r="T75" s="56" t="n">
        <f aca="false">(People!T75*assist_cost+Labour!AD75*talent_cost+Labour!L75*gw_admin)*Economy!H75/1000000</f>
        <v>29.5868753463866</v>
      </c>
      <c r="U75" s="56" t="n">
        <f aca="false">SUMPRODUCT((Events!$B$6:$B$174&lt;=$A75)*(Events!$C$6:$C$174&gt;=$A75)*(Events!$E$6:$E$174="Purchase")*Events!$H$6:$H$174)</f>
        <v>0</v>
      </c>
      <c r="V75" s="56" t="n">
        <f aca="false">SUMPRODUCT((Events!$B$6:$B$174&lt;=$A75)*(Events!$C$6:$C$174&gt;=$A75)*(Events!$E$6:$E$174="Subsidy &amp; guarantee")*Events!$H$6:$H$174)+SUMPRODUCT((Events!$B$6:$B$174&lt;=$A75)*(Events!$C$6:$C$174&gt;=$A75)*(Events!$E$6:$E$174="Relief")*Events!$H$6:$H$174)</f>
        <v>25.05</v>
      </c>
      <c r="W75" s="56" t="n">
        <f aca="false">SUMPRODUCT((Events!$B$6:$B$174&lt;=$A75)*(Events!$C$6:$C$174&gt;=$A75)*(Events!$E$6:$E$174="Bank rescue &amp; capital")*Events!$H$6:$H$174)</f>
        <v>0</v>
      </c>
      <c r="X75" s="56" t="n">
        <f aca="false">'Debt &amp; cash'!R74*Paths!Y75</f>
        <v>34.5493997709094</v>
      </c>
      <c r="Y75" s="56" t="n">
        <f aca="false">SUM(N75:X75)</f>
        <v>1354.42577272991</v>
      </c>
      <c r="Z75" s="56" t="n">
        <f aca="false">M75-Y75</f>
        <v>485.151081432369</v>
      </c>
      <c r="AA75" s="66" t="n">
        <f aca="false">M75/Economy!O75</f>
        <v>0.118480617819047</v>
      </c>
      <c r="AB75" s="66" t="n">
        <f aca="false">Y75/Economy!O75</f>
        <v>0.0872337581221406</v>
      </c>
      <c r="AC75" s="66" t="n">
        <f aca="false">(N75+O75+P75)/Economy!O75</f>
        <v>0.012343419890389</v>
      </c>
    </row>
    <row r="76" customFormat="false" ht="14.25" hidden="false" customHeight="false" outlineLevel="0" collapsed="false">
      <c r="A76" s="64" t="n">
        <v>1916</v>
      </c>
      <c r="B76" s="56" t="n">
        <f aca="false">Economy!O76*Paths!N76*Paths!O76*cust_coll</f>
        <v>353.856622079638</v>
      </c>
      <c r="C76" s="56" t="n">
        <f aca="false">(Economy!J76+Economy!L76+Economy!M76+Economy!N76)*Paths!P76*Paths!Q76</f>
        <v>1458.06402696666</v>
      </c>
      <c r="D76" s="56" t="n">
        <f aca="false">Resources!P76+Resources!Q76</f>
        <v>30.7575</v>
      </c>
      <c r="E76" s="56" t="n">
        <f aca="false">Paths!S76*(1-canal_opcost)*canal_share</f>
        <v>7.62</v>
      </c>
      <c r="F76" s="56" t="n">
        <f aca="false">Economy!O76*Paths!R76</f>
        <v>36.8347409155828</v>
      </c>
      <c r="G76" s="56" t="n">
        <f aca="false">SUMPRODUCT((Events!$B$6:$B$174&lt;=$A76)*(Events!$C$6:$C$174&gt;=$A76)*(Events!$E$6:$E$174="Receipt")*Events!$H$6:$H$174)</f>
        <v>7.15</v>
      </c>
      <c r="H76" s="72" t="n">
        <f aca="false">Loans!Y76</f>
        <v>22.2993068496606</v>
      </c>
      <c r="I76" s="56" t="n">
        <f aca="false">'Debt &amp; cash'!S75*fund_yield</f>
        <v>5.53789665847445</v>
      </c>
      <c r="J76" s="72" t="n">
        <f aca="false">Labour!Q76</f>
        <v>160.363345504187</v>
      </c>
      <c r="K76" s="72" t="n">
        <f aca="false">Champions!BD76</f>
        <v>52.6727205139682</v>
      </c>
      <c r="L76" s="72" t="n">
        <f aca="false">Abroad!N76</f>
        <v>50.7989140002537</v>
      </c>
      <c r="M76" s="56" t="n">
        <f aca="false">SUM(B76:L76)</f>
        <v>2185.95507348842</v>
      </c>
      <c r="N76" s="56" t="n">
        <f aca="false">(Paths!W76*army_cost+Paths!X76*res_cost)*Economy!H76/1000000</f>
        <v>38.1069</v>
      </c>
      <c r="O76" s="72" t="n">
        <f aca="false">Navy!Y76</f>
        <v>142.881682</v>
      </c>
      <c r="P76" s="56" t="n">
        <f aca="false">SUMPRODUCT((Events!$B$6:$B$174&lt;=$A76)*(Events!$C$6:$C$174&gt;=$A76)*(Events!$E$6:$E$174="War &amp; operations")*Events!$H$6:$H$174)</f>
        <v>40</v>
      </c>
      <c r="Q76" s="56" t="n">
        <f aca="false">Economy!O76*Paths!T76</f>
        <v>753.270451723669</v>
      </c>
      <c r="R76" s="56" t="n">
        <f aca="false">Economy!O76*Paths!U76</f>
        <v>368.347409155828</v>
      </c>
      <c r="S76" s="56" t="n">
        <f aca="false">Economy!O76*Paths!V76+SUMPRODUCT((Events!$B$6:$B$174&lt;=$A76)*(Events!$C$6:$C$174&gt;=$A76)*(Events!$E$6:$E$174="Programme")*Events!$H$6:$H$174)+SUMPRODUCT((Events!$B$6:$B$174&lt;=$A76)*(Events!$C$6:$C$174&gt;=$A76)*(Events!$E$6:$E$174="Investment")*Events!$H$6:$H$174)</f>
        <v>155.418963662331</v>
      </c>
      <c r="T76" s="56" t="n">
        <f aca="false">(People!T76*assist_cost+Labour!AD76*talent_cost+Labour!L76*gw_admin)*Economy!H76/1000000</f>
        <v>33.1557187638232</v>
      </c>
      <c r="U76" s="56" t="n">
        <f aca="false">SUMPRODUCT((Events!$B$6:$B$174&lt;=$A76)*(Events!$C$6:$C$174&gt;=$A76)*(Events!$E$6:$E$174="Purchase")*Events!$H$6:$H$174)</f>
        <v>0</v>
      </c>
      <c r="V76" s="56" t="n">
        <f aca="false">SUMPRODUCT((Events!$B$6:$B$174&lt;=$A76)*(Events!$C$6:$C$174&gt;=$A76)*(Events!$E$6:$E$174="Subsidy &amp; guarantee")*Events!$H$6:$H$174)+SUMPRODUCT((Events!$B$6:$B$174&lt;=$A76)*(Events!$C$6:$C$174&gt;=$A76)*(Events!$E$6:$E$174="Relief")*Events!$H$6:$H$174)</f>
        <v>25.05</v>
      </c>
      <c r="W76" s="56" t="n">
        <f aca="false">SUMPRODUCT((Events!$B$6:$B$174&lt;=$A76)*(Events!$C$6:$C$174&gt;=$A76)*(Events!$E$6:$E$174="Bank rescue &amp; capital")*Events!$H$6:$H$174)</f>
        <v>0</v>
      </c>
      <c r="X76" s="56" t="n">
        <f aca="false">'Debt &amp; cash'!R75*Paths!Y76</f>
        <v>38.5054592244793</v>
      </c>
      <c r="Y76" s="56" t="n">
        <f aca="false">SUM(N76:X76)</f>
        <v>1594.73658453013</v>
      </c>
      <c r="Z76" s="56" t="n">
        <f aca="false">M76-Y76</f>
        <v>591.218488958291</v>
      </c>
      <c r="AA76" s="66" t="n">
        <f aca="false">M76/Economy!O76</f>
        <v>0.118689857409241</v>
      </c>
      <c r="AB76" s="66" t="n">
        <f aca="false">Y76/Economy!O76</f>
        <v>0.0865887227595773</v>
      </c>
      <c r="AC76" s="66" t="n">
        <f aca="false">(N76+O76+P76)/Economy!O76</f>
        <v>0.0119989214804826</v>
      </c>
    </row>
    <row r="77" customFormat="false" ht="14.25" hidden="false" customHeight="false" outlineLevel="0" collapsed="false">
      <c r="A77" s="64" t="n">
        <v>1917</v>
      </c>
      <c r="B77" s="56" t="n">
        <f aca="false">Economy!O77*Paths!N77*Paths!O77*cust_coll</f>
        <v>441.82681248856</v>
      </c>
      <c r="C77" s="56" t="n">
        <f aca="false">(Economy!J77+Economy!L77+Economy!M77+Economy!N77)*Paths!P77*Paths!Q77</f>
        <v>1839.50786446936</v>
      </c>
      <c r="D77" s="56" t="n">
        <f aca="false">Resources!P77+Resources!Q77</f>
        <v>33.15</v>
      </c>
      <c r="E77" s="56" t="n">
        <f aca="false">Paths!S77*(1-canal_opcost)*canal_share</f>
        <v>7.98</v>
      </c>
      <c r="F77" s="56" t="n">
        <f aca="false">Economy!O77*Paths!R77</f>
        <v>46.3305663026467</v>
      </c>
      <c r="G77" s="56" t="n">
        <f aca="false">SUMPRODUCT((Events!$B$6:$B$174&lt;=$A77)*(Events!$C$6:$C$174&gt;=$A77)*(Events!$E$6:$E$174="Receipt")*Events!$H$6:$H$174)</f>
        <v>7.15</v>
      </c>
      <c r="H77" s="72" t="n">
        <f aca="false">Loans!Y77</f>
        <v>41.8640782688049</v>
      </c>
      <c r="I77" s="56" t="n">
        <f aca="false">'Debt &amp; cash'!S76*fund_yield</f>
        <v>5.77186004540945</v>
      </c>
      <c r="J77" s="72" t="n">
        <f aca="false">Labour!Q77</f>
        <v>210.02241102287</v>
      </c>
      <c r="K77" s="72" t="n">
        <f aca="false">Champions!BD77</f>
        <v>59.0761921339737</v>
      </c>
      <c r="L77" s="72" t="n">
        <f aca="false">Abroad!N77</f>
        <v>57.6652709045907</v>
      </c>
      <c r="M77" s="56" t="n">
        <f aca="false">SUM(B77:L77)</f>
        <v>2750.34505563621</v>
      </c>
      <c r="N77" s="56" t="n">
        <f aca="false">(Paths!W77*army_cost+Paths!X77*res_cost)*Economy!H77/1000000</f>
        <v>47.5842</v>
      </c>
      <c r="O77" s="72" t="n">
        <f aca="false">Navy!Y77</f>
        <v>164.129196</v>
      </c>
      <c r="P77" s="56" t="n">
        <f aca="false">SUMPRODUCT((Events!$B$6:$B$174&lt;=$A77)*(Events!$C$6:$C$174&gt;=$A77)*(Events!$E$6:$E$174="War &amp; operations")*Events!$H$6:$H$174)</f>
        <v>40</v>
      </c>
      <c r="Q77" s="56" t="n">
        <f aca="false">Economy!O77*Paths!T77</f>
        <v>952.093137519389</v>
      </c>
      <c r="R77" s="56" t="n">
        <f aca="false">Economy!O77*Paths!U77</f>
        <v>463.305663026467</v>
      </c>
      <c r="S77" s="56" t="n">
        <f aca="false">Economy!O77*Paths!V77+SUMPRODUCT((Events!$B$6:$B$174&lt;=$A77)*(Events!$C$6:$C$174&gt;=$A77)*(Events!$E$6:$E$174="Programme")*Events!$H$6:$H$174)+SUMPRODUCT((Events!$B$6:$B$174&lt;=$A77)*(Events!$C$6:$C$174&gt;=$A77)*(Events!$E$6:$E$174="Investment")*Events!$H$6:$H$174)</f>
        <v>193.402265210587</v>
      </c>
      <c r="T77" s="56" t="n">
        <f aca="false">(People!T77*assist_cost+Labour!AD77*talent_cost+Labour!L77*gw_admin)*Economy!H77/1000000</f>
        <v>43.0693155582759</v>
      </c>
      <c r="U77" s="56" t="n">
        <f aca="false">SUMPRODUCT((Events!$B$6:$B$174&lt;=$A77)*(Events!$C$6:$C$174&gt;=$A77)*(Events!$E$6:$E$174="Purchase")*Events!$H$6:$H$174)</f>
        <v>0</v>
      </c>
      <c r="V77" s="56" t="n">
        <f aca="false">SUMPRODUCT((Events!$B$6:$B$174&lt;=$A77)*(Events!$C$6:$C$174&gt;=$A77)*(Events!$E$6:$E$174="Subsidy &amp; guarantee")*Events!$H$6:$H$174)+SUMPRODUCT((Events!$B$6:$B$174&lt;=$A77)*(Events!$C$6:$C$174&gt;=$A77)*(Events!$E$6:$E$174="Relief")*Events!$H$6:$H$174)</f>
        <v>25.05</v>
      </c>
      <c r="W77" s="56" t="n">
        <f aca="false">SUMPRODUCT((Events!$B$6:$B$174&lt;=$A77)*(Events!$C$6:$C$174&gt;=$A77)*(Events!$E$6:$E$174="Bank rescue &amp; capital")*Events!$H$6:$H$174)</f>
        <v>0</v>
      </c>
      <c r="X77" s="56" t="n">
        <f aca="false">'Debt &amp; cash'!R76*Paths!Y77</f>
        <v>45.3988181784559</v>
      </c>
      <c r="Y77" s="56" t="n">
        <f aca="false">SUM(N77:X77)</f>
        <v>1974.03259549317</v>
      </c>
      <c r="Z77" s="56" t="n">
        <f aca="false">M77-Y77</f>
        <v>776.31246014304</v>
      </c>
      <c r="AA77" s="66" t="n">
        <f aca="false">M77/Economy!O77</f>
        <v>0.118727020847103</v>
      </c>
      <c r="AB77" s="66" t="n">
        <f aca="false">Y77/Economy!O77</f>
        <v>0.0852151291481368</v>
      </c>
      <c r="AC77" s="66" t="n">
        <f aca="false">(N77+O77+P77)/Economy!O77</f>
        <v>0.0108659753630346</v>
      </c>
    </row>
    <row r="78" customFormat="false" ht="14.25" hidden="false" customHeight="false" outlineLevel="0" collapsed="false">
      <c r="A78" s="64" t="n">
        <v>1918</v>
      </c>
      <c r="B78" s="56" t="n">
        <f aca="false">Economy!O78*Paths!N78*Paths!O78*cust_coll</f>
        <v>527.291688011014</v>
      </c>
      <c r="C78" s="56" t="n">
        <f aca="false">(Economy!J78+Economy!L78+Economy!M78+Economy!N78)*Paths!P78*Paths!Q78</f>
        <v>2220.98659063998</v>
      </c>
      <c r="D78" s="56" t="n">
        <f aca="false">Resources!P78+Resources!Q78</f>
        <v>33.64875</v>
      </c>
      <c r="E78" s="56" t="n">
        <f aca="false">Paths!S78*(1-canal_opcost)*canal_share</f>
        <v>8.4</v>
      </c>
      <c r="F78" s="56" t="n">
        <f aca="false">Economy!O78*Paths!R78</f>
        <v>55.7343658053245</v>
      </c>
      <c r="G78" s="56" t="n">
        <f aca="false">SUMPRODUCT((Events!$B$6:$B$174&lt;=$A78)*(Events!$C$6:$C$174&gt;=$A78)*(Events!$E$6:$E$174="Receipt")*Events!$H$6:$H$174)</f>
        <v>7.15</v>
      </c>
      <c r="H78" s="72" t="n">
        <f aca="false">Loans!Y78</f>
        <v>67.1089788311834</v>
      </c>
      <c r="I78" s="56" t="n">
        <f aca="false">'Debt &amp; cash'!S77*fund_yield</f>
        <v>6.03968783232605</v>
      </c>
      <c r="J78" s="72" t="n">
        <f aca="false">Labour!Q78</f>
        <v>257.520374349007</v>
      </c>
      <c r="K78" s="72" t="n">
        <f aca="false">Champions!BD78</f>
        <v>66.8868748937477</v>
      </c>
      <c r="L78" s="72" t="n">
        <f aca="false">Abroad!N78</f>
        <v>67.4121417576892</v>
      </c>
      <c r="M78" s="56" t="n">
        <f aca="false">SUM(B78:L78)</f>
        <v>3318.17945212027</v>
      </c>
      <c r="N78" s="56" t="n">
        <f aca="false">(Paths!W78*army_cost+Paths!X78*res_cost)*Economy!H78/1000000</f>
        <v>57.0708</v>
      </c>
      <c r="O78" s="72" t="n">
        <f aca="false">Navy!Y78</f>
        <v>152.3803925</v>
      </c>
      <c r="P78" s="56" t="n">
        <f aca="false">SUMPRODUCT((Events!$B$6:$B$174&lt;=$A78)*(Events!$C$6:$C$174&gt;=$A78)*(Events!$E$6:$E$174="War &amp; operations")*Events!$H$6:$H$174)</f>
        <v>121.165787621695</v>
      </c>
      <c r="Q78" s="56" t="n">
        <f aca="false">Economy!O78*Paths!T78</f>
        <v>1153.70137217022</v>
      </c>
      <c r="R78" s="56" t="n">
        <f aca="false">Economy!O78*Paths!U78</f>
        <v>557.343658053245</v>
      </c>
      <c r="S78" s="56" t="n">
        <f aca="false">Economy!O78*Paths!V78+SUMPRODUCT((Events!$B$6:$B$174&lt;=$A78)*(Events!$C$6:$C$174&gt;=$A78)*(Events!$E$6:$E$174="Programme")*Events!$H$6:$H$174)+SUMPRODUCT((Events!$B$6:$B$174&lt;=$A78)*(Events!$C$6:$C$174&gt;=$A78)*(Events!$E$6:$E$174="Investment")*Events!$H$6:$H$174)</f>
        <v>231.017463221298</v>
      </c>
      <c r="T78" s="56" t="n">
        <f aca="false">(People!T78*assist_cost+Labour!AD78*talent_cost+Labour!L78*gw_admin)*Economy!H78/1000000</f>
        <v>51.9431649464865</v>
      </c>
      <c r="U78" s="56" t="n">
        <f aca="false">SUMPRODUCT((Events!$B$6:$B$174&lt;=$A78)*(Events!$C$6:$C$174&gt;=$A78)*(Events!$E$6:$E$174="Purchase")*Events!$H$6:$H$174)</f>
        <v>0</v>
      </c>
      <c r="V78" s="56" t="n">
        <f aca="false">SUMPRODUCT((Events!$B$6:$B$174&lt;=$A78)*(Events!$C$6:$C$174&gt;=$A78)*(Events!$E$6:$E$174="Subsidy &amp; guarantee")*Events!$H$6:$H$174)+SUMPRODUCT((Events!$B$6:$B$174&lt;=$A78)*(Events!$C$6:$C$174&gt;=$A78)*(Events!$E$6:$E$174="Relief")*Events!$H$6:$H$174)</f>
        <v>85.05</v>
      </c>
      <c r="W78" s="56" t="n">
        <f aca="false">SUMPRODUCT((Events!$B$6:$B$174&lt;=$A78)*(Events!$C$6:$C$174&gt;=$A78)*(Events!$E$6:$E$174="Bank rescue &amp; capital")*Events!$H$6:$H$174)</f>
        <v>0</v>
      </c>
      <c r="X78" s="56" t="n">
        <f aca="false">'Debt &amp; cash'!R77*Paths!Y78</f>
        <v>56.8707701364988</v>
      </c>
      <c r="Y78" s="56" t="n">
        <f aca="false">SUM(N78:X78)</f>
        <v>2466.54340864944</v>
      </c>
      <c r="Z78" s="56" t="n">
        <f aca="false">M78-Y78</f>
        <v>851.636043470828</v>
      </c>
      <c r="AA78" s="66" t="n">
        <f aca="false">M78/Economy!O78</f>
        <v>0.119071219495361</v>
      </c>
      <c r="AB78" s="66" t="n">
        <f aca="false">Y78/Economy!O78</f>
        <v>0.0885106835974369</v>
      </c>
      <c r="AC78" s="66" t="n">
        <f aca="false">(N78+O78+P78)/Economy!O78</f>
        <v>0.0118640259145143</v>
      </c>
    </row>
    <row r="79" customFormat="false" ht="14.25" hidden="false" customHeight="false" outlineLevel="0" collapsed="false">
      <c r="A79" s="64" t="n">
        <v>1919</v>
      </c>
      <c r="B79" s="56" t="n">
        <f aca="false">Economy!O79*Paths!N79*Paths!O79*cust_coll</f>
        <v>594.291350886306</v>
      </c>
      <c r="C79" s="56" t="n">
        <f aca="false">(Economy!J79+Economy!L79+Economy!M79+Economy!N79)*Paths!P79*Paths!Q79</f>
        <v>2533.19221680024</v>
      </c>
      <c r="D79" s="56" t="n">
        <f aca="false">Resources!P79+Resources!Q79</f>
        <v>31.5975</v>
      </c>
      <c r="E79" s="56" t="n">
        <f aca="false">Paths!S79*(1-canal_opcost)*canal_share</f>
        <v>10.2</v>
      </c>
      <c r="F79" s="56" t="n">
        <f aca="false">Economy!O79*Paths!R79</f>
        <v>63.3221828928852</v>
      </c>
      <c r="G79" s="56" t="n">
        <f aca="false">SUMPRODUCT((Events!$B$6:$B$174&lt;=$A79)*(Events!$C$6:$C$174&gt;=$A79)*(Events!$E$6:$E$174="Receipt")*Events!$H$6:$H$174)</f>
        <v>7.15</v>
      </c>
      <c r="H79" s="72" t="n">
        <f aca="false">Loans!Y79</f>
        <v>81.6790122916747</v>
      </c>
      <c r="I79" s="56" t="n">
        <f aca="false">'Debt &amp; cash'!S78*fund_yield</f>
        <v>6.50129803772468</v>
      </c>
      <c r="J79" s="72" t="n">
        <f aca="false">Labour!Q79</f>
        <v>293.625922129729</v>
      </c>
      <c r="K79" s="72" t="n">
        <f aca="false">Champions!BD79</f>
        <v>73.4949854714379</v>
      </c>
      <c r="L79" s="72" t="n">
        <f aca="false">Abroad!N79</f>
        <v>75.8154753466792</v>
      </c>
      <c r="M79" s="56" t="n">
        <f aca="false">SUM(B79:L79)</f>
        <v>3770.86994385668</v>
      </c>
      <c r="N79" s="56" t="n">
        <f aca="false">(Paths!W79*army_cost+Paths!X79*res_cost)*Economy!H79/1000000</f>
        <v>62.99775</v>
      </c>
      <c r="O79" s="72" t="n">
        <f aca="false">Navy!Y79</f>
        <v>136.04413</v>
      </c>
      <c r="P79" s="56" t="n">
        <f aca="false">SUMPRODUCT((Events!$B$6:$B$174&lt;=$A79)*(Events!$C$6:$C$174&gt;=$A79)*(Events!$E$6:$E$174="War &amp; operations")*Events!$H$6:$H$174)</f>
        <v>348.95221304549</v>
      </c>
      <c r="Q79" s="56" t="n">
        <f aca="false">Economy!O79*Paths!T79</f>
        <v>1320.26751331666</v>
      </c>
      <c r="R79" s="56" t="n">
        <f aca="false">Economy!O79*Paths!U79</f>
        <v>633.221828928852</v>
      </c>
      <c r="S79" s="56" t="n">
        <f aca="false">Economy!O79*Paths!V79+SUMPRODUCT((Events!$B$6:$B$174&lt;=$A79)*(Events!$C$6:$C$174&gt;=$A79)*(Events!$E$6:$E$174="Programme")*Events!$H$6:$H$174)+SUMPRODUCT((Events!$B$6:$B$174&lt;=$A79)*(Events!$C$6:$C$174&gt;=$A79)*(Events!$E$6:$E$174="Investment")*Events!$H$6:$H$174)</f>
        <v>264.168731571541</v>
      </c>
      <c r="T79" s="56" t="n">
        <f aca="false">(People!T79*assist_cost+Labour!AD79*talent_cost+Labour!L79*gw_admin)*Economy!H79/1000000</f>
        <v>70.7185324852123</v>
      </c>
      <c r="U79" s="56" t="n">
        <f aca="false">SUMPRODUCT((Events!$B$6:$B$174&lt;=$A79)*(Events!$C$6:$C$174&gt;=$A79)*(Events!$E$6:$E$174="Purchase")*Events!$H$6:$H$174)</f>
        <v>0</v>
      </c>
      <c r="V79" s="56" t="n">
        <f aca="false">SUMPRODUCT((Events!$B$6:$B$174&lt;=$A79)*(Events!$C$6:$C$174&gt;=$A79)*(Events!$E$6:$E$174="Subsidy &amp; guarantee")*Events!$H$6:$H$174)+SUMPRODUCT((Events!$B$6:$B$174&lt;=$A79)*(Events!$C$6:$C$174&gt;=$A79)*(Events!$E$6:$E$174="Relief")*Events!$H$6:$H$174)</f>
        <v>60.8</v>
      </c>
      <c r="W79" s="56" t="n">
        <f aca="false">SUMPRODUCT((Events!$B$6:$B$174&lt;=$A79)*(Events!$C$6:$C$174&gt;=$A79)*(Events!$E$6:$E$174="Bank rescue &amp; capital")*Events!$H$6:$H$174)</f>
        <v>0</v>
      </c>
      <c r="X79" s="56" t="n">
        <f aca="false">'Debt &amp; cash'!R78*Paths!Y79</f>
        <v>68.1352621970092</v>
      </c>
      <c r="Y79" s="56" t="n">
        <f aca="false">SUM(N79:X79)</f>
        <v>2965.30596154476</v>
      </c>
      <c r="Z79" s="56" t="n">
        <f aca="false">M79-Y79</f>
        <v>805.563982311916</v>
      </c>
      <c r="AA79" s="66" t="n">
        <f aca="false">M79/Economy!O79</f>
        <v>0.119101072375708</v>
      </c>
      <c r="AB79" s="66" t="n">
        <f aca="false">Y79/Economy!O79</f>
        <v>0.0936577302320997</v>
      </c>
      <c r="AC79" s="66" t="n">
        <f aca="false">(N79+O79+P79)/Economy!O79</f>
        <v>0.0173081238836149</v>
      </c>
    </row>
    <row r="80" customFormat="false" ht="14.25" hidden="false" customHeight="false" outlineLevel="0" collapsed="false">
      <c r="A80" s="64" t="n">
        <v>1920</v>
      </c>
      <c r="B80" s="56" t="n">
        <f aca="false">Economy!O80*Paths!N80*Paths!O80*cust_coll</f>
        <v>690.526712263768</v>
      </c>
      <c r="C80" s="56" t="n">
        <f aca="false">(Economy!J80+Economy!L80+Economy!M80+Economy!N80)*Paths!P80*Paths!Q80</f>
        <v>2970.31275614416</v>
      </c>
      <c r="D80" s="56" t="n">
        <f aca="false">Resources!P80+Resources!Q80</f>
        <v>35.1025</v>
      </c>
      <c r="E80" s="56" t="n">
        <f aca="false">Paths!S80*(1-canal_opcost)*canal_share</f>
        <v>12</v>
      </c>
      <c r="F80" s="56" t="n">
        <f aca="false">Economy!O80*Paths!R80</f>
        <v>74.173617799236</v>
      </c>
      <c r="G80" s="56" t="n">
        <f aca="false">SUMPRODUCT((Events!$B$6:$B$174&lt;=$A80)*(Events!$C$6:$C$174&gt;=$A80)*(Events!$E$6:$E$174="Receipt")*Events!$H$6:$H$174)</f>
        <v>7.15</v>
      </c>
      <c r="H80" s="72" t="n">
        <f aca="false">Loans!Y80</f>
        <v>82.3415126499627</v>
      </c>
      <c r="I80" s="56" t="n">
        <f aca="false">'Debt &amp; cash'!S79*fund_yield</f>
        <v>8.06759895904641</v>
      </c>
      <c r="J80" s="72" t="n">
        <f aca="false">Labour!Q80</f>
        <v>338.628486666997</v>
      </c>
      <c r="K80" s="72" t="n">
        <f aca="false">Champions!BD80</f>
        <v>80.7417676055697</v>
      </c>
      <c r="L80" s="72" t="n">
        <f aca="false">Abroad!N80</f>
        <v>87.5251374113333</v>
      </c>
      <c r="M80" s="56" t="n">
        <f aca="false">SUM(B80:L80)</f>
        <v>4386.57008950007</v>
      </c>
      <c r="N80" s="56" t="n">
        <f aca="false">(Paths!W80*army_cost+Paths!X80*res_cost)*Economy!H80/1000000</f>
        <v>70.6635</v>
      </c>
      <c r="O80" s="72" t="n">
        <f aca="false">Navy!Y80</f>
        <v>152.492015</v>
      </c>
      <c r="P80" s="56" t="n">
        <f aca="false">SUMPRODUCT((Events!$B$6:$B$174&lt;=$A80)*(Events!$C$6:$C$174&gt;=$A80)*(Events!$E$6:$E$174="War &amp; operations")*Events!$H$6:$H$174)</f>
        <v>288.679932875926</v>
      </c>
      <c r="Q80" s="56" t="n">
        <f aca="false">Economy!O80*Paths!T80</f>
        <v>1557.64597378396</v>
      </c>
      <c r="R80" s="56" t="n">
        <f aca="false">Economy!O80*Paths!U80</f>
        <v>741.736177992361</v>
      </c>
      <c r="S80" s="56" t="n">
        <f aca="false">Economy!O80*Paths!V80+SUMPRODUCT((Events!$B$6:$B$174&lt;=$A80)*(Events!$C$6:$C$174&gt;=$A80)*(Events!$E$6:$E$174="Programme")*Events!$H$6:$H$174)+SUMPRODUCT((Events!$B$6:$B$174&lt;=$A80)*(Events!$C$6:$C$174&gt;=$A80)*(Events!$E$6:$E$174="Investment")*Events!$H$6:$H$174)</f>
        <v>306.574471196944</v>
      </c>
      <c r="T80" s="56" t="n">
        <f aca="false">(People!T80*assist_cost+Labour!AD80*talent_cost+Labour!L80*gw_admin)*Economy!H80/1000000</f>
        <v>81.8272278831703</v>
      </c>
      <c r="U80" s="56" t="n">
        <f aca="false">SUMPRODUCT((Events!$B$6:$B$174&lt;=$A80)*(Events!$C$6:$C$174&gt;=$A80)*(Events!$E$6:$E$174="Purchase")*Events!$H$6:$H$174)</f>
        <v>0</v>
      </c>
      <c r="V80" s="56" t="n">
        <f aca="false">SUMPRODUCT((Events!$B$6:$B$174&lt;=$A80)*(Events!$C$6:$C$174&gt;=$A80)*(Events!$E$6:$E$174="Subsidy &amp; guarantee")*Events!$H$6:$H$174)+SUMPRODUCT((Events!$B$6:$B$174&lt;=$A80)*(Events!$C$6:$C$174&gt;=$A80)*(Events!$E$6:$E$174="Relief")*Events!$H$6:$H$174)</f>
        <v>1.05</v>
      </c>
      <c r="W80" s="56" t="n">
        <f aca="false">SUMPRODUCT((Events!$B$6:$B$174&lt;=$A80)*(Events!$C$6:$C$174&gt;=$A80)*(Events!$E$6:$E$174="Bank rescue &amp; capital")*Events!$H$6:$H$174)</f>
        <v>0</v>
      </c>
      <c r="X80" s="56" t="n">
        <f aca="false">'Debt &amp; cash'!R79*Paths!Y80</f>
        <v>77.0947576720877</v>
      </c>
      <c r="Y80" s="56" t="n">
        <f aca="false">SUM(N80:X80)</f>
        <v>3277.76405640445</v>
      </c>
      <c r="Z80" s="56" t="n">
        <f aca="false">M80-Y80</f>
        <v>1108.80603309562</v>
      </c>
      <c r="AA80" s="66" t="n">
        <f aca="false">M80/Economy!O80</f>
        <v>0.118278445076606</v>
      </c>
      <c r="AB80" s="66" t="n">
        <f aca="false">Y80/Economy!O80</f>
        <v>0.0883808597627337</v>
      </c>
      <c r="AC80" s="66" t="n">
        <f aca="false">(N80+O80+P80)/Economy!O80</f>
        <v>0.0138010107383814</v>
      </c>
    </row>
    <row r="81" customFormat="false" ht="14.25" hidden="false" customHeight="false" outlineLevel="0" collapsed="false">
      <c r="A81" s="64" t="n">
        <v>1921</v>
      </c>
      <c r="B81" s="56" t="n">
        <f aca="false">Economy!O81*Paths!N81*Paths!O81*cust_coll</f>
        <v>559.815891253623</v>
      </c>
      <c r="C81" s="56" t="n">
        <f aca="false">(Economy!J81+Economy!L81+Economy!M81+Economy!N81)*Paths!P81*Paths!Q81</f>
        <v>2045.9897370807</v>
      </c>
      <c r="D81" s="56" t="n">
        <f aca="false">Resources!P81+Resources!Q81</f>
        <v>30.872875</v>
      </c>
      <c r="E81" s="56" t="n">
        <f aca="false">Paths!S81*(1-canal_opcost)*canal_share</f>
        <v>12.72</v>
      </c>
      <c r="F81" s="56" t="n">
        <f aca="false">Economy!O81*Paths!R81</f>
        <v>60.6255026265565</v>
      </c>
      <c r="G81" s="56" t="n">
        <f aca="false">SUMPRODUCT((Events!$B$6:$B$174&lt;=$A81)*(Events!$C$6:$C$174&gt;=$A81)*(Events!$E$6:$E$174="Receipt")*Events!$H$6:$H$174)</f>
        <v>7.15</v>
      </c>
      <c r="H81" s="72" t="n">
        <f aca="false">Loans!Y81</f>
        <v>82.9775129939192</v>
      </c>
      <c r="I81" s="56" t="n">
        <f aca="false">'Debt &amp; cash'!S80*fund_yield</f>
        <v>10.2559119134885</v>
      </c>
      <c r="J81" s="72" t="n">
        <f aca="false">Labour!Q81</f>
        <v>239.915758013842</v>
      </c>
      <c r="K81" s="72" t="n">
        <f aca="false">Champions!BD81</f>
        <v>85.2748367164505</v>
      </c>
      <c r="L81" s="72" t="n">
        <f aca="false">Abroad!N81</f>
        <v>99.1155079581575</v>
      </c>
      <c r="M81" s="56" t="n">
        <f aca="false">SUM(B81:L81)</f>
        <v>3234.71353355674</v>
      </c>
      <c r="N81" s="56" t="n">
        <f aca="false">(Paths!W81*army_cost+Paths!X81*res_cost)*Economy!H81/1000000</f>
        <v>55.675</v>
      </c>
      <c r="O81" s="72" t="n">
        <f aca="false">Navy!Y81</f>
        <v>144.2009425</v>
      </c>
      <c r="P81" s="56" t="n">
        <f aca="false">SUMPRODUCT((Events!$B$6:$B$174&lt;=$A81)*(Events!$C$6:$C$174&gt;=$A81)*(Events!$E$6:$E$174="War &amp; operations")*Events!$H$6:$H$174)</f>
        <v>165.704891169161</v>
      </c>
      <c r="Q81" s="56" t="n">
        <f aca="false">Economy!O81*Paths!T81</f>
        <v>1282.22938055167</v>
      </c>
      <c r="R81" s="56" t="n">
        <f aca="false">Economy!O81*Paths!U81</f>
        <v>606.255026265565</v>
      </c>
      <c r="S81" s="56" t="n">
        <f aca="false">Economy!O81*Paths!V81+SUMPRODUCT((Events!$B$6:$B$174&lt;=$A81)*(Events!$C$6:$C$174&gt;=$A81)*(Events!$E$6:$E$174="Programme")*Events!$H$6:$H$174)+SUMPRODUCT((Events!$B$6:$B$174&lt;=$A81)*(Events!$C$6:$C$174&gt;=$A81)*(Events!$E$6:$E$174="Investment")*Events!$H$6:$H$174)</f>
        <v>252.382010506226</v>
      </c>
      <c r="T81" s="56" t="n">
        <f aca="false">(People!T81*assist_cost+Labour!AD81*talent_cost+Labour!L81*gw_admin)*Economy!H81/1000000</f>
        <v>68.9658489163647</v>
      </c>
      <c r="U81" s="56" t="n">
        <f aca="false">SUMPRODUCT((Events!$B$6:$B$174&lt;=$A81)*(Events!$C$6:$C$174&gt;=$A81)*(Events!$E$6:$E$174="Purchase")*Events!$H$6:$H$174)</f>
        <v>0.1</v>
      </c>
      <c r="V81" s="56" t="n">
        <f aca="false">SUMPRODUCT((Events!$B$6:$B$174&lt;=$A81)*(Events!$C$6:$C$174&gt;=$A81)*(Events!$E$6:$E$174="Subsidy &amp; guarantee")*Events!$H$6:$H$174)+SUMPRODUCT((Events!$B$6:$B$174&lt;=$A81)*(Events!$C$6:$C$174&gt;=$A81)*(Events!$E$6:$E$174="Relief")*Events!$H$6:$H$174)</f>
        <v>0.3</v>
      </c>
      <c r="W81" s="56" t="n">
        <f aca="false">SUMPRODUCT((Events!$B$6:$B$174&lt;=$A81)*(Events!$C$6:$C$174&gt;=$A81)*(Events!$E$6:$E$174="Bank rescue &amp; capital")*Events!$H$6:$H$174)</f>
        <v>0</v>
      </c>
      <c r="X81" s="56" t="n">
        <f aca="false">'Debt &amp; cash'!R80*Paths!Y81</f>
        <v>89.7500775370756</v>
      </c>
      <c r="Y81" s="56" t="n">
        <f aca="false">SUM(N81:X81)</f>
        <v>2665.56317744606</v>
      </c>
      <c r="Z81" s="56" t="n">
        <f aca="false">M81-Y81</f>
        <v>569.150356110675</v>
      </c>
      <c r="AA81" s="66" t="n">
        <f aca="false">M81/Economy!O81</f>
        <v>0.106711314328627</v>
      </c>
      <c r="AB81" s="66" t="n">
        <f aca="false">Y81/Economy!O81</f>
        <v>0.0879353757729815</v>
      </c>
      <c r="AC81" s="66" t="n">
        <f aca="false">(N81+O81+P81)/Economy!O81</f>
        <v>0.0120602986476197</v>
      </c>
    </row>
    <row r="82" customFormat="false" ht="14.25" hidden="false" customHeight="false" outlineLevel="0" collapsed="false">
      <c r="A82" s="64" t="n">
        <v>1922</v>
      </c>
      <c r="B82" s="56" t="n">
        <f aca="false">Economy!O82*Paths!N82*Paths!O82*cust_coll</f>
        <v>576.369879535303</v>
      </c>
      <c r="C82" s="56" t="n">
        <f aca="false">(Economy!J82+Economy!L82+Economy!M82+Economy!N82)*Paths!P82*Paths!Q82</f>
        <v>2120.66723610645</v>
      </c>
      <c r="D82" s="56" t="n">
        <f aca="false">Resources!P82+Resources!Q82</f>
        <v>33.637</v>
      </c>
      <c r="E82" s="56" t="n">
        <f aca="false">Paths!S82*(1-canal_opcost)*canal_share</f>
        <v>13.44</v>
      </c>
      <c r="F82" s="56" t="n">
        <f aca="false">Economy!O82*Paths!R82</f>
        <v>62.8963835456146</v>
      </c>
      <c r="G82" s="56" t="n">
        <f aca="false">SUMPRODUCT((Events!$B$6:$B$174&lt;=$A82)*(Events!$C$6:$C$174&gt;=$A82)*(Events!$E$6:$E$174="Receipt")*Events!$H$6:$H$174)</f>
        <v>10.35</v>
      </c>
      <c r="H82" s="72" t="n">
        <f aca="false">Loans!Y82</f>
        <v>83.5880733241175</v>
      </c>
      <c r="I82" s="56" t="n">
        <f aca="false">'Debt &amp; cash'!S81*fund_yield</f>
        <v>12.1976601349564</v>
      </c>
      <c r="J82" s="72" t="n">
        <f aca="false">Labour!Q82</f>
        <v>247.139566090618</v>
      </c>
      <c r="K82" s="72" t="n">
        <f aca="false">Champions!BD82</f>
        <v>94.3891521645448</v>
      </c>
      <c r="L82" s="72" t="n">
        <f aca="false">Abroad!N82</f>
        <v>109.963510168085</v>
      </c>
      <c r="M82" s="56" t="n">
        <f aca="false">SUM(B82:L82)</f>
        <v>3364.63846106969</v>
      </c>
      <c r="N82" s="56" t="n">
        <f aca="false">(Paths!W82*army_cost+Paths!X82*res_cost)*Economy!H82/1000000</f>
        <v>49.0274</v>
      </c>
      <c r="O82" s="72" t="n">
        <f aca="false">Navy!Y82</f>
        <v>145.2846805</v>
      </c>
      <c r="P82" s="56" t="n">
        <f aca="false">SUMPRODUCT((Events!$B$6:$B$174&lt;=$A82)*(Events!$C$6:$C$174&gt;=$A82)*(Events!$E$6:$E$174="War &amp; operations")*Events!$H$6:$H$174)</f>
        <v>81.2913264123559</v>
      </c>
      <c r="Q82" s="56" t="n">
        <f aca="false">Economy!O82*Paths!T82</f>
        <v>1342.83778869887</v>
      </c>
      <c r="R82" s="56" t="n">
        <f aca="false">Economy!O82*Paths!U82</f>
        <v>628.963835456146</v>
      </c>
      <c r="S82" s="56" t="n">
        <f aca="false">Economy!O82*Paths!V82+SUMPRODUCT((Events!$B$6:$B$174&lt;=$A82)*(Events!$C$6:$C$174&gt;=$A82)*(Events!$E$6:$E$174="Programme")*Events!$H$6:$H$174)+SUMPRODUCT((Events!$B$6:$B$174&lt;=$A82)*(Events!$C$6:$C$174&gt;=$A82)*(Events!$E$6:$E$174="Investment")*Events!$H$6:$H$174)</f>
        <v>261.465534182459</v>
      </c>
      <c r="T82" s="56" t="n">
        <f aca="false">(People!T82*assist_cost+Labour!AD82*talent_cost+Labour!L82*gw_admin)*Economy!H82/1000000</f>
        <v>70.269187196896</v>
      </c>
      <c r="U82" s="56" t="n">
        <f aca="false">SUMPRODUCT((Events!$B$6:$B$174&lt;=$A82)*(Events!$C$6:$C$174&gt;=$A82)*(Events!$E$6:$E$174="Purchase")*Events!$H$6:$H$174)</f>
        <v>0</v>
      </c>
      <c r="V82" s="56" t="n">
        <f aca="false">SUMPRODUCT((Events!$B$6:$B$174&lt;=$A82)*(Events!$C$6:$C$174&gt;=$A82)*(Events!$E$6:$E$174="Subsidy &amp; guarantee")*Events!$H$6:$H$174)+SUMPRODUCT((Events!$B$6:$B$174&lt;=$A82)*(Events!$C$6:$C$174&gt;=$A82)*(Events!$E$6:$E$174="Relief")*Events!$H$6:$H$174)</f>
        <v>0.05</v>
      </c>
      <c r="W82" s="56" t="n">
        <f aca="false">SUMPRODUCT((Events!$B$6:$B$174&lt;=$A82)*(Events!$C$6:$C$174&gt;=$A82)*(Events!$E$6:$E$174="Bank rescue &amp; capital")*Events!$H$6:$H$174)</f>
        <v>0</v>
      </c>
      <c r="X82" s="56" t="n">
        <f aca="false">'Debt &amp; cash'!R81*Paths!Y82</f>
        <v>78.2323988316429</v>
      </c>
      <c r="Y82" s="56" t="n">
        <f aca="false">SUM(N82:X82)</f>
        <v>2657.42215127837</v>
      </c>
      <c r="Z82" s="56" t="n">
        <f aca="false">M82-Y82</f>
        <v>707.216309791322</v>
      </c>
      <c r="AA82" s="66" t="n">
        <f aca="false">M82/Economy!O82</f>
        <v>0.106989886266817</v>
      </c>
      <c r="AB82" s="66" t="n">
        <f aca="false">Y82/Economy!O82</f>
        <v>0.084501588214563</v>
      </c>
      <c r="AC82" s="66" t="n">
        <f aca="false">(N82+O82+P82)/Economy!O82</f>
        <v>0.00876372825831803</v>
      </c>
    </row>
    <row r="83" customFormat="false" ht="14.25" hidden="false" customHeight="false" outlineLevel="0" collapsed="false">
      <c r="A83" s="61" t="n">
        <v>1923</v>
      </c>
      <c r="B83" s="56" t="n">
        <f aca="false">Economy!O83*Paths!N83*Paths!O83*cust_coll</f>
        <v>646.7327142755</v>
      </c>
      <c r="C83" s="56" t="n">
        <f aca="false">(Economy!J83+Economy!L83+Economy!M83+Economy!N83)*Paths!P83*Paths!Q83</f>
        <v>2398.09564279648</v>
      </c>
      <c r="D83" s="56" t="n">
        <f aca="false">Resources!P83+Resources!Q83</f>
        <v>41.0605</v>
      </c>
      <c r="E83" s="56" t="n">
        <f aca="false">Paths!S83*(1-canal_opcost)*canal_share</f>
        <v>14.16</v>
      </c>
      <c r="F83" s="56" t="n">
        <f aca="false">Economy!O83*Paths!R83</f>
        <v>71.1618047881319</v>
      </c>
      <c r="G83" s="56" t="n">
        <f aca="false">SUMPRODUCT((Events!$B$6:$B$174&lt;=$A83)*(Events!$C$6:$C$174&gt;=$A83)*(Events!$E$6:$E$174="Receipt")*Events!$H$6:$H$174)</f>
        <v>10.35</v>
      </c>
      <c r="H83" s="72" t="n">
        <f aca="false">Loans!Y83</f>
        <v>58.7195940164901</v>
      </c>
      <c r="I83" s="56" t="n">
        <f aca="false">'Debt &amp; cash'!S82*fund_yield</f>
        <v>13.7138510424904</v>
      </c>
      <c r="J83" s="72" t="n">
        <f aca="false">Labour!Q83</f>
        <v>298.423680936536</v>
      </c>
      <c r="K83" s="72" t="n">
        <f aca="false">Champions!BD83</f>
        <v>104.181588187787</v>
      </c>
      <c r="L83" s="72" t="n">
        <f aca="false">Abroad!N83</f>
        <v>116.723635095469</v>
      </c>
      <c r="M83" s="56" t="n">
        <f aca="false">SUM(B83:L83)</f>
        <v>3773.32301113889</v>
      </c>
      <c r="N83" s="56" t="n">
        <f aca="false">(Paths!W83*army_cost+Paths!X83*res_cost)*Economy!H83/1000000</f>
        <v>49.5477</v>
      </c>
      <c r="O83" s="72" t="n">
        <f aca="false">Navy!Y83</f>
        <v>137.193832</v>
      </c>
      <c r="P83" s="56" t="n">
        <f aca="false">SUMPRODUCT((Events!$B$6:$B$174&lt;=$A83)*(Events!$C$6:$C$174&gt;=$A83)*(Events!$E$6:$E$174="War &amp; operations")*Events!$H$6:$H$174)</f>
        <v>43.0642683096106</v>
      </c>
      <c r="Q83" s="56" t="n">
        <f aca="false">Economy!O83*Paths!T83</f>
        <v>1529.97880294484</v>
      </c>
      <c r="R83" s="56" t="n">
        <f aca="false">Economy!O83*Paths!U83</f>
        <v>711.618047881319</v>
      </c>
      <c r="S83" s="56" t="n">
        <f aca="false">Economy!O83*Paths!V83+SUMPRODUCT((Events!$B$6:$B$174&lt;=$A83)*(Events!$C$6:$C$174&gt;=$A83)*(Events!$E$6:$E$174="Programme")*Events!$H$6:$H$174)+SUMPRODUCT((Events!$B$6:$B$174&lt;=$A83)*(Events!$C$6:$C$174&gt;=$A83)*(Events!$E$6:$E$174="Investment")*Events!$H$6:$H$174)</f>
        <v>295.527219152528</v>
      </c>
      <c r="T83" s="56" t="n">
        <f aca="false">(People!T83*assist_cost+Labour!AD83*talent_cost+Labour!L83*gw_admin)*Economy!H83/1000000</f>
        <v>69.8912502089936</v>
      </c>
      <c r="U83" s="56" t="n">
        <f aca="false">SUMPRODUCT((Events!$B$6:$B$174&lt;=$A83)*(Events!$C$6:$C$174&gt;=$A83)*(Events!$E$6:$E$174="Purchase")*Events!$H$6:$H$174)</f>
        <v>0</v>
      </c>
      <c r="V83" s="56" t="n">
        <f aca="false">SUMPRODUCT((Events!$B$6:$B$174&lt;=$A83)*(Events!$C$6:$C$174&gt;=$A83)*(Events!$E$6:$E$174="Subsidy &amp; guarantee")*Events!$H$6:$H$174)+SUMPRODUCT((Events!$B$6:$B$174&lt;=$A83)*(Events!$C$6:$C$174&gt;=$A83)*(Events!$E$6:$E$174="Relief")*Events!$H$6:$H$174)</f>
        <v>0.05</v>
      </c>
      <c r="W83" s="56" t="n">
        <f aca="false">SUMPRODUCT((Events!$B$6:$B$174&lt;=$A83)*(Events!$C$6:$C$174&gt;=$A83)*(Events!$E$6:$E$174="Bank rescue &amp; capital")*Events!$H$6:$H$174)</f>
        <v>0</v>
      </c>
      <c r="X83" s="56" t="n">
        <f aca="false">'Debt &amp; cash'!R82*Paths!Y83</f>
        <v>75.4756602547376</v>
      </c>
      <c r="Y83" s="56" t="n">
        <f aca="false">SUM(N83:X83)</f>
        <v>2912.34678075202</v>
      </c>
      <c r="Z83" s="56" t="n">
        <f aca="false">M83-Y83</f>
        <v>860.976230386865</v>
      </c>
      <c r="AA83" s="66" t="n">
        <f aca="false">M83/Economy!O83</f>
        <v>0.106049109416859</v>
      </c>
      <c r="AB83" s="66" t="n">
        <f aca="false">Y83/Economy!O83</f>
        <v>0.0818514029941448</v>
      </c>
      <c r="AC83" s="66" t="n">
        <f aca="false">(N83+O83+P83)/Economy!O83</f>
        <v>0.00645868386822974</v>
      </c>
    </row>
    <row r="84" customFormat="false" ht="14.25" hidden="false" customHeight="false" outlineLevel="0" collapsed="false">
      <c r="A84" s="61" t="n">
        <v>1924</v>
      </c>
      <c r="B84" s="56" t="n">
        <f aca="false">Economy!O84*Paths!N84*Paths!O84*cust_coll</f>
        <v>685.826884282084</v>
      </c>
      <c r="C84" s="56" t="n">
        <f aca="false">(Economy!J84+Economy!L84+Economy!M84+Economy!N84)*Paths!P84*Paths!Q84</f>
        <v>2562.50145616746</v>
      </c>
      <c r="D84" s="56" t="n">
        <f aca="false">Resources!P84+Resources!Q84</f>
        <v>47.8965</v>
      </c>
      <c r="E84" s="56" t="n">
        <f aca="false">Paths!S84*(1-canal_opcost)*canal_share</f>
        <v>14.88</v>
      </c>
      <c r="F84" s="56" t="n">
        <f aca="false">Economy!O84*Paths!R84</f>
        <v>76.0964521095005</v>
      </c>
      <c r="G84" s="56" t="n">
        <f aca="false">SUMPRODUCT((Events!$B$6:$B$174&lt;=$A84)*(Events!$C$6:$C$174&gt;=$A84)*(Events!$E$6:$E$174="Receipt")*Events!$H$6:$H$174)</f>
        <v>10.35</v>
      </c>
      <c r="H84" s="72" t="n">
        <f aca="false">Loans!Y84</f>
        <v>60.3066959524127</v>
      </c>
      <c r="I84" s="56" t="n">
        <f aca="false">'Debt &amp; cash'!S83*fund_yield</f>
        <v>15.4135502169088</v>
      </c>
      <c r="J84" s="72" t="n">
        <f aca="false">Labour!Q84</f>
        <v>331.71003739657</v>
      </c>
      <c r="K84" s="72" t="n">
        <f aca="false">Champions!BD84</f>
        <v>112.953880065492</v>
      </c>
      <c r="L84" s="72" t="n">
        <f aca="false">Abroad!N84</f>
        <v>127.971384080267</v>
      </c>
      <c r="M84" s="56" t="n">
        <f aca="false">SUM(B84:L84)</f>
        <v>4045.9068402707</v>
      </c>
      <c r="N84" s="56" t="n">
        <f aca="false">(Paths!W84*army_cost+Paths!X84*res_cost)*Economy!H84/1000000</f>
        <v>48.9402</v>
      </c>
      <c r="O84" s="72" t="n">
        <f aca="false">Navy!Y84</f>
        <v>162.338877</v>
      </c>
      <c r="P84" s="56" t="n">
        <f aca="false">SUMPRODUCT((Events!$B$6:$B$174&lt;=$A84)*(Events!$C$6:$C$174&gt;=$A84)*(Events!$E$6:$E$174="War &amp; operations")*Events!$H$6:$H$174)</f>
        <v>42.8178663096106</v>
      </c>
      <c r="Q84" s="56" t="n">
        <f aca="false">Economy!O84*Paths!T84</f>
        <v>1647.48818817069</v>
      </c>
      <c r="R84" s="56" t="n">
        <f aca="false">Economy!O84*Paths!U84</f>
        <v>760.964521095005</v>
      </c>
      <c r="S84" s="56" t="n">
        <f aca="false">Economy!O84*Paths!V84+SUMPRODUCT((Events!$B$6:$B$174&lt;=$A84)*(Events!$C$6:$C$174&gt;=$A84)*(Events!$E$6:$E$174="Programme")*Events!$H$6:$H$174)+SUMPRODUCT((Events!$B$6:$B$174&lt;=$A84)*(Events!$C$6:$C$174&gt;=$A84)*(Events!$E$6:$E$174="Investment")*Events!$H$6:$H$174)</f>
        <v>313.465808438002</v>
      </c>
      <c r="T84" s="56" t="n">
        <f aca="false">(People!T84*assist_cost+Labour!AD84*talent_cost+Labour!L84*gw_admin)*Economy!H84/1000000</f>
        <v>69.0491976040147</v>
      </c>
      <c r="U84" s="56" t="n">
        <f aca="false">SUMPRODUCT((Events!$B$6:$B$174&lt;=$A84)*(Events!$C$6:$C$174&gt;=$A84)*(Events!$E$6:$E$174="Purchase")*Events!$H$6:$H$174)</f>
        <v>0</v>
      </c>
      <c r="V84" s="56" t="n">
        <f aca="false">SUMPRODUCT((Events!$B$6:$B$174&lt;=$A84)*(Events!$C$6:$C$174&gt;=$A84)*(Events!$E$6:$E$174="Subsidy &amp; guarantee")*Events!$H$6:$H$174)+SUMPRODUCT((Events!$B$6:$B$174&lt;=$A84)*(Events!$C$6:$C$174&gt;=$A84)*(Events!$E$6:$E$174="Relief")*Events!$H$6:$H$174)</f>
        <v>2.05</v>
      </c>
      <c r="W84" s="56" t="n">
        <f aca="false">SUMPRODUCT((Events!$B$6:$B$174&lt;=$A84)*(Events!$C$6:$C$174&gt;=$A84)*(Events!$E$6:$E$174="Bank rescue &amp; capital")*Events!$H$6:$H$174)</f>
        <v>0</v>
      </c>
      <c r="X84" s="56" t="n">
        <f aca="false">'Debt &amp; cash'!R83*Paths!Y84</f>
        <v>85.749974769699</v>
      </c>
      <c r="Y84" s="56" t="n">
        <f aca="false">SUM(N84:X84)</f>
        <v>3132.86463338702</v>
      </c>
      <c r="Z84" s="56" t="n">
        <f aca="false">M84-Y84</f>
        <v>913.042206883679</v>
      </c>
      <c r="AA84" s="66" t="n">
        <f aca="false">M84/Economy!O84</f>
        <v>0.10633628055218</v>
      </c>
      <c r="AB84" s="66" t="n">
        <f aca="false">Y84/Economy!O84</f>
        <v>0.0823393087730009</v>
      </c>
      <c r="AC84" s="66" t="n">
        <f aca="false">(N84+O84+P84)/Economy!O84</f>
        <v>0.00667828620824458</v>
      </c>
    </row>
    <row r="85" customFormat="false" ht="14.25" hidden="false" customHeight="false" outlineLevel="0" collapsed="false">
      <c r="A85" s="61" t="n">
        <v>1925</v>
      </c>
      <c r="B85" s="56" t="n">
        <f aca="false">Economy!O85*Paths!N85*Paths!O85*cust_coll</f>
        <v>735.762846506128</v>
      </c>
      <c r="C85" s="56" t="n">
        <f aca="false">(Economy!J85+Economy!L85+Economy!M85+Economy!N85)*Paths!P85*Paths!Q85</f>
        <v>2773.4914178369</v>
      </c>
      <c r="D85" s="56" t="n">
        <f aca="false">Resources!P85+Resources!Q85</f>
        <v>48.17</v>
      </c>
      <c r="E85" s="56" t="n">
        <f aca="false">Paths!S85*(1-canal_opcost)*canal_share</f>
        <v>15.6</v>
      </c>
      <c r="F85" s="56" t="n">
        <f aca="false">Economy!O85*Paths!R85</f>
        <v>82.3277214396473</v>
      </c>
      <c r="G85" s="56" t="n">
        <f aca="false">SUMPRODUCT((Events!$B$6:$B$174&lt;=$A85)*(Events!$C$6:$C$174&gt;=$A85)*(Events!$E$6:$E$174="Receipt")*Events!$H$6:$H$174)</f>
        <v>13.35</v>
      </c>
      <c r="H85" s="72" t="n">
        <f aca="false">Loans!Y85</f>
        <v>59.0613396397531</v>
      </c>
      <c r="I85" s="56" t="n">
        <f aca="false">'Debt &amp; cash'!S84*fund_yield</f>
        <v>17.4331678972392</v>
      </c>
      <c r="J85" s="72" t="n">
        <f aca="false">Labour!Q85</f>
        <v>370.31508561516</v>
      </c>
      <c r="K85" s="72" t="n">
        <f aca="false">Champions!BD85</f>
        <v>120.345786513331</v>
      </c>
      <c r="L85" s="72" t="n">
        <f aca="false">Abroad!N85</f>
        <v>139.376878386989</v>
      </c>
      <c r="M85" s="56" t="n">
        <f aca="false">SUM(B85:L85)</f>
        <v>4375.23424383514</v>
      </c>
      <c r="N85" s="56" t="n">
        <f aca="false">(Paths!W85*army_cost+Paths!X85*res_cost)*Economy!H85/1000000</f>
        <v>49.0875</v>
      </c>
      <c r="O85" s="72" t="n">
        <f aca="false">Navy!Y85</f>
        <v>167.308285</v>
      </c>
      <c r="P85" s="56" t="n">
        <f aca="false">SUMPRODUCT((Events!$B$6:$B$174&lt;=$A85)*(Events!$C$6:$C$174&gt;=$A85)*(Events!$E$6:$E$174="War &amp; operations")*Events!$H$6:$H$174)</f>
        <v>43.6107897597886</v>
      </c>
      <c r="Q85" s="56" t="n">
        <f aca="false">Economy!O85*Paths!T85</f>
        <v>1798.86071345629</v>
      </c>
      <c r="R85" s="56" t="n">
        <f aca="false">Economy!O85*Paths!U85</f>
        <v>823.277214396473</v>
      </c>
      <c r="S85" s="56" t="n">
        <f aca="false">Economy!O85*Paths!V85+SUMPRODUCT((Events!$B$6:$B$174&lt;=$A85)*(Events!$C$6:$C$174&gt;=$A85)*(Events!$E$6:$E$174="Programme")*Events!$H$6:$H$174)+SUMPRODUCT((Events!$B$6:$B$174&lt;=$A85)*(Events!$C$6:$C$174&gt;=$A85)*(Events!$E$6:$E$174="Investment")*Events!$H$6:$H$174)</f>
        <v>338.390885758589</v>
      </c>
      <c r="T85" s="56" t="n">
        <f aca="false">(People!T85*assist_cost+Labour!AD85*talent_cost+Labour!L85*gw_admin)*Economy!H85/1000000</f>
        <v>76.7372756107805</v>
      </c>
      <c r="U85" s="56" t="n">
        <f aca="false">SUMPRODUCT((Events!$B$6:$B$174&lt;=$A85)*(Events!$C$6:$C$174&gt;=$A85)*(Events!$E$6:$E$174="Purchase")*Events!$H$6:$H$174)</f>
        <v>0</v>
      </c>
      <c r="V85" s="56" t="n">
        <f aca="false">SUMPRODUCT((Events!$B$6:$B$174&lt;=$A85)*(Events!$C$6:$C$174&gt;=$A85)*(Events!$E$6:$E$174="Subsidy &amp; guarantee")*Events!$H$6:$H$174)+SUMPRODUCT((Events!$B$6:$B$174&lt;=$A85)*(Events!$C$6:$C$174&gt;=$A85)*(Events!$E$6:$E$174="Relief")*Events!$H$6:$H$174)</f>
        <v>2.05</v>
      </c>
      <c r="W85" s="56" t="n">
        <f aca="false">SUMPRODUCT((Events!$B$6:$B$174&lt;=$A85)*(Events!$C$6:$C$174&gt;=$A85)*(Events!$E$6:$E$174="Bank rescue &amp; capital")*Events!$H$6:$H$174)</f>
        <v>0</v>
      </c>
      <c r="X85" s="56" t="n">
        <f aca="false">'Debt &amp; cash'!R84*Paths!Y85</f>
        <v>92.0767070524956</v>
      </c>
      <c r="Y85" s="56" t="n">
        <f aca="false">SUM(N85:X85)</f>
        <v>3391.39937103442</v>
      </c>
      <c r="Z85" s="56" t="n">
        <f aca="false">M85-Y85</f>
        <v>983.834872800722</v>
      </c>
      <c r="AA85" s="66" t="n">
        <f aca="false">M85/Economy!O85</f>
        <v>0.106288238453011</v>
      </c>
      <c r="AB85" s="66" t="n">
        <f aca="false">Y85/Economy!O85</f>
        <v>0.0823877865615553</v>
      </c>
      <c r="AC85" s="66" t="n">
        <f aca="false">(N85+O85+P85)/Economy!O85</f>
        <v>0.00631637971300819</v>
      </c>
    </row>
    <row r="86" customFormat="false" ht="14.25" hidden="false" customHeight="false" outlineLevel="0" collapsed="false">
      <c r="A86" s="61" t="n">
        <v>1926</v>
      </c>
      <c r="B86" s="56" t="n">
        <f aca="false">Economy!O86*Paths!N86*Paths!O86*cust_coll</f>
        <v>761.706915280552</v>
      </c>
      <c r="C86" s="56" t="n">
        <f aca="false">(Economy!J86+Economy!L86+Economy!M86+Economy!N86)*Paths!P86*Paths!Q86</f>
        <v>2896.35049602938</v>
      </c>
      <c r="D86" s="56" t="n">
        <f aca="false">Resources!P86+Resources!Q86</f>
        <v>48.1525</v>
      </c>
      <c r="E86" s="56" t="n">
        <f aca="false">Paths!S86*(1-canal_opcost)*canal_share</f>
        <v>16.2</v>
      </c>
      <c r="F86" s="56" t="n">
        <f aca="false">Economy!O86*Paths!R86</f>
        <v>85.9578526283152</v>
      </c>
      <c r="G86" s="56" t="n">
        <f aca="false">SUMPRODUCT((Events!$B$6:$B$174&lt;=$A86)*(Events!$C$6:$C$174&gt;=$A86)*(Events!$E$6:$E$174="Receipt")*Events!$H$6:$H$174)</f>
        <v>13.35</v>
      </c>
      <c r="H86" s="72" t="n">
        <f aca="false">Loans!Y86</f>
        <v>57.8471269951928</v>
      </c>
      <c r="I86" s="56" t="n">
        <f aca="false">'Debt &amp; cash'!S85*fund_yield</f>
        <v>19.580987681128</v>
      </c>
      <c r="J86" s="72" t="n">
        <f aca="false">Labour!Q86</f>
        <v>393.503592491229</v>
      </c>
      <c r="K86" s="72" t="n">
        <f aca="false">Champions!BD86</f>
        <v>129.658389194447</v>
      </c>
      <c r="L86" s="72" t="n">
        <f aca="false">Abroad!N86</f>
        <v>152.747221270722</v>
      </c>
      <c r="M86" s="56" t="n">
        <f aca="false">SUM(B86:L86)</f>
        <v>4575.05508157097</v>
      </c>
      <c r="N86" s="56" t="n">
        <f aca="false">(Paths!W86*army_cost+Paths!X86*res_cost)*Economy!H86/1000000</f>
        <v>48.8106</v>
      </c>
      <c r="O86" s="72" t="n">
        <f aca="false">Navy!Y86</f>
        <v>153.7792505</v>
      </c>
      <c r="P86" s="56" t="n">
        <f aca="false">SUMPRODUCT((Events!$B$6:$B$174&lt;=$A86)*(Events!$C$6:$C$174&gt;=$A86)*(Events!$E$6:$E$174="War &amp; operations")*Events!$H$6:$H$174)</f>
        <v>42.8178663096106</v>
      </c>
      <c r="Q86" s="56" t="n">
        <f aca="false">Economy!O86*Paths!T86</f>
        <v>1891.07275782293</v>
      </c>
      <c r="R86" s="56" t="n">
        <f aca="false">Economy!O86*Paths!U86</f>
        <v>859.578526283152</v>
      </c>
      <c r="S86" s="56" t="n">
        <f aca="false">Economy!O86*Paths!V86+SUMPRODUCT((Events!$B$6:$B$174&lt;=$A86)*(Events!$C$6:$C$174&gt;=$A86)*(Events!$E$6:$E$174="Programme")*Events!$H$6:$H$174)+SUMPRODUCT((Events!$B$6:$B$174&lt;=$A86)*(Events!$C$6:$C$174&gt;=$A86)*(Events!$E$6:$E$174="Investment")*Events!$H$6:$H$174)</f>
        <v>352.911410513261</v>
      </c>
      <c r="T86" s="56" t="n">
        <f aca="false">(People!T86*assist_cost+Labour!AD86*talent_cost+Labour!L86*gw_admin)*Economy!H86/1000000</f>
        <v>78.1720743405659</v>
      </c>
      <c r="U86" s="56" t="n">
        <f aca="false">SUMPRODUCT((Events!$B$6:$B$174&lt;=$A86)*(Events!$C$6:$C$174&gt;=$A86)*(Events!$E$6:$E$174="Purchase")*Events!$H$6:$H$174)</f>
        <v>0</v>
      </c>
      <c r="V86" s="56" t="n">
        <f aca="false">SUMPRODUCT((Events!$B$6:$B$174&lt;=$A86)*(Events!$C$6:$C$174&gt;=$A86)*(Events!$E$6:$E$174="Subsidy &amp; guarantee")*Events!$H$6:$H$174)+SUMPRODUCT((Events!$B$6:$B$174&lt;=$A86)*(Events!$C$6:$C$174&gt;=$A86)*(Events!$E$6:$E$174="Relief")*Events!$H$6:$H$174)</f>
        <v>2.05</v>
      </c>
      <c r="W86" s="56" t="n">
        <f aca="false">SUMPRODUCT((Events!$B$6:$B$174&lt;=$A86)*(Events!$C$6:$C$174&gt;=$A86)*(Events!$E$6:$E$174="Bank rescue &amp; capital")*Events!$H$6:$H$174)</f>
        <v>0</v>
      </c>
      <c r="X86" s="56" t="n">
        <f aca="false">'Debt &amp; cash'!R85*Paths!Y86</f>
        <v>100.234000852771</v>
      </c>
      <c r="Y86" s="56" t="n">
        <f aca="false">SUM(N86:X86)</f>
        <v>3529.42648662229</v>
      </c>
      <c r="Z86" s="56" t="n">
        <f aca="false">M86-Y86</f>
        <v>1045.62859494868</v>
      </c>
      <c r="AA86" s="66" t="n">
        <f aca="false">M86/Economy!O86</f>
        <v>0.106448798839908</v>
      </c>
      <c r="AB86" s="66" t="n">
        <f aca="false">Y86/Economy!O86</f>
        <v>0.0821199315409532</v>
      </c>
      <c r="AC86" s="66" t="n">
        <f aca="false">(N86+O86+P86)/Economy!O86</f>
        <v>0.00570995457205667</v>
      </c>
    </row>
    <row r="87" customFormat="false" ht="14.25" hidden="false" customHeight="false" outlineLevel="0" collapsed="false">
      <c r="A87" s="61" t="n">
        <v>1927</v>
      </c>
      <c r="B87" s="56" t="n">
        <f aca="false">Economy!O87*Paths!N87*Paths!O87*cust_coll</f>
        <v>784.039795761039</v>
      </c>
      <c r="C87" s="56" t="n">
        <f aca="false">(Economy!J87+Economy!L87+Economy!M87+Economy!N87)*Paths!P87*Paths!Q87</f>
        <v>3191.74729256641</v>
      </c>
      <c r="D87" s="56" t="n">
        <f aca="false">Resources!P87+Resources!Q87</f>
        <v>52.0678125</v>
      </c>
      <c r="E87" s="56" t="n">
        <f aca="false">Paths!S87*(1-canal_opcost)*canal_share</f>
        <v>16.8</v>
      </c>
      <c r="F87" s="56" t="n">
        <f aca="false">Economy!O87*Paths!R87</f>
        <v>89.1846159524342</v>
      </c>
      <c r="G87" s="56" t="n">
        <f aca="false">SUMPRODUCT((Events!$B$6:$B$174&lt;=$A87)*(Events!$C$6:$C$174&gt;=$A87)*(Events!$E$6:$E$174="Receipt")*Events!$H$6:$H$174)</f>
        <v>13.35</v>
      </c>
      <c r="H87" s="72" t="n">
        <f aca="false">Loans!Y87</f>
        <v>61.9767658705088</v>
      </c>
      <c r="I87" s="56" t="n">
        <f aca="false">'Debt &amp; cash'!S86*fund_yield</f>
        <v>21.9456538184326</v>
      </c>
      <c r="J87" s="72" t="n">
        <f aca="false">Labour!Q87</f>
        <v>413.997679851311</v>
      </c>
      <c r="K87" s="72" t="n">
        <f aca="false">Champions!BD87</f>
        <v>143.382924335591</v>
      </c>
      <c r="L87" s="72" t="n">
        <f aca="false">Abroad!N87</f>
        <v>170.303561405645</v>
      </c>
      <c r="M87" s="56" t="n">
        <f aca="false">SUM(B87:L87)</f>
        <v>4958.79610206137</v>
      </c>
      <c r="N87" s="56" t="n">
        <f aca="false">(Paths!W87*army_cost+Paths!X87*res_cost)*Economy!H87/1000000</f>
        <v>48.2295</v>
      </c>
      <c r="O87" s="72" t="n">
        <f aca="false">Navy!Y87</f>
        <v>192.7976349</v>
      </c>
      <c r="P87" s="56" t="n">
        <f aca="false">SUMPRODUCT((Events!$B$6:$B$174&lt;=$A87)*(Events!$C$6:$C$174&gt;=$A87)*(Events!$E$6:$E$174="War &amp; operations")*Events!$H$6:$H$174)</f>
        <v>41.7606350427067</v>
      </c>
      <c r="Q87" s="56" t="n">
        <f aca="false">Economy!O87*Paths!T87</f>
        <v>1975.43924334642</v>
      </c>
      <c r="R87" s="56" t="n">
        <f aca="false">Economy!O87*Paths!U87</f>
        <v>891.846159524342</v>
      </c>
      <c r="S87" s="56" t="n">
        <f aca="false">Economy!O87*Paths!V87+SUMPRODUCT((Events!$B$6:$B$174&lt;=$A87)*(Events!$C$6:$C$174&gt;=$A87)*(Events!$E$6:$E$174="Programme")*Events!$H$6:$H$174)+SUMPRODUCT((Events!$B$6:$B$174&lt;=$A87)*(Events!$C$6:$C$174&gt;=$A87)*(Events!$E$6:$E$174="Investment")*Events!$H$6:$H$174)</f>
        <v>372.318463809737</v>
      </c>
      <c r="T87" s="56" t="n">
        <f aca="false">(People!T87*assist_cost+Labour!AD87*talent_cost+Labour!L87*gw_admin)*Economy!H87/1000000</f>
        <v>75.3548165111859</v>
      </c>
      <c r="U87" s="56" t="n">
        <f aca="false">SUMPRODUCT((Events!$B$6:$B$174&lt;=$A87)*(Events!$C$6:$C$174&gt;=$A87)*(Events!$E$6:$E$174="Purchase")*Events!$H$6:$H$174)</f>
        <v>1</v>
      </c>
      <c r="V87" s="56" t="n">
        <f aca="false">SUMPRODUCT((Events!$B$6:$B$174&lt;=$A87)*(Events!$C$6:$C$174&gt;=$A87)*(Events!$E$6:$E$174="Subsidy &amp; guarantee")*Events!$H$6:$H$174)+SUMPRODUCT((Events!$B$6:$B$174&lt;=$A87)*(Events!$C$6:$C$174&gt;=$A87)*(Events!$E$6:$E$174="Relief")*Events!$H$6:$H$174)</f>
        <v>2.55</v>
      </c>
      <c r="W87" s="56" t="n">
        <f aca="false">SUMPRODUCT((Events!$B$6:$B$174&lt;=$A87)*(Events!$C$6:$C$174&gt;=$A87)*(Events!$E$6:$E$174="Bank rescue &amp; capital")*Events!$H$6:$H$174)</f>
        <v>0</v>
      </c>
      <c r="X87" s="56" t="n">
        <f aca="false">'Debt &amp; cash'!R86*Paths!Y87</f>
        <v>105.083474838115</v>
      </c>
      <c r="Y87" s="56" t="n">
        <f aca="false">SUM(N87:X87)</f>
        <v>3706.3799279725</v>
      </c>
      <c r="Z87" s="56" t="n">
        <f aca="false">M87-Y87</f>
        <v>1252.41617408887</v>
      </c>
      <c r="AA87" s="66" t="n">
        <f aca="false">M87/Economy!O87</f>
        <v>0.111202947932323</v>
      </c>
      <c r="AB87" s="66" t="n">
        <f aca="false">Y87/Economy!O87</f>
        <v>0.0831170239035232</v>
      </c>
      <c r="AC87" s="66" t="n">
        <f aca="false">(N87+O87+P87)/Economy!O87</f>
        <v>0.00634162667905705</v>
      </c>
    </row>
    <row r="88" customFormat="false" ht="14.25" hidden="false" customHeight="false" outlineLevel="0" collapsed="false">
      <c r="A88" s="61" t="n">
        <v>1928</v>
      </c>
      <c r="B88" s="56" t="n">
        <f aca="false">Economy!O88*Paths!N88*Paths!O88*cust_coll</f>
        <v>834.203359888763</v>
      </c>
      <c r="C88" s="56" t="n">
        <f aca="false">(Economy!J88+Economy!L88+Economy!M88+Economy!N88)*Paths!P88*Paths!Q88</f>
        <v>3425.46938853499</v>
      </c>
      <c r="D88" s="56" t="n">
        <f aca="false">Resources!P88+Resources!Q88</f>
        <v>55.8680125</v>
      </c>
      <c r="E88" s="56" t="n">
        <f aca="false">Paths!S88*(1-canal_opcost)*canal_share</f>
        <v>17.4</v>
      </c>
      <c r="F88" s="56" t="n">
        <f aca="false">Economy!O88*Paths!R88</f>
        <v>95.7138188866817</v>
      </c>
      <c r="G88" s="56" t="n">
        <f aca="false">SUMPRODUCT((Events!$B$6:$B$174&lt;=$A88)*(Events!$C$6:$C$174&gt;=$A88)*(Events!$E$6:$E$174="Receipt")*Events!$H$6:$H$174)</f>
        <v>20.35</v>
      </c>
      <c r="H88" s="72" t="n">
        <f aca="false">Loans!Y88</f>
        <v>64.617500374731</v>
      </c>
      <c r="I88" s="56" t="n">
        <f aca="false">'Debt &amp; cash'!S87*fund_yield</f>
        <v>24.2927739166229</v>
      </c>
      <c r="J88" s="72" t="n">
        <f aca="false">Labour!Q88</f>
        <v>451.792102897593</v>
      </c>
      <c r="K88" s="72" t="n">
        <f aca="false">Champions!BD88</f>
        <v>156.802454115066</v>
      </c>
      <c r="L88" s="72" t="n">
        <f aca="false">Abroad!N88</f>
        <v>185.428901294794</v>
      </c>
      <c r="M88" s="56" t="n">
        <f aca="false">SUM(B88:L88)</f>
        <v>5331.93831240924</v>
      </c>
      <c r="N88" s="56" t="n">
        <f aca="false">(Paths!W88*army_cost+Paths!X88*res_cost)*Economy!H88/1000000</f>
        <v>49.472</v>
      </c>
      <c r="O88" s="72" t="n">
        <f aca="false">Navy!Y88</f>
        <v>195.497544125</v>
      </c>
      <c r="P88" s="56" t="n">
        <f aca="false">SUMPRODUCT((Events!$B$6:$B$174&lt;=$A88)*(Events!$C$6:$C$174&gt;=$A88)*(Events!$E$6:$E$174="War &amp; operations")*Events!$H$6:$H$174)</f>
        <v>42.2892506761586</v>
      </c>
      <c r="Q88" s="56" t="n">
        <f aca="false">Economy!O88*Paths!T88</f>
        <v>2139.20385211734</v>
      </c>
      <c r="R88" s="56" t="n">
        <f aca="false">Economy!O88*Paths!U88</f>
        <v>957.138188866817</v>
      </c>
      <c r="S88" s="56" t="n">
        <f aca="false">Economy!O88*Paths!V88+SUMPRODUCT((Events!$B$6:$B$174&lt;=$A88)*(Events!$C$6:$C$174&gt;=$A88)*(Events!$E$6:$E$174="Programme")*Events!$H$6:$H$174)+SUMPRODUCT((Events!$B$6:$B$174&lt;=$A88)*(Events!$C$6:$C$174&gt;=$A88)*(Events!$E$6:$E$174="Investment")*Events!$H$6:$H$174)</f>
        <v>415.435275546727</v>
      </c>
      <c r="T88" s="56" t="n">
        <f aca="false">(People!T88*assist_cost+Labour!AD88*talent_cost+Labour!L88*gw_admin)*Economy!H88/1000000</f>
        <v>80.5128763298722</v>
      </c>
      <c r="U88" s="56" t="n">
        <f aca="false">SUMPRODUCT((Events!$B$6:$B$174&lt;=$A88)*(Events!$C$6:$C$174&gt;=$A88)*(Events!$E$6:$E$174="Purchase")*Events!$H$6:$H$174)</f>
        <v>1</v>
      </c>
      <c r="V88" s="56" t="n">
        <f aca="false">SUMPRODUCT((Events!$B$6:$B$174&lt;=$A88)*(Events!$C$6:$C$174&gt;=$A88)*(Events!$E$6:$E$174="Subsidy &amp; guarantee")*Events!$H$6:$H$174)+SUMPRODUCT((Events!$B$6:$B$174&lt;=$A88)*(Events!$C$6:$C$174&gt;=$A88)*(Events!$E$6:$E$174="Relief")*Events!$H$6:$H$174)</f>
        <v>2.55</v>
      </c>
      <c r="W88" s="56" t="n">
        <f aca="false">SUMPRODUCT((Events!$B$6:$B$174&lt;=$A88)*(Events!$C$6:$C$174&gt;=$A88)*(Events!$E$6:$E$174="Bank rescue &amp; capital")*Events!$H$6:$H$174)</f>
        <v>0</v>
      </c>
      <c r="X88" s="56" t="n">
        <f aca="false">'Debt &amp; cash'!R87*Paths!Y88</f>
        <v>109.474116081613</v>
      </c>
      <c r="Y88" s="56" t="n">
        <f aca="false">SUM(N88:X88)</f>
        <v>3992.57310374352</v>
      </c>
      <c r="Z88" s="56" t="n">
        <f aca="false">M88-Y88</f>
        <v>1339.36520866572</v>
      </c>
      <c r="AA88" s="66" t="n">
        <f aca="false">M88/Economy!O88</f>
        <v>0.11141417977945</v>
      </c>
      <c r="AB88" s="66" t="n">
        <f aca="false">Y88/Economy!O88</f>
        <v>0.0834273075755225</v>
      </c>
      <c r="AC88" s="66" t="n">
        <f aca="false">(N88+O88+P88)/Economy!O88</f>
        <v>0.00600245185371305</v>
      </c>
    </row>
    <row r="89" customFormat="false" ht="14.25" hidden="false" customHeight="false" outlineLevel="0" collapsed="false">
      <c r="A89" s="61" t="n">
        <v>1929</v>
      </c>
      <c r="B89" s="56" t="n">
        <f aca="false">Economy!O89*Paths!N89*Paths!O89*cust_coll</f>
        <v>877.501360782404</v>
      </c>
      <c r="C89" s="56" t="n">
        <f aca="false">(Economy!J89+Economy!L89+Economy!M89+Economy!N89)*Paths!P89*Paths!Q89</f>
        <v>3634.81287711393</v>
      </c>
      <c r="D89" s="56" t="n">
        <f aca="false">Resources!P89+Resources!Q89</f>
        <v>59.175</v>
      </c>
      <c r="E89" s="56" t="n">
        <f aca="false">Paths!S89*(1-canal_opcost)*canal_share</f>
        <v>18</v>
      </c>
      <c r="F89" s="56" t="n">
        <f aca="false">Economy!O89*Paths!R89</f>
        <v>101.562657497963</v>
      </c>
      <c r="G89" s="56" t="n">
        <f aca="false">SUMPRODUCT((Events!$B$6:$B$174&lt;=$A89)*(Events!$C$6:$C$174&gt;=$A89)*(Events!$E$6:$E$174="Receipt")*Events!$H$6:$H$174)</f>
        <v>20.125</v>
      </c>
      <c r="H89" s="72" t="n">
        <f aca="false">Loans!Y89</f>
        <v>63.4911677867632</v>
      </c>
      <c r="I89" s="56" t="n">
        <f aca="false">'Debt &amp; cash'!S88*fund_yield</f>
        <v>27.2469534040174</v>
      </c>
      <c r="J89" s="72" t="n">
        <f aca="false">Labour!Q89</f>
        <v>484.370861472436</v>
      </c>
      <c r="K89" s="72" t="n">
        <f aca="false">Champions!BD89</f>
        <v>170.34217810876</v>
      </c>
      <c r="L89" s="72" t="n">
        <f aca="false">Abroad!N89</f>
        <v>202.462385569987</v>
      </c>
      <c r="M89" s="56" t="n">
        <f aca="false">SUM(B89:L89)</f>
        <v>5659.09044173626</v>
      </c>
      <c r="N89" s="56" t="n">
        <f aca="false">(Paths!W89*army_cost+Paths!X89*res_cost)*Economy!H89/1000000</f>
        <v>50.08</v>
      </c>
      <c r="O89" s="72" t="n">
        <f aca="false">Navy!Y89</f>
        <v>183.352537875</v>
      </c>
      <c r="P89" s="56" t="n">
        <f aca="false">SUMPRODUCT((Events!$B$6:$B$174&lt;=$A89)*(Events!$C$6:$C$174&gt;=$A89)*(Events!$E$6:$E$174="War &amp; operations")*Events!$H$6:$H$174)</f>
        <v>52.2892506761586</v>
      </c>
      <c r="Q89" s="56" t="n">
        <f aca="false">Economy!O89*Paths!T89</f>
        <v>2285.15979370418</v>
      </c>
      <c r="R89" s="56" t="n">
        <f aca="false">Economy!O89*Paths!U89</f>
        <v>1015.62657497963</v>
      </c>
      <c r="S89" s="56" t="n">
        <f aca="false">Economy!O89*Paths!V89+SUMPRODUCT((Events!$B$6:$B$174&lt;=$A89)*(Events!$C$6:$C$174&gt;=$A89)*(Events!$E$6:$E$174="Programme")*Events!$H$6:$H$174)+SUMPRODUCT((Events!$B$6:$B$174&lt;=$A89)*(Events!$C$6:$C$174&gt;=$A89)*(Events!$E$6:$E$174="Investment")*Events!$H$6:$H$174)</f>
        <v>438.830629991853</v>
      </c>
      <c r="T89" s="56" t="n">
        <f aca="false">(People!T89*assist_cost+Labour!AD89*talent_cost+Labour!L89*gw_admin)*Economy!H89/1000000</f>
        <v>84.6322202349723</v>
      </c>
      <c r="U89" s="56" t="n">
        <f aca="false">SUMPRODUCT((Events!$B$6:$B$174&lt;=$A89)*(Events!$C$6:$C$174&gt;=$A89)*(Events!$E$6:$E$174="Purchase")*Events!$H$6:$H$174)</f>
        <v>1</v>
      </c>
      <c r="V89" s="56" t="n">
        <f aca="false">SUMPRODUCT((Events!$B$6:$B$174&lt;=$A89)*(Events!$C$6:$C$174&gt;=$A89)*(Events!$E$6:$E$174="Subsidy &amp; guarantee")*Events!$H$6:$H$174)+SUMPRODUCT((Events!$B$6:$B$174&lt;=$A89)*(Events!$C$6:$C$174&gt;=$A89)*(Events!$E$6:$E$174="Relief")*Events!$H$6:$H$174)</f>
        <v>0.55</v>
      </c>
      <c r="W89" s="56" t="n">
        <f aca="false">SUMPRODUCT((Events!$B$6:$B$174&lt;=$A89)*(Events!$C$6:$C$174&gt;=$A89)*(Events!$E$6:$E$174="Bank rescue &amp; capital")*Events!$H$6:$H$174)</f>
        <v>0</v>
      </c>
      <c r="X89" s="56" t="n">
        <f aca="false">'Debt &amp; cash'!R88*Paths!Y89</f>
        <v>117.967281777835</v>
      </c>
      <c r="Y89" s="56" t="n">
        <f aca="false">SUM(N89:X89)</f>
        <v>4229.48828923963</v>
      </c>
      <c r="Z89" s="56" t="n">
        <f aca="false">M89-Y89</f>
        <v>1429.60215249663</v>
      </c>
      <c r="AA89" s="66" t="n">
        <f aca="false">M89/Economy!O89</f>
        <v>0.111440377421194</v>
      </c>
      <c r="AB89" s="66" t="n">
        <f aca="false">Y89/Economy!O89</f>
        <v>0.0832882556135249</v>
      </c>
      <c r="AC89" s="66" t="n">
        <f aca="false">(N89+O89+P89)/Economy!O89</f>
        <v>0.00562651264923603</v>
      </c>
    </row>
    <row r="90" customFormat="false" ht="14.25" hidden="false" customHeight="false" outlineLevel="0" collapsed="false">
      <c r="A90" s="61" t="n">
        <v>1930</v>
      </c>
      <c r="B90" s="56" t="n">
        <f aca="false">Economy!O90*Paths!N90*Paths!O90*cust_coll</f>
        <v>771.33405474588</v>
      </c>
      <c r="C90" s="56" t="n">
        <f aca="false">(Economy!J90+Economy!L90+Economy!M90+Economy!N90)*Paths!P90*Paths!Q90</f>
        <v>3416.28440774011</v>
      </c>
      <c r="D90" s="56" t="n">
        <f aca="false">Resources!P90+Resources!Q90</f>
        <v>44.03</v>
      </c>
      <c r="E90" s="56" t="n">
        <f aca="false">Paths!S90*(1-canal_opcost)*canal_share</f>
        <v>16.5</v>
      </c>
      <c r="F90" s="56" t="n">
        <f aca="false">Economy!O90*Paths!R90</f>
        <v>95.226426511837</v>
      </c>
      <c r="G90" s="56" t="n">
        <f aca="false">SUMPRODUCT((Events!$B$6:$B$174&lt;=$A90)*(Events!$C$6:$C$174&gt;=$A90)*(Events!$E$6:$E$174="Receipt")*Events!$H$6:$H$174)</f>
        <v>20.125</v>
      </c>
      <c r="H90" s="72" t="n">
        <f aca="false">Loans!Y90</f>
        <v>60.570559935401</v>
      </c>
      <c r="I90" s="56" t="n">
        <f aca="false">'Debt &amp; cash'!S89*fund_yield</f>
        <v>30.5154069862587</v>
      </c>
      <c r="J90" s="72" t="n">
        <f aca="false">Labour!Q90</f>
        <v>421.317986951721</v>
      </c>
      <c r="K90" s="72" t="n">
        <f aca="false">Champions!BD90</f>
        <v>153.048295102998</v>
      </c>
      <c r="L90" s="72" t="n">
        <f aca="false">Abroad!N90</f>
        <v>201.253937234209</v>
      </c>
      <c r="M90" s="56" t="n">
        <f aca="false">SUM(B90:L90)</f>
        <v>5230.20607520842</v>
      </c>
      <c r="N90" s="56" t="n">
        <f aca="false">(Paths!W90*army_cost+Paths!X90*res_cost)*Economy!H90/1000000</f>
        <v>49.52882</v>
      </c>
      <c r="O90" s="72" t="n">
        <f aca="false">Navy!Y90</f>
        <v>188.07754238</v>
      </c>
      <c r="P90" s="56" t="n">
        <f aca="false">SUMPRODUCT((Events!$B$6:$B$174&lt;=$A90)*(Events!$C$6:$C$174&gt;=$A90)*(Events!$E$6:$E$174="War &amp; operations")*Events!$H$6:$H$174)</f>
        <v>40.4390959590767</v>
      </c>
      <c r="Q90" s="56" t="n">
        <f aca="false">Economy!O90*Paths!T90</f>
        <v>2175.92384579548</v>
      </c>
      <c r="R90" s="56" t="n">
        <f aca="false">Economy!O90*Paths!U90</f>
        <v>1142.71711814204</v>
      </c>
      <c r="S90" s="56" t="n">
        <f aca="false">Economy!O90*Paths!V90+SUMPRODUCT((Events!$B$6:$B$174&lt;=$A90)*(Events!$C$6:$C$174&gt;=$A90)*(Events!$E$6:$E$174="Programme")*Events!$H$6:$H$174)+SUMPRODUCT((Events!$B$6:$B$174&lt;=$A90)*(Events!$C$6:$C$174&gt;=$A90)*(Events!$E$6:$E$174="Investment")*Events!$H$6:$H$174)</f>
        <v>413.485706047348</v>
      </c>
      <c r="T90" s="56" t="n">
        <f aca="false">(People!T90*assist_cost+Labour!AD90*talent_cost+Labour!L90*gw_admin)*Economy!H90/1000000</f>
        <v>73.3042341955878</v>
      </c>
      <c r="U90" s="56" t="n">
        <f aca="false">SUMPRODUCT((Events!$B$6:$B$174&lt;=$A90)*(Events!$C$6:$C$174&gt;=$A90)*(Events!$E$6:$E$174="Purchase")*Events!$H$6:$H$174)</f>
        <v>0</v>
      </c>
      <c r="V90" s="56" t="n">
        <f aca="false">SUMPRODUCT((Events!$B$6:$B$174&lt;=$A90)*(Events!$C$6:$C$174&gt;=$A90)*(Events!$E$6:$E$174="Subsidy &amp; guarantee")*Events!$H$6:$H$174)+SUMPRODUCT((Events!$B$6:$B$174&lt;=$A90)*(Events!$C$6:$C$174&gt;=$A90)*(Events!$E$6:$E$174="Relief")*Events!$H$6:$H$174)</f>
        <v>0.55</v>
      </c>
      <c r="W90" s="56" t="n">
        <f aca="false">SUMPRODUCT((Events!$B$6:$B$174&lt;=$A90)*(Events!$C$6:$C$174&gt;=$A90)*(Events!$E$6:$E$174="Bank rescue &amp; capital")*Events!$H$6:$H$174)</f>
        <v>0</v>
      </c>
      <c r="X90" s="56" t="n">
        <f aca="false">'Debt &amp; cash'!R89*Paths!Y90</f>
        <v>125.937695297475</v>
      </c>
      <c r="Y90" s="56" t="n">
        <f aca="false">SUM(N90:X90)</f>
        <v>4209.96405781701</v>
      </c>
      <c r="Z90" s="56" t="n">
        <f aca="false">M90-Y90</f>
        <v>1020.24201739141</v>
      </c>
      <c r="AA90" s="66" t="n">
        <f aca="false">M90/Economy!O90</f>
        <v>0.109847786308736</v>
      </c>
      <c r="AB90" s="66" t="n">
        <f aca="false">Y90/Economy!O90</f>
        <v>0.088420078585931</v>
      </c>
      <c r="AC90" s="66" t="n">
        <f aca="false">(N90+O90+P90)/Economy!O90</f>
        <v>0.00583967011099623</v>
      </c>
    </row>
    <row r="91" customFormat="false" ht="14.25" hidden="false" customHeight="false" outlineLevel="0" collapsed="false">
      <c r="A91" s="61" t="n">
        <v>1931</v>
      </c>
      <c r="B91" s="56" t="n">
        <f aca="false">Economy!O91*Paths!N91*Paths!O91*cust_coll</f>
        <v>649.465295182789</v>
      </c>
      <c r="C91" s="56" t="n">
        <f aca="false">(Economy!J91+Economy!L91+Economy!M91+Economy!N91)*Paths!P91*Paths!Q91</f>
        <v>2980.87062782013</v>
      </c>
      <c r="D91" s="56" t="n">
        <f aca="false">Resources!P91+Resources!Q91</f>
        <v>24.335</v>
      </c>
      <c r="E91" s="56" t="n">
        <f aca="false">Paths!S91*(1-canal_opcost)*canal_share</f>
        <v>15</v>
      </c>
      <c r="F91" s="56" t="n">
        <f aca="false">Economy!O91*Paths!R91</f>
        <v>85.9081078284112</v>
      </c>
      <c r="G91" s="56" t="n">
        <f aca="false">SUMPRODUCT((Events!$B$6:$B$174&lt;=$A91)*(Events!$C$6:$C$174&gt;=$A91)*(Events!$E$6:$E$174="Receipt")*Events!$H$6:$H$174)</f>
        <v>20.125</v>
      </c>
      <c r="H91" s="72" t="n">
        <f aca="false">Loans!Y91</f>
        <v>14.2464247093033</v>
      </c>
      <c r="I91" s="56" t="n">
        <f aca="false">'Debt &amp; cash'!S90*fund_yield</f>
        <v>33.2464898490457</v>
      </c>
      <c r="J91" s="72" t="n">
        <f aca="false">Labour!Q91</f>
        <v>330.752183583724</v>
      </c>
      <c r="K91" s="72" t="n">
        <f aca="false">Champions!BD91</f>
        <v>120.785976003393</v>
      </c>
      <c r="L91" s="72" t="n">
        <f aca="false">Abroad!N91</f>
        <v>140.459263515561</v>
      </c>
      <c r="M91" s="56" t="n">
        <f aca="false">SUM(B91:L91)</f>
        <v>4415.19436849236</v>
      </c>
      <c r="N91" s="56" t="n">
        <f aca="false">(Paths!W91*army_cost+Paths!X91*res_cost)*Economy!H91/1000000</f>
        <v>47.09102</v>
      </c>
      <c r="O91" s="72" t="n">
        <f aca="false">Navy!Y91</f>
        <v>187.191994145</v>
      </c>
      <c r="P91" s="56" t="n">
        <f aca="false">SUMPRODUCT((Events!$B$6:$B$174&lt;=$A91)*(Events!$C$6:$C$174&gt;=$A91)*(Events!$E$6:$E$174="War &amp; operations")*Events!$H$6:$H$174)</f>
        <v>41.2101708914608</v>
      </c>
      <c r="Q91" s="56" t="n">
        <f aca="false">Economy!O91*Paths!T91</f>
        <v>1988.77269622772</v>
      </c>
      <c r="R91" s="56" t="n">
        <f aca="false">Economy!O91*Paths!U91</f>
        <v>1116.80540176935</v>
      </c>
      <c r="S91" s="56" t="n">
        <f aca="false">Economy!O91*Paths!V91+SUMPRODUCT((Events!$B$6:$B$174&lt;=$A91)*(Events!$C$6:$C$174&gt;=$A91)*(Events!$E$6:$E$174="Programme")*Events!$H$6:$H$174)+SUMPRODUCT((Events!$B$6:$B$174&lt;=$A91)*(Events!$C$6:$C$174&gt;=$A91)*(Events!$E$6:$E$174="Investment")*Events!$H$6:$H$174)</f>
        <v>376.712431313645</v>
      </c>
      <c r="T91" s="56" t="n">
        <f aca="false">(People!T91*assist_cost+Labour!AD91*talent_cost+Labour!L91*gw_admin)*Economy!H91/1000000</f>
        <v>67.4174670644102</v>
      </c>
      <c r="U91" s="56" t="n">
        <f aca="false">SUMPRODUCT((Events!$B$6:$B$174&lt;=$A91)*(Events!$C$6:$C$174&gt;=$A91)*(Events!$E$6:$E$174="Purchase")*Events!$H$6:$H$174)</f>
        <v>0</v>
      </c>
      <c r="V91" s="56" t="n">
        <f aca="false">SUMPRODUCT((Events!$B$6:$B$174&lt;=$A91)*(Events!$C$6:$C$174&gt;=$A91)*(Events!$E$6:$E$174="Subsidy &amp; guarantee")*Events!$H$6:$H$174)+SUMPRODUCT((Events!$B$6:$B$174&lt;=$A91)*(Events!$C$6:$C$174&gt;=$A91)*(Events!$E$6:$E$174="Relief")*Events!$H$6:$H$174)</f>
        <v>0.55</v>
      </c>
      <c r="W91" s="56" t="n">
        <f aca="false">SUMPRODUCT((Events!$B$6:$B$174&lt;=$A91)*(Events!$C$6:$C$174&gt;=$A91)*(Events!$E$6:$E$174="Bank rescue &amp; capital")*Events!$H$6:$H$174)</f>
        <v>75</v>
      </c>
      <c r="X91" s="56" t="n">
        <f aca="false">'Debt &amp; cash'!R90*Paths!Y91</f>
        <v>118.556901007237</v>
      </c>
      <c r="Y91" s="56" t="n">
        <f aca="false">SUM(N91:X91)</f>
        <v>4019.30808241882</v>
      </c>
      <c r="Z91" s="56" t="n">
        <f aca="false">M91-Y91</f>
        <v>395.886286073539</v>
      </c>
      <c r="AA91" s="66" t="n">
        <f aca="false">M91/Economy!O91</f>
        <v>0.102788770003201</v>
      </c>
      <c r="AB91" s="66" t="n">
        <f aca="false">Y91/Economy!O91</f>
        <v>0.0935722642255558</v>
      </c>
      <c r="AC91" s="66" t="n">
        <f aca="false">(N91+O91+P91)/Economy!O91</f>
        <v>0.00641367135187561</v>
      </c>
    </row>
    <row r="92" customFormat="false" ht="14.25" hidden="false" customHeight="false" outlineLevel="0" collapsed="false">
      <c r="A92" s="61" t="n">
        <v>1932</v>
      </c>
      <c r="B92" s="56" t="n">
        <f aca="false">Economy!O92*Paths!N92*Paths!O92*cust_coll</f>
        <v>554.514480807357</v>
      </c>
      <c r="C92" s="56" t="n">
        <f aca="false">(Economy!J92+Economy!L92+Economy!M92+Economy!N92)*Paths!P92*Paths!Q92</f>
        <v>2675.33681057695</v>
      </c>
      <c r="D92" s="56" t="n">
        <f aca="false">Resources!P92+Resources!Q92</f>
        <v>21.40875</v>
      </c>
      <c r="E92" s="56" t="n">
        <f aca="false">Paths!S92*(1-canal_opcost)*canal_share</f>
        <v>13.2</v>
      </c>
      <c r="F92" s="56" t="n">
        <f aca="false">Economy!O92*Paths!R92</f>
        <v>78.9906667816748</v>
      </c>
      <c r="G92" s="56" t="n">
        <f aca="false">SUMPRODUCT((Events!$B$6:$B$174&lt;=$A92)*(Events!$C$6:$C$174&gt;=$A92)*(Events!$E$6:$E$174="Receipt")*Events!$H$6:$H$174)</f>
        <v>20.125</v>
      </c>
      <c r="H92" s="72" t="n">
        <f aca="false">Loans!Y92</f>
        <v>21.6733621375533</v>
      </c>
      <c r="I92" s="56" t="n">
        <f aca="false">'Debt &amp; cash'!S91*fund_yield</f>
        <v>34.0903924729075</v>
      </c>
      <c r="J92" s="72" t="n">
        <f aca="false">Labour!Q92</f>
        <v>264.462175034072</v>
      </c>
      <c r="K92" s="72" t="n">
        <f aca="false">Champions!BD92</f>
        <v>104.496259100162</v>
      </c>
      <c r="L92" s="72" t="n">
        <f aca="false">Abroad!N92</f>
        <v>127.848155516427</v>
      </c>
      <c r="M92" s="56" t="n">
        <f aca="false">SUM(B92:L92)</f>
        <v>3916.1460524271</v>
      </c>
      <c r="N92" s="56" t="n">
        <f aca="false">(Paths!W92*army_cost+Paths!X92*res_cost)*Economy!H92/1000000</f>
        <v>44.8644</v>
      </c>
      <c r="O92" s="72" t="n">
        <f aca="false">Navy!Y92</f>
        <v>163.22577063</v>
      </c>
      <c r="P92" s="56" t="n">
        <f aca="false">SUMPRODUCT((Events!$B$6:$B$174&lt;=$A92)*(Events!$C$6:$C$174&gt;=$A92)*(Events!$E$6:$E$174="War &amp; operations")*Events!$H$6:$H$174)</f>
        <v>32.245553640571</v>
      </c>
      <c r="Q92" s="56" t="n">
        <f aca="false">Economy!O92*Paths!T92</f>
        <v>1856.28066936936</v>
      </c>
      <c r="R92" s="56" t="n">
        <f aca="false">Economy!O92*Paths!U92</f>
        <v>1026.87866816177</v>
      </c>
      <c r="S92" s="56" t="n">
        <f aca="false">Economy!O92*Paths!V92+SUMPRODUCT((Events!$B$6:$B$174&lt;=$A92)*(Events!$C$6:$C$174&gt;=$A92)*(Events!$E$6:$E$174="Programme")*Events!$H$6:$H$174)+SUMPRODUCT((Events!$B$6:$B$174&lt;=$A92)*(Events!$C$6:$C$174&gt;=$A92)*(Events!$E$6:$E$174="Investment")*Events!$H$6:$H$174)</f>
        <v>353.042667126699</v>
      </c>
      <c r="T92" s="56" t="n">
        <f aca="false">(People!T92*assist_cost+Labour!AD92*talent_cost+Labour!L92*gw_admin)*Economy!H92/1000000</f>
        <v>67.6670984817787</v>
      </c>
      <c r="U92" s="56" t="n">
        <f aca="false">SUMPRODUCT((Events!$B$6:$B$174&lt;=$A92)*(Events!$C$6:$C$174&gt;=$A92)*(Events!$E$6:$E$174="Purchase")*Events!$H$6:$H$174)</f>
        <v>0</v>
      </c>
      <c r="V92" s="56" t="n">
        <f aca="false">SUMPRODUCT((Events!$B$6:$B$174&lt;=$A92)*(Events!$C$6:$C$174&gt;=$A92)*(Events!$E$6:$E$174="Subsidy &amp; guarantee")*Events!$H$6:$H$174)+SUMPRODUCT((Events!$B$6:$B$174&lt;=$A92)*(Events!$C$6:$C$174&gt;=$A92)*(Events!$E$6:$E$174="Relief")*Events!$H$6:$H$174)</f>
        <v>0.55</v>
      </c>
      <c r="W92" s="56" t="n">
        <f aca="false">SUMPRODUCT((Events!$B$6:$B$174&lt;=$A92)*(Events!$C$6:$C$174&gt;=$A92)*(Events!$E$6:$E$174="Bank rescue &amp; capital")*Events!$H$6:$H$174)</f>
        <v>75</v>
      </c>
      <c r="X92" s="56" t="n">
        <f aca="false">'Debt &amp; cash'!R91*Paths!Y92</f>
        <v>112.432859357691</v>
      </c>
      <c r="Y92" s="56" t="n">
        <f aca="false">SUM(N92:X92)</f>
        <v>3732.18768676787</v>
      </c>
      <c r="Z92" s="56" t="n">
        <f aca="false">M92-Y92</f>
        <v>183.958365659228</v>
      </c>
      <c r="AA92" s="66" t="n">
        <f aca="false">M92/Economy!O92</f>
        <v>0.099154652365477</v>
      </c>
      <c r="AB92" s="66" t="n">
        <f aca="false">Y92/Economy!O92</f>
        <v>0.0944969282784611</v>
      </c>
      <c r="AC92" s="66" t="n">
        <f aca="false">(N92+O92+P92)/Economy!O92</f>
        <v>0.0060851676296098</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55" hidden="false" customHeight="false" outlineLevel="0" collapsed="false">
      <c r="A1" s="19" t="s">
        <v>1297</v>
      </c>
    </row>
    <row r="2" customFormat="false" ht="14.25" hidden="false" customHeight="false" outlineLevel="0" collapsed="false">
      <c r="A2" s="3" t="s">
        <v>1298</v>
      </c>
    </row>
    <row r="3" customFormat="false" ht="14.25" hidden="false" customHeight="false" outlineLevel="0" collapsed="false">
      <c r="A3" s="20" t="s">
        <v>1166</v>
      </c>
    </row>
    <row r="4" customFormat="false" ht="14.25" hidden="false" customHeight="false" outlineLevel="0" collapsed="false">
      <c r="B4" s="58" t="s">
        <v>1299</v>
      </c>
      <c r="C4" s="58"/>
      <c r="D4" s="58"/>
      <c r="E4" s="58"/>
      <c r="F4" s="58" t="s">
        <v>1300</v>
      </c>
      <c r="G4" s="58"/>
      <c r="H4" s="58"/>
      <c r="I4" s="58"/>
      <c r="J4" s="58"/>
      <c r="K4" s="58"/>
      <c r="L4" s="58"/>
      <c r="M4" s="58"/>
      <c r="N4" s="58"/>
      <c r="O4" s="58"/>
      <c r="P4" s="58" t="s">
        <v>1301</v>
      </c>
      <c r="Q4" s="58"/>
      <c r="R4" s="58"/>
      <c r="S4" s="58"/>
      <c r="T4" s="58"/>
      <c r="U4" s="58"/>
      <c r="V4" s="58" t="s">
        <v>1302</v>
      </c>
      <c r="W4" s="58"/>
      <c r="X4" s="58"/>
      <c r="Y4" s="58"/>
    </row>
    <row r="5" customFormat="false" ht="54" hidden="false" customHeight="true" outlineLevel="0" collapsed="false">
      <c r="A5" s="60" t="s">
        <v>103</v>
      </c>
      <c r="B5" s="7" t="s">
        <v>1303</v>
      </c>
      <c r="C5" s="7" t="s">
        <v>1304</v>
      </c>
      <c r="D5" s="7" t="s">
        <v>1305</v>
      </c>
      <c r="E5" s="7" t="s">
        <v>1306</v>
      </c>
      <c r="F5" s="7" t="s">
        <v>1307</v>
      </c>
      <c r="G5" s="7" t="s">
        <v>1308</v>
      </c>
      <c r="H5" s="7" t="s">
        <v>1309</v>
      </c>
      <c r="I5" s="7" t="s">
        <v>1310</v>
      </c>
      <c r="J5" s="7" t="s">
        <v>1311</v>
      </c>
      <c r="K5" s="7" t="s">
        <v>1312</v>
      </c>
      <c r="L5" s="7" t="s">
        <v>1313</v>
      </c>
      <c r="M5" s="7" t="s">
        <v>1314</v>
      </c>
      <c r="N5" s="7" t="s">
        <v>1315</v>
      </c>
      <c r="O5" s="7" t="s">
        <v>1316</v>
      </c>
      <c r="P5" s="7" t="s">
        <v>1317</v>
      </c>
      <c r="Q5" s="7" t="s">
        <v>1318</v>
      </c>
      <c r="R5" s="7" t="s">
        <v>1319</v>
      </c>
      <c r="S5" s="7" t="s">
        <v>1320</v>
      </c>
      <c r="T5" s="7" t="s">
        <v>1321</v>
      </c>
      <c r="U5" s="7" t="s">
        <v>1322</v>
      </c>
      <c r="V5" s="7" t="s">
        <v>31</v>
      </c>
      <c r="W5" s="7" t="s">
        <v>1323</v>
      </c>
      <c r="X5" s="7" t="s">
        <v>1324</v>
      </c>
      <c r="Y5" s="7" t="s">
        <v>1325</v>
      </c>
    </row>
    <row r="6" customFormat="false" ht="14.25" hidden="false" customHeight="false" outlineLevel="0" collapsed="false">
      <c r="A6" s="61" t="n">
        <v>1846</v>
      </c>
      <c r="B6" s="56" t="n">
        <f aca="false">Loans!V6-Loans!W6</f>
        <v>0</v>
      </c>
      <c r="C6" s="56" t="n">
        <f aca="false">0</f>
        <v>0</v>
      </c>
      <c r="D6" s="56" t="n">
        <f aca="false">opening_cash+Budget!Z6-B6-C6</f>
        <v>0.1380562075</v>
      </c>
      <c r="E6" s="56" t="n">
        <f aca="false">MAX(0.1,Budget!M6*cash_target)</f>
        <v>0.224906326875</v>
      </c>
      <c r="F6" s="56" t="n">
        <f aca="false">0</f>
        <v>0</v>
      </c>
      <c r="G6" s="56" t="n">
        <f aca="false">MAX(0,E6-D6)</f>
        <v>0.086850119375</v>
      </c>
      <c r="H6" s="56" t="n">
        <f aca="false">G6/issue_price</f>
        <v>0.0895362055412372</v>
      </c>
      <c r="I6" s="56" t="n">
        <f aca="false">0</f>
        <v>0</v>
      </c>
      <c r="J6" s="56" t="n">
        <f aca="false">0</f>
        <v>0</v>
      </c>
      <c r="K6" s="56" t="n">
        <f aca="false">0</f>
        <v>0</v>
      </c>
      <c r="L6" s="56" t="n">
        <f aca="false">IF(D6&gt;E6,D6-E6-I6-K6,0)</f>
        <v>0</v>
      </c>
      <c r="M6" s="56" t="n">
        <f aca="false">D6+F6+G6-I6-K6-L6</f>
        <v>0.224906326875</v>
      </c>
      <c r="N6" s="56" t="n">
        <f aca="false">I6+J6+Q6*issue_price*dev_bonds+SUMPRODUCT((Events!$B$6:$B$174&lt;=$A6)*(Events!$C$6:$C$174&gt;=$A6)*(Events!$E$6:$E$174="Investment")*Events!$H$6:$H$174)</f>
        <v>0</v>
      </c>
      <c r="O6" s="56" t="n">
        <f aca="false">0</f>
        <v>0</v>
      </c>
      <c r="P6" s="56" t="n">
        <f aca="false">SUMPRODUCT((Events!$B$6:$B$174&lt;=$A6)*(Events!$C$6:$C$174&gt;=$A6)*(Events!$E$6:$E$174="Debt assumed")*Events!$H$6:$H$174)</f>
        <v>0</v>
      </c>
      <c r="Q6" s="56" t="n">
        <f aca="false">0</f>
        <v>0</v>
      </c>
      <c r="R6" s="56" t="n">
        <f aca="false">P6+H6</f>
        <v>0.0895362055412372</v>
      </c>
      <c r="S6" s="56" t="n">
        <f aca="false">L6</f>
        <v>0</v>
      </c>
      <c r="T6" s="72" t="n">
        <f aca="false">Loans!X6</f>
        <v>0</v>
      </c>
      <c r="U6" s="56" t="n">
        <f aca="false">R6-M6-S6-T6</f>
        <v>-0.135370121333763</v>
      </c>
      <c r="V6" s="66" t="n">
        <f aca="false">R6/Economy!O6</f>
        <v>0.00468767968823762</v>
      </c>
      <c r="W6" s="66" t="n">
        <f aca="false">Budget!X6/Budget!M6</f>
        <v>0</v>
      </c>
      <c r="X6" s="66" t="n">
        <f aca="false">S6/Economy!O6</f>
        <v>0</v>
      </c>
      <c r="Y6" s="56" t="n">
        <f aca="false">MAX(0,H6+Q6-'Gold &amp; money'!G6)</f>
        <v>0.0895362055412372</v>
      </c>
    </row>
    <row r="7" customFormat="false" ht="14.25" hidden="false" customHeight="false" outlineLevel="0" collapsed="false">
      <c r="A7" s="61" t="n">
        <v>1847</v>
      </c>
      <c r="B7" s="56" t="n">
        <f aca="false">Loans!V7-Loans!W7</f>
        <v>0</v>
      </c>
      <c r="C7" s="56" t="n">
        <f aca="false">R6*debt_amort</f>
        <v>0.00179072411082474</v>
      </c>
      <c r="D7" s="56" t="n">
        <f aca="false">M6+Budget!Z7-B7-C7</f>
        <v>-0.248429716054993</v>
      </c>
      <c r="E7" s="56" t="n">
        <f aca="false">MAX(0.1,Budget!M7*cash_target)</f>
        <v>0.239077642465242</v>
      </c>
      <c r="F7" s="56" t="n">
        <f aca="false">IF(D7&lt;E7,MIN(E7-D7,S6),0)</f>
        <v>0</v>
      </c>
      <c r="G7" s="56" t="n">
        <f aca="false">MAX(0,E7-D7-F7)</f>
        <v>0.487507358520235</v>
      </c>
      <c r="H7" s="56" t="n">
        <f aca="false">G7/issue_price</f>
        <v>0.502584905690964</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0.239077642465242</v>
      </c>
      <c r="N7" s="56" t="n">
        <f aca="false">I7+J7+Q7*issue_price*dev_bonds+SUMPRODUCT((Events!$B$6:$B$174&lt;=$A7)*(Events!$C$6:$C$174&gt;=$A7)*(Events!$E$6:$E$174="Investment")*Events!$H$6:$H$174)</f>
        <v>0</v>
      </c>
      <c r="O7" s="56" t="n">
        <f aca="false">O6*(1-dev_dep)+N7</f>
        <v>0</v>
      </c>
      <c r="P7" s="56" t="n">
        <f aca="false">SUMPRODUCT((Events!$B$6:$B$174&lt;=$A7)*(Events!$C$6:$C$174&gt;=$A7)*(Events!$E$6:$E$174="Debt assumed")*Events!$H$6:$H$174)</f>
        <v>0</v>
      </c>
      <c r="Q7" s="56" t="n">
        <f aca="false">IF($A7&lt;1887,0,MAX(0,debt_floor*Economy!O7-(R6+P7+H7-C7-K7)))</f>
        <v>0</v>
      </c>
      <c r="R7" s="56" t="n">
        <f aca="false">R6+P7+H7-C7-K7+Q7</f>
        <v>0.590330387121377</v>
      </c>
      <c r="S7" s="56" t="n">
        <f aca="false">S6+L7-F7-J7+Q7*issue_price*(1-dev_bonds)</f>
        <v>0</v>
      </c>
      <c r="T7" s="72" t="n">
        <f aca="false">Loans!X7</f>
        <v>0</v>
      </c>
      <c r="U7" s="56" t="n">
        <f aca="false">R7-M7-S7-T7</f>
        <v>0.351252744656135</v>
      </c>
      <c r="V7" s="66" t="n">
        <f aca="false">R7/Economy!O7</f>
        <v>0.0289474372438602</v>
      </c>
      <c r="W7" s="66" t="n">
        <f aca="false">Budget!X7/Budget!M7</f>
        <v>0.00564569018088081</v>
      </c>
      <c r="X7" s="66" t="n">
        <f aca="false">S7/Economy!O7</f>
        <v>0</v>
      </c>
      <c r="Y7" s="56" t="n">
        <f aca="false">MAX(0,H7+Q7-'Gold &amp; money'!G7)</f>
        <v>0.502584905690964</v>
      </c>
    </row>
    <row r="8" customFormat="false" ht="14.25" hidden="false" customHeight="false" outlineLevel="0" collapsed="false">
      <c r="A8" s="61" t="n">
        <v>1848</v>
      </c>
      <c r="B8" s="56" t="n">
        <f aca="false">Loans!V8-Loans!W8</f>
        <v>0</v>
      </c>
      <c r="C8" s="56" t="n">
        <f aca="false">R7*debt_amort</f>
        <v>0.0118066077424275</v>
      </c>
      <c r="D8" s="56" t="n">
        <f aca="false">M7+Budget!Z8-B8-C8</f>
        <v>-0.236377295948447</v>
      </c>
      <c r="E8" s="56" t="n">
        <f aca="false">MAX(0.1,Budget!M8*cash_target)</f>
        <v>0.318697347386211</v>
      </c>
      <c r="F8" s="56" t="n">
        <f aca="false">IF(D8&lt;E8,MIN(E8-D8,S7),0)</f>
        <v>0</v>
      </c>
      <c r="G8" s="56" t="n">
        <f aca="false">MAX(0,E8-D8-F8)</f>
        <v>0.555074643334658</v>
      </c>
      <c r="H8" s="56" t="n">
        <f aca="false">G8/issue_price</f>
        <v>0.572241900345009</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0.318697347386211</v>
      </c>
      <c r="N8" s="56" t="n">
        <f aca="false">I8+J8+Q8*issue_price*dev_bonds+SUMPRODUCT((Events!$B$6:$B$174&lt;=$A8)*(Events!$C$6:$C$174&gt;=$A8)*(Events!$E$6:$E$174="Investment")*Events!$H$6:$H$174)</f>
        <v>0</v>
      </c>
      <c r="O8" s="56" t="n">
        <f aca="false">O7*(1-dev_dep)+N8</f>
        <v>0</v>
      </c>
      <c r="P8" s="56" t="n">
        <f aca="false">SUMPRODUCT((Events!$B$6:$B$174&lt;=$A8)*(Events!$C$6:$C$174&gt;=$A8)*(Events!$E$6:$E$174="Debt assumed")*Events!$H$6:$H$174)</f>
        <v>14.6</v>
      </c>
      <c r="Q8" s="56" t="n">
        <f aca="false">IF($A8&lt;1887,0,MAX(0,debt_floor*Economy!O8-(R7+P8+H8-C8-K8)))</f>
        <v>0</v>
      </c>
      <c r="R8" s="56" t="n">
        <f aca="false">R7+P8+H8-C8-K8+Q8</f>
        <v>15.750765679724</v>
      </c>
      <c r="S8" s="56" t="n">
        <f aca="false">S7+L8-F8-J8+Q8*issue_price*(1-dev_bonds)</f>
        <v>0</v>
      </c>
      <c r="T8" s="72" t="n">
        <f aca="false">Loans!X8</f>
        <v>0</v>
      </c>
      <c r="U8" s="56" t="n">
        <f aca="false">R8-M8-S8-T8</f>
        <v>15.4320683323377</v>
      </c>
      <c r="V8" s="66" t="n">
        <f aca="false">R8/Economy!O8</f>
        <v>0.537272203686124</v>
      </c>
      <c r="W8" s="66" t="n">
        <f aca="false">Budget!X8/Budget!M8</f>
        <v>0.028016383501274</v>
      </c>
      <c r="X8" s="66" t="n">
        <f aca="false">S8/Economy!O8</f>
        <v>0</v>
      </c>
      <c r="Y8" s="56" t="n">
        <f aca="false">MAX(0,H8+Q8-'Gold &amp; money'!G8)</f>
        <v>0.572241900345009</v>
      </c>
    </row>
    <row r="9" customFormat="false" ht="14.25" hidden="false" customHeight="false" outlineLevel="0" collapsed="false">
      <c r="A9" s="61" t="n">
        <v>1849</v>
      </c>
      <c r="B9" s="56" t="n">
        <f aca="false">Loans!V9-Loans!W9</f>
        <v>0</v>
      </c>
      <c r="C9" s="56" t="n">
        <f aca="false">R8*debt_amort</f>
        <v>0.315015313594479</v>
      </c>
      <c r="D9" s="56" t="n">
        <f aca="false">M8+Budget!Z9-B9-C9</f>
        <v>1.10199543566038</v>
      </c>
      <c r="E9" s="56" t="n">
        <f aca="false">MAX(0.1,Budget!M9*cash_target)</f>
        <v>1.60315468610513</v>
      </c>
      <c r="F9" s="56" t="n">
        <f aca="false">IF(D9&lt;E9,MIN(E9-D9,S8),0)</f>
        <v>0</v>
      </c>
      <c r="G9" s="56" t="n">
        <f aca="false">MAX(0,E9-D9-F9)</f>
        <v>0.50115925044475</v>
      </c>
      <c r="H9" s="56" t="n">
        <f aca="false">G9/issue_price</f>
        <v>0.516659021077062</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1.60315468610513</v>
      </c>
      <c r="N9" s="56" t="n">
        <f aca="false">I9+J9+Q9*issue_price*dev_bonds+SUMPRODUCT((Events!$B$6:$B$174&lt;=$A9)*(Events!$C$6:$C$174&gt;=$A9)*(Events!$E$6:$E$174="Investment")*Events!$H$6:$H$174)</f>
        <v>0</v>
      </c>
      <c r="O9" s="56" t="n">
        <f aca="false">O8*(1-dev_dep)+N9</f>
        <v>0</v>
      </c>
      <c r="P9" s="56" t="n">
        <f aca="false">SUMPRODUCT((Events!$B$6:$B$174&lt;=$A9)*(Events!$C$6:$C$174&gt;=$A9)*(Events!$E$6:$E$174="Debt assumed")*Events!$H$6:$H$174)</f>
        <v>0</v>
      </c>
      <c r="Q9" s="56" t="n">
        <f aca="false">IF($A9&lt;1887,0,MAX(0,debt_floor*Economy!O9-(R8+P9+H9-C9-K9)))</f>
        <v>0</v>
      </c>
      <c r="R9" s="56" t="n">
        <f aca="false">R8+P9+H9-C9-K9+Q9</f>
        <v>15.9524093872065</v>
      </c>
      <c r="S9" s="56" t="n">
        <f aca="false">S8+L9-F9-J9+Q9*issue_price*(1-dev_bonds)</f>
        <v>0</v>
      </c>
      <c r="T9" s="72" t="n">
        <f aca="false">Loans!X9</f>
        <v>0</v>
      </c>
      <c r="U9" s="56" t="n">
        <f aca="false">R9-M9-S9-T9</f>
        <v>14.3492547011014</v>
      </c>
      <c r="V9" s="66" t="n">
        <f aca="false">R9/Economy!O9</f>
        <v>0.226586080043798</v>
      </c>
      <c r="W9" s="66" t="n">
        <f aca="false">Budget!X9/Budget!M9</f>
        <v>0.149337827726067</v>
      </c>
      <c r="X9" s="66" t="n">
        <f aca="false">S9/Economy!O9</f>
        <v>0</v>
      </c>
      <c r="Y9" s="56" t="n">
        <f aca="false">MAX(0,H9+Q9-'Gold &amp; money'!G9)</f>
        <v>0.516659021077062</v>
      </c>
    </row>
    <row r="10" customFormat="false" ht="14.25" hidden="false" customHeight="false" outlineLevel="0" collapsed="false">
      <c r="A10" s="61" t="n">
        <v>1850</v>
      </c>
      <c r="B10" s="56" t="n">
        <f aca="false">Loans!V10-Loans!W10</f>
        <v>0</v>
      </c>
      <c r="C10" s="56" t="n">
        <f aca="false">R9*debt_amort</f>
        <v>0.319048187744131</v>
      </c>
      <c r="D10" s="56" t="n">
        <f aca="false">M9+Budget!Z10-B10-C10</f>
        <v>1.95037656517142</v>
      </c>
      <c r="E10" s="56" t="n">
        <f aca="false">MAX(0.1,Budget!M10*cash_target)</f>
        <v>1.72619870737023</v>
      </c>
      <c r="F10" s="56" t="n">
        <f aca="false">IF(D10&lt;E10,MIN(E10-D10,S9),0)</f>
        <v>0</v>
      </c>
      <c r="G10" s="56" t="n">
        <f aca="false">MAX(0,E10-D10-F10)</f>
        <v>0</v>
      </c>
      <c r="H10" s="56" t="n">
        <f aca="false">G10/issue_price</f>
        <v>0</v>
      </c>
      <c r="I10" s="56" t="n">
        <f aca="false">IF(AND(D10&gt;E10,$A10&gt;=dev_start),(D10-E10)*dev_share,0)</f>
        <v>0</v>
      </c>
      <c r="J10" s="56" t="n">
        <f aca="false">IF($A10&gt;=dev_start,MAX(0,S9-F10-reserve_buffer*Economy!O10),0)</f>
        <v>0</v>
      </c>
      <c r="K10" s="56" t="n">
        <f aca="false">IF(D10&gt;E10,MIN((D10-E10-I10)*repay_share,R9-C10),0)</f>
        <v>0.179342286240955</v>
      </c>
      <c r="L10" s="56" t="n">
        <f aca="false">IF(D10&gt;E10,D10-E10-I10-K10,0)</f>
        <v>0.0448355715602387</v>
      </c>
      <c r="M10" s="56" t="n">
        <f aca="false">D10+F10+G10-I10-K10-L10</f>
        <v>1.72619870737023</v>
      </c>
      <c r="N10" s="56" t="n">
        <f aca="false">I10+J10+Q10*issue_price*dev_bonds+SUMPRODUCT((Events!$B$6:$B$174&lt;=$A10)*(Events!$C$6:$C$174&gt;=$A10)*(Events!$E$6:$E$174="Investment")*Events!$H$6:$H$174)</f>
        <v>0</v>
      </c>
      <c r="O10" s="56" t="n">
        <f aca="false">O9*(1-dev_dep)+N10</f>
        <v>0</v>
      </c>
      <c r="P10" s="56" t="n">
        <f aca="false">SUMPRODUCT((Events!$B$6:$B$174&lt;=$A10)*(Events!$C$6:$C$174&gt;=$A10)*(Events!$E$6:$E$174="Debt assumed")*Events!$H$6:$H$174)</f>
        <v>0</v>
      </c>
      <c r="Q10" s="56" t="n">
        <f aca="false">IF($A10&lt;1887,0,MAX(0,debt_floor*Economy!O10-(R9+P10+H10-C10-K10)))</f>
        <v>0</v>
      </c>
      <c r="R10" s="56" t="n">
        <f aca="false">R9+P10+H10-C10-K10+Q10</f>
        <v>15.4540189132215</v>
      </c>
      <c r="S10" s="56" t="n">
        <f aca="false">S9+L10-F10-J10+Q10*issue_price*(1-dev_bonds)</f>
        <v>0.0448355715602387</v>
      </c>
      <c r="T10" s="72" t="n">
        <f aca="false">Loans!X10</f>
        <v>0</v>
      </c>
      <c r="U10" s="56" t="n">
        <f aca="false">R10-M10-S10-T10</f>
        <v>13.682984634291</v>
      </c>
      <c r="V10" s="66" t="n">
        <f aca="false">R10/Economy!O10</f>
        <v>0.199824308986399</v>
      </c>
      <c r="W10" s="66" t="n">
        <f aca="false">Budget!X10/Budget!M10</f>
        <v>0.141161647468038</v>
      </c>
      <c r="X10" s="66" t="n">
        <f aca="false">S10/Economy!O10</f>
        <v>0.000579735093851216</v>
      </c>
      <c r="Y10" s="56" t="n">
        <f aca="false">MAX(0,H10+Q10-'Gold &amp; money'!G10)</f>
        <v>0</v>
      </c>
    </row>
    <row r="11" customFormat="false" ht="14.25" hidden="false" customHeight="false" outlineLevel="0" collapsed="false">
      <c r="A11" s="61" t="n">
        <v>1851</v>
      </c>
      <c r="B11" s="56" t="n">
        <f aca="false">Loans!V11-Loans!W11</f>
        <v>0</v>
      </c>
      <c r="C11" s="56" t="n">
        <f aca="false">R10*debt_amort</f>
        <v>0.309080378264429</v>
      </c>
      <c r="D11" s="56" t="n">
        <f aca="false">M10+Budget!Z11-B11-C11</f>
        <v>2.87271253546976</v>
      </c>
      <c r="E11" s="56" t="n">
        <f aca="false">MAX(0.1,Budget!M11*cash_target)</f>
        <v>2.30841472218525</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0.451438250627606</v>
      </c>
      <c r="L11" s="56" t="n">
        <f aca="false">IF(D11&gt;E11,D11-E11-I11-K11,0)</f>
        <v>0.112859562656902</v>
      </c>
      <c r="M11" s="56" t="n">
        <f aca="false">D11+F11+G11-I11-K11-L11</f>
        <v>2.30841472218525</v>
      </c>
      <c r="N11" s="56" t="n">
        <f aca="false">I11+J11+Q11*issue_price*dev_bonds+SUMPRODUCT((Events!$B$6:$B$174&lt;=$A11)*(Events!$C$6:$C$174&gt;=$A11)*(Events!$E$6:$E$174="Investment")*Events!$H$6:$H$174)</f>
        <v>0</v>
      </c>
      <c r="O11" s="56" t="n">
        <f aca="false">O10*(1-dev_dep)+N11</f>
        <v>0</v>
      </c>
      <c r="P11" s="56" t="n">
        <f aca="false">SUMPRODUCT((Events!$B$6:$B$174&lt;=$A11)*(Events!$C$6:$C$174&gt;=$A11)*(Events!$E$6:$E$174="Debt assumed")*Events!$H$6:$H$174)</f>
        <v>0</v>
      </c>
      <c r="Q11" s="56" t="n">
        <f aca="false">IF($A11&lt;1887,0,MAX(0,debt_floor*Economy!O11-(R10+P11+H11-C11-K11)))</f>
        <v>0</v>
      </c>
      <c r="R11" s="56" t="n">
        <f aca="false">R10+P11+H11-C11-K11+Q11</f>
        <v>14.6935002843294</v>
      </c>
      <c r="S11" s="56" t="n">
        <f aca="false">S10+L11-F11-J11+Q11*issue_price*(1-dev_bonds)</f>
        <v>0.15769513421714</v>
      </c>
      <c r="T11" s="72" t="n">
        <f aca="false">Loans!X11</f>
        <v>0</v>
      </c>
      <c r="U11" s="56" t="n">
        <f aca="false">R11-M11-S11-T11</f>
        <v>12.227390427927</v>
      </c>
      <c r="V11" s="66" t="n">
        <f aca="false">R11/Economy!O11</f>
        <v>0.13901936986176</v>
      </c>
      <c r="W11" s="66" t="n">
        <f aca="false">Budget!X11/Budget!M11</f>
        <v>0.102595446809888</v>
      </c>
      <c r="X11" s="66" t="n">
        <f aca="false">S11/Economy!O11</f>
        <v>0.00149199835062534</v>
      </c>
      <c r="Y11" s="56" t="n">
        <f aca="false">MAX(0,H11+Q11-'Gold &amp; money'!G11)</f>
        <v>0</v>
      </c>
    </row>
    <row r="12" customFormat="false" ht="14.25" hidden="false" customHeight="false" outlineLevel="0" collapsed="false">
      <c r="A12" s="61" t="n">
        <v>1852</v>
      </c>
      <c r="B12" s="56" t="n">
        <f aca="false">Loans!V12-Loans!W12</f>
        <v>0</v>
      </c>
      <c r="C12" s="56" t="n">
        <f aca="false">R11*debt_amort</f>
        <v>0.293870005686588</v>
      </c>
      <c r="D12" s="56" t="n">
        <f aca="false">M11+Budget!Z12-B12-C12</f>
        <v>4.11779168805763</v>
      </c>
      <c r="E12" s="56" t="n">
        <f aca="false">MAX(0.1,Budget!M12*cash_target)</f>
        <v>3.04926460488309</v>
      </c>
      <c r="F12" s="56" t="n">
        <f aca="false">IF(D12&lt;E12,MIN(E12-D12,S11),0)</f>
        <v>0</v>
      </c>
      <c r="G12" s="56" t="n">
        <f aca="false">MAX(0,E12-D12-F12)</f>
        <v>0</v>
      </c>
      <c r="H12" s="56" t="n">
        <f aca="false">G12/issue_price</f>
        <v>0</v>
      </c>
      <c r="I12" s="56" t="n">
        <f aca="false">IF(AND(D12&gt;E12,$A12&gt;=dev_start),(D12-E12)*dev_share,0)</f>
        <v>0</v>
      </c>
      <c r="J12" s="56" t="n">
        <f aca="false">IF($A12&gt;=dev_start,MAX(0,S11-F12-reserve_buffer*Economy!O12),0)</f>
        <v>0</v>
      </c>
      <c r="K12" s="56" t="n">
        <f aca="false">IF(D12&gt;E12,MIN((D12-E12-I12)*repay_share,R11-C12),0)</f>
        <v>0.854821666539629</v>
      </c>
      <c r="L12" s="56" t="n">
        <f aca="false">IF(D12&gt;E12,D12-E12-I12-K12,0)</f>
        <v>0.213705416634907</v>
      </c>
      <c r="M12" s="56" t="n">
        <f aca="false">D12+F12+G12-I12-K12-L12</f>
        <v>3.04926460488309</v>
      </c>
      <c r="N12" s="56" t="n">
        <f aca="false">I12+J12+Q12*issue_price*dev_bonds+SUMPRODUCT((Events!$B$6:$B$174&lt;=$A12)*(Events!$C$6:$C$174&gt;=$A12)*(Events!$E$6:$E$174="Investment")*Events!$H$6:$H$174)</f>
        <v>0</v>
      </c>
      <c r="O12" s="56" t="n">
        <f aca="false">O11*(1-dev_dep)+N12</f>
        <v>0</v>
      </c>
      <c r="P12" s="56" t="n">
        <f aca="false">SUMPRODUCT((Events!$B$6:$B$174&lt;=$A12)*(Events!$C$6:$C$174&gt;=$A12)*(Events!$E$6:$E$174="Debt assumed")*Events!$H$6:$H$174)</f>
        <v>0</v>
      </c>
      <c r="Q12" s="56" t="n">
        <f aca="false">IF($A12&lt;1887,0,MAX(0,debt_floor*Economy!O12-(R11+P12+H12-C12-K12)))</f>
        <v>0</v>
      </c>
      <c r="R12" s="56" t="n">
        <f aca="false">R11+P12+H12-C12-K12+Q12</f>
        <v>13.5448086121032</v>
      </c>
      <c r="S12" s="56" t="n">
        <f aca="false">S11+L12-F12-J12+Q12*issue_price*(1-dev_bonds)</f>
        <v>0.371400550852047</v>
      </c>
      <c r="T12" s="72" t="n">
        <f aca="false">Loans!X12</f>
        <v>0</v>
      </c>
      <c r="U12" s="56" t="n">
        <f aca="false">R12-M12-S12-T12</f>
        <v>10.1241434563681</v>
      </c>
      <c r="V12" s="66" t="n">
        <f aca="false">R12/Economy!O12</f>
        <v>0.114011280791637</v>
      </c>
      <c r="W12" s="66" t="n">
        <f aca="false">Budget!X12/Budget!M12</f>
        <v>0.0742080251140909</v>
      </c>
      <c r="X12" s="66" t="n">
        <f aca="false">S12/Economy!O12</f>
        <v>0.00312620530138198</v>
      </c>
      <c r="Y12" s="56" t="n">
        <f aca="false">MAX(0,H12+Q12-'Gold &amp; money'!G12)</f>
        <v>0</v>
      </c>
    </row>
    <row r="13" customFormat="false" ht="14.25" hidden="false" customHeight="false" outlineLevel="0" collapsed="false">
      <c r="A13" s="61" t="n">
        <v>1853</v>
      </c>
      <c r="B13" s="56" t="n">
        <f aca="false">Loans!V13-Loans!W13</f>
        <v>0</v>
      </c>
      <c r="C13" s="56" t="n">
        <f aca="false">R12*debt_amort</f>
        <v>0.270896172242064</v>
      </c>
      <c r="D13" s="56" t="n">
        <f aca="false">M12+Budget!Z13-B13-C13</f>
        <v>4.92040736557006</v>
      </c>
      <c r="E13" s="56" t="n">
        <f aca="false">MAX(0.1,Budget!M13*cash_target)</f>
        <v>3.05524364956763</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1.49213097280194</v>
      </c>
      <c r="L13" s="56" t="n">
        <f aca="false">IF(D13&gt;E13,D13-E13-I13-K13,0)</f>
        <v>0.373032743200486</v>
      </c>
      <c r="M13" s="56" t="n">
        <f aca="false">D13+F13+G13-I13-K13-L13</f>
        <v>3.05524364956763</v>
      </c>
      <c r="N13" s="56" t="n">
        <f aca="false">I13+J13+Q13*issue_price*dev_bonds+SUMPRODUCT((Events!$B$6:$B$174&lt;=$A13)*(Events!$C$6:$C$174&gt;=$A13)*(Events!$E$6:$E$174="Investment")*Events!$H$6:$H$174)</f>
        <v>0</v>
      </c>
      <c r="O13" s="56" t="n">
        <f aca="false">O12*(1-dev_dep)+N13</f>
        <v>0</v>
      </c>
      <c r="P13" s="56" t="n">
        <f aca="false">SUMPRODUCT((Events!$B$6:$B$174&lt;=$A13)*(Events!$C$6:$C$174&gt;=$A13)*(Events!$E$6:$E$174="Debt assumed")*Events!$H$6:$H$174)</f>
        <v>0</v>
      </c>
      <c r="Q13" s="56" t="n">
        <f aca="false">IF($A13&lt;1887,0,MAX(0,debt_floor*Economy!O13-(R12+P13+H13-C13-K13)))</f>
        <v>0</v>
      </c>
      <c r="R13" s="56" t="n">
        <f aca="false">R12+P13+H13-C13-K13+Q13</f>
        <v>11.7817814670592</v>
      </c>
      <c r="S13" s="56" t="n">
        <f aca="false">S12+L13-F13-J13+Q13*issue_price*(1-dev_bonds)</f>
        <v>0.744433294052533</v>
      </c>
      <c r="T13" s="72" t="n">
        <f aca="false">Loans!X13</f>
        <v>0</v>
      </c>
      <c r="U13" s="56" t="n">
        <f aca="false">R13-M13-S13-T13</f>
        <v>7.98210452343904</v>
      </c>
      <c r="V13" s="66" t="n">
        <f aca="false">R13/Economy!O13</f>
        <v>0.0988282886098774</v>
      </c>
      <c r="W13" s="66" t="n">
        <f aca="false">Budget!X13/Budget!M13</f>
        <v>0.06849446952835</v>
      </c>
      <c r="X13" s="66" t="n">
        <f aca="false">S13/Economy!O13</f>
        <v>0.00624447742823304</v>
      </c>
      <c r="Y13" s="56" t="n">
        <f aca="false">MAX(0,H13+Q13-'Gold &amp; money'!G13)</f>
        <v>0</v>
      </c>
    </row>
    <row r="14" customFormat="false" ht="14.25" hidden="false" customHeight="false" outlineLevel="0" collapsed="false">
      <c r="A14" s="61" t="n">
        <v>1854</v>
      </c>
      <c r="B14" s="56" t="n">
        <f aca="false">Loans!V14-Loans!W14</f>
        <v>0</v>
      </c>
      <c r="C14" s="56" t="n">
        <f aca="false">R13*debt_amort</f>
        <v>0.235635629341184</v>
      </c>
      <c r="D14" s="56" t="n">
        <f aca="false">M13+Budget!Z14-B14-C14</f>
        <v>4.93432474825446</v>
      </c>
      <c r="E14" s="56" t="n">
        <f aca="false">MAX(0.1,Budget!M14*cash_target)</f>
        <v>3.26778419155797</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1.33323244535719</v>
      </c>
      <c r="L14" s="56" t="n">
        <f aca="false">IF(D14&gt;E14,D14-E14-I14-K14,0)</f>
        <v>0.333308111339297</v>
      </c>
      <c r="M14" s="56" t="n">
        <f aca="false">D14+F14+G14-I14-K14-L14</f>
        <v>3.26778419155797</v>
      </c>
      <c r="N14" s="56" t="n">
        <f aca="false">I14+J14+Q14*issue_price*dev_bonds+SUMPRODUCT((Events!$B$6:$B$174&lt;=$A14)*(Events!$C$6:$C$174&gt;=$A14)*(Events!$E$6:$E$174="Investment")*Events!$H$6:$H$174)</f>
        <v>0</v>
      </c>
      <c r="O14" s="56" t="n">
        <f aca="false">O13*(1-dev_dep)+N14</f>
        <v>0</v>
      </c>
      <c r="P14" s="56" t="n">
        <f aca="false">SUMPRODUCT((Events!$B$6:$B$174&lt;=$A14)*(Events!$C$6:$C$174&gt;=$A14)*(Events!$E$6:$E$174="Debt assumed")*Events!$H$6:$H$174)</f>
        <v>0</v>
      </c>
      <c r="Q14" s="56" t="n">
        <f aca="false">IF($A14&lt;1887,0,MAX(0,debt_floor*Economy!O14-(R13+P14+H14-C14-K14)))</f>
        <v>0</v>
      </c>
      <c r="R14" s="56" t="n">
        <f aca="false">R13+P14+H14-C14-K14+Q14</f>
        <v>10.2129133923608</v>
      </c>
      <c r="S14" s="56" t="n">
        <f aca="false">S13+L14-F14-J14+Q14*issue_price*(1-dev_bonds)</f>
        <v>1.07774140539183</v>
      </c>
      <c r="T14" s="72" t="n">
        <f aca="false">Loans!X14</f>
        <v>0</v>
      </c>
      <c r="U14" s="56" t="n">
        <f aca="false">R14-M14-S14-T14</f>
        <v>5.86738779541102</v>
      </c>
      <c r="V14" s="66" t="n">
        <f aca="false">R14/Economy!O14</f>
        <v>0.0796071791272472</v>
      </c>
      <c r="W14" s="66" t="n">
        <f aca="false">Budget!X14/Budget!M14</f>
        <v>0.0559743687323756</v>
      </c>
      <c r="X14" s="66" t="n">
        <f aca="false">S14/Economy!O14</f>
        <v>0.00840073246641387</v>
      </c>
      <c r="Y14" s="56" t="n">
        <f aca="false">MAX(0,H14+Q14-'Gold &amp; money'!G14)</f>
        <v>0</v>
      </c>
    </row>
    <row r="15" customFormat="false" ht="14.25" hidden="false" customHeight="false" outlineLevel="0" collapsed="false">
      <c r="A15" s="61" t="n">
        <v>1855</v>
      </c>
      <c r="B15" s="56" t="n">
        <f aca="false">Loans!V15-Loans!W15</f>
        <v>0</v>
      </c>
      <c r="C15" s="56" t="n">
        <f aca="false">R14*debt_amort</f>
        <v>0.204258267847216</v>
      </c>
      <c r="D15" s="56" t="n">
        <f aca="false">M14+Budget!Z15-B15-C15</f>
        <v>4.99340856044568</v>
      </c>
      <c r="E15" s="56" t="n">
        <f aca="false">MAX(0.1,Budget!M15*cash_target)</f>
        <v>3.39178750820368</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1.28129684179359</v>
      </c>
      <c r="L15" s="56" t="n">
        <f aca="false">IF(D15&gt;E15,D15-E15-I15-K15,0)</f>
        <v>0.320324210448398</v>
      </c>
      <c r="M15" s="56" t="n">
        <f aca="false">D15+F15+G15-I15-K15-L15</f>
        <v>3.39178750820368</v>
      </c>
      <c r="N15" s="56" t="n">
        <f aca="false">I15+J15+Q15*issue_price*dev_bonds+SUMPRODUCT((Events!$B$6:$B$174&lt;=$A15)*(Events!$C$6:$C$174&gt;=$A15)*(Events!$E$6:$E$174="Investment")*Events!$H$6:$H$174)</f>
        <v>0</v>
      </c>
      <c r="O15" s="56" t="n">
        <f aca="false">O14*(1-dev_dep)+N15</f>
        <v>0</v>
      </c>
      <c r="P15" s="56" t="n">
        <f aca="false">SUMPRODUCT((Events!$B$6:$B$174&lt;=$A15)*(Events!$C$6:$C$174&gt;=$A15)*(Events!$E$6:$E$174="Debt assumed")*Events!$H$6:$H$174)</f>
        <v>0</v>
      </c>
      <c r="Q15" s="56" t="n">
        <f aca="false">IF($A15&lt;1887,0,MAX(0,debt_floor*Economy!O15-(R14+P15+H15-C15-K15)))</f>
        <v>0</v>
      </c>
      <c r="R15" s="56" t="n">
        <f aca="false">R14+P15+H15-C15-K15+Q15</f>
        <v>8.72735828272001</v>
      </c>
      <c r="S15" s="56" t="n">
        <f aca="false">S14+L15-F15-J15+Q15*issue_price*(1-dev_bonds)</f>
        <v>1.39806561584023</v>
      </c>
      <c r="T15" s="72" t="n">
        <f aca="false">Loans!X15</f>
        <v>0</v>
      </c>
      <c r="U15" s="56" t="n">
        <f aca="false">R15-M15-S15-T15</f>
        <v>3.9375051586761</v>
      </c>
      <c r="V15" s="66" t="n">
        <f aca="false">R15/Economy!O15</f>
        <v>0.0693812938543913</v>
      </c>
      <c r="W15" s="66" t="n">
        <f aca="false">Budget!X15/Budget!M15</f>
        <v>0.0469727093856792</v>
      </c>
      <c r="X15" s="66" t="n">
        <f aca="false">S15/Economy!O15</f>
        <v>0.0111144286940057</v>
      </c>
      <c r="Y15" s="56" t="n">
        <f aca="false">MAX(0,H15+Q15-'Gold &amp; money'!G15)</f>
        <v>0</v>
      </c>
    </row>
    <row r="16" customFormat="false" ht="14.25" hidden="false" customHeight="false" outlineLevel="0" collapsed="false">
      <c r="A16" s="61" t="n">
        <v>1856</v>
      </c>
      <c r="B16" s="56" t="n">
        <f aca="false">Loans!V16-Loans!W16</f>
        <v>0</v>
      </c>
      <c r="C16" s="56" t="n">
        <f aca="false">R15*debt_amort</f>
        <v>0.1745471656544</v>
      </c>
      <c r="D16" s="56" t="n">
        <f aca="false">M15+Budget!Z16-B16-C16</f>
        <v>5.21361376367757</v>
      </c>
      <c r="E16" s="56" t="n">
        <f aca="false">MAX(0.1,Budget!M16*cash_target)</f>
        <v>3.78790037006006</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1.14057071489401</v>
      </c>
      <c r="L16" s="56" t="n">
        <f aca="false">IF(D16&gt;E16,D16-E16-I16-K16,0)</f>
        <v>0.285142678723501</v>
      </c>
      <c r="M16" s="56" t="n">
        <f aca="false">D16+F16+G16-I16-K16-L16</f>
        <v>3.78790037006006</v>
      </c>
      <c r="N16" s="56" t="n">
        <f aca="false">I16+J16+Q16*issue_price*dev_bonds+SUMPRODUCT((Events!$B$6:$B$174&lt;=$A16)*(Events!$C$6:$C$174&gt;=$A16)*(Events!$E$6:$E$174="Investment")*Events!$H$6:$H$174)</f>
        <v>0</v>
      </c>
      <c r="O16" s="56" t="n">
        <f aca="false">O15*(1-dev_dep)+N16</f>
        <v>0</v>
      </c>
      <c r="P16" s="56" t="n">
        <f aca="false">SUMPRODUCT((Events!$B$6:$B$174&lt;=$A16)*(Events!$C$6:$C$174&gt;=$A16)*(Events!$E$6:$E$174="Debt assumed")*Events!$H$6:$H$174)</f>
        <v>0</v>
      </c>
      <c r="Q16" s="56" t="n">
        <f aca="false">IF($A16&lt;1887,0,MAX(0,debt_floor*Economy!O16-(R15+P16+H16-C16-K16)))</f>
        <v>0</v>
      </c>
      <c r="R16" s="56" t="n">
        <f aca="false">R15+P16+H16-C16-K16+Q16</f>
        <v>7.41224040217161</v>
      </c>
      <c r="S16" s="56" t="n">
        <f aca="false">S15+L16-F16-J16+Q16*issue_price*(1-dev_bonds)</f>
        <v>1.68320829456373</v>
      </c>
      <c r="T16" s="72" t="n">
        <f aca="false">Loans!X16</f>
        <v>0</v>
      </c>
      <c r="U16" s="56" t="n">
        <f aca="false">R16-M16-S16-T16</f>
        <v>1.94113173754782</v>
      </c>
      <c r="V16" s="66" t="n">
        <f aca="false">R16/Economy!O16</f>
        <v>0.052383798102975</v>
      </c>
      <c r="W16" s="66" t="n">
        <f aca="false">Budget!X16/Budget!M16</f>
        <v>0.0360577480348045</v>
      </c>
      <c r="X16" s="66" t="n">
        <f aca="false">S16/Economy!O16</f>
        <v>0.0118955725507563</v>
      </c>
      <c r="Y16" s="56" t="n">
        <f aca="false">MAX(0,H16+Q16-'Gold &amp; money'!G16)</f>
        <v>0</v>
      </c>
    </row>
    <row r="17" customFormat="false" ht="14.25" hidden="false" customHeight="false" outlineLevel="0" collapsed="false">
      <c r="A17" s="61" t="n">
        <v>1857</v>
      </c>
      <c r="B17" s="56" t="n">
        <f aca="false">Loans!V17-Loans!W17</f>
        <v>0</v>
      </c>
      <c r="C17" s="56" t="n">
        <f aca="false">R16*debt_amort</f>
        <v>0.148244808043432</v>
      </c>
      <c r="D17" s="56" t="n">
        <f aca="false">M16+Budget!Z17-B17-C17</f>
        <v>4.29819339333835</v>
      </c>
      <c r="E17" s="56" t="n">
        <f aca="false">MAX(0.1,Budget!M17*cash_target)</f>
        <v>3.85519953218971</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0.354395088918911</v>
      </c>
      <c r="L17" s="56" t="n">
        <f aca="false">IF(D17&gt;E17,D17-E17-I17-K17,0)</f>
        <v>0.0885987722297276</v>
      </c>
      <c r="M17" s="56" t="n">
        <f aca="false">D17+F17+G17-I17-K17-L17</f>
        <v>3.85519953218971</v>
      </c>
      <c r="N17" s="56" t="n">
        <f aca="false">I17+J17+Q17*issue_price*dev_bonds+SUMPRODUCT((Events!$B$6:$B$174&lt;=$A17)*(Events!$C$6:$C$174&gt;=$A17)*(Events!$E$6:$E$174="Investment")*Events!$H$6:$H$174)</f>
        <v>0</v>
      </c>
      <c r="O17" s="56" t="n">
        <f aca="false">O16*(1-dev_dep)+N17</f>
        <v>0</v>
      </c>
      <c r="P17" s="56" t="n">
        <f aca="false">SUMPRODUCT((Events!$B$6:$B$174&lt;=$A17)*(Events!$C$6:$C$174&gt;=$A17)*(Events!$E$6:$E$174="Debt assumed")*Events!$H$6:$H$174)</f>
        <v>0</v>
      </c>
      <c r="Q17" s="56" t="n">
        <f aca="false">IF($A17&lt;1887,0,MAX(0,debt_floor*Economy!O17-(R16+P17+H17-C17-K17)))</f>
        <v>0</v>
      </c>
      <c r="R17" s="56" t="n">
        <f aca="false">R16+P17+H17-C17-K17+Q17</f>
        <v>6.90960050520926</v>
      </c>
      <c r="S17" s="56" t="n">
        <f aca="false">S16+L17-F17-J17+Q17*issue_price*(1-dev_bonds)</f>
        <v>1.77180706679346</v>
      </c>
      <c r="T17" s="72" t="n">
        <f aca="false">Loans!X17</f>
        <v>0</v>
      </c>
      <c r="U17" s="56" t="n">
        <f aca="false">R17-M17-S17-T17</f>
        <v>1.28259390622609</v>
      </c>
      <c r="V17" s="66" t="n">
        <f aca="false">R17/Economy!O17</f>
        <v>0.0481632027972187</v>
      </c>
      <c r="W17" s="66" t="n">
        <f aca="false">Budget!X17/Budget!M17</f>
        <v>0.0302338385733164</v>
      </c>
      <c r="X17" s="66" t="n">
        <f aca="false">S17/Economy!O17</f>
        <v>0.012350338201345</v>
      </c>
      <c r="Y17" s="56" t="n">
        <f aca="false">MAX(0,H17+Q17-'Gold &amp; money'!G17)</f>
        <v>0</v>
      </c>
    </row>
    <row r="18" customFormat="false" ht="14.25" hidden="false" customHeight="false" outlineLevel="0" collapsed="false">
      <c r="A18" s="61" t="n">
        <v>1858</v>
      </c>
      <c r="B18" s="56" t="n">
        <f aca="false">Loans!V18-Loans!W18</f>
        <v>0</v>
      </c>
      <c r="C18" s="56" t="n">
        <f aca="false">R17*debt_amort</f>
        <v>0.138192010104185</v>
      </c>
      <c r="D18" s="56" t="n">
        <f aca="false">M17+Budget!Z18-B18-C18</f>
        <v>3.79001074973759</v>
      </c>
      <c r="E18" s="56" t="n">
        <f aca="false">MAX(0.1,Budget!M18*cash_target)</f>
        <v>4.15488271856949</v>
      </c>
      <c r="F18" s="56" t="n">
        <f aca="false">IF(D18&lt;E18,MIN(E18-D18,S17),0)</f>
        <v>0.364871968831897</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0</v>
      </c>
      <c r="L18" s="56" t="n">
        <f aca="false">IF(D18&gt;E18,D18-E18-I18-K18,0)</f>
        <v>0</v>
      </c>
      <c r="M18" s="56" t="n">
        <f aca="false">D18+F18+G18-I18-K18-L18</f>
        <v>4.15488271856949</v>
      </c>
      <c r="N18" s="56" t="n">
        <f aca="false">I18+J18+Q18*issue_price*dev_bonds+SUMPRODUCT((Events!$B$6:$B$174&lt;=$A18)*(Events!$C$6:$C$174&gt;=$A18)*(Events!$E$6:$E$174="Investment")*Events!$H$6:$H$174)</f>
        <v>0</v>
      </c>
      <c r="O18" s="56" t="n">
        <f aca="false">O17*(1-dev_dep)+N18</f>
        <v>0</v>
      </c>
      <c r="P18" s="56" t="n">
        <f aca="false">SUMPRODUCT((Events!$B$6:$B$174&lt;=$A18)*(Events!$C$6:$C$174&gt;=$A18)*(Events!$E$6:$E$174="Debt assumed")*Events!$H$6:$H$174)</f>
        <v>0</v>
      </c>
      <c r="Q18" s="56" t="n">
        <f aca="false">IF($A18&lt;1887,0,MAX(0,debt_floor*Economy!O18-(R17+P18+H18-C18-K18)))</f>
        <v>0</v>
      </c>
      <c r="R18" s="56" t="n">
        <f aca="false">R17+P18+H18-C18-K18+Q18</f>
        <v>6.77140849510508</v>
      </c>
      <c r="S18" s="56" t="n">
        <f aca="false">S17+L18-F18-J18+Q18*issue_price*(1-dev_bonds)</f>
        <v>1.40693509796156</v>
      </c>
      <c r="T18" s="72" t="n">
        <f aca="false">Loans!X18</f>
        <v>0</v>
      </c>
      <c r="U18" s="56" t="n">
        <f aca="false">R18-M18-S18-T18</f>
        <v>1.20959067857403</v>
      </c>
      <c r="V18" s="66" t="n">
        <f aca="false">R18/Economy!O18</f>
        <v>0.0435025863589227</v>
      </c>
      <c r="W18" s="66" t="n">
        <f aca="false">Budget!X18/Budget!M18</f>
        <v>0.0262755161522089</v>
      </c>
      <c r="X18" s="66" t="n">
        <f aca="false">S18/Economy!O18</f>
        <v>0.00903878648655096</v>
      </c>
      <c r="Y18" s="56" t="n">
        <f aca="false">MAX(0,H18+Q18-'Gold &amp; money'!G18)</f>
        <v>0</v>
      </c>
    </row>
    <row r="19" customFormat="false" ht="14.25" hidden="false" customHeight="false" outlineLevel="0" collapsed="false">
      <c r="A19" s="61" t="n">
        <v>1859</v>
      </c>
      <c r="B19" s="56" t="n">
        <f aca="false">Loans!V19-Loans!W19</f>
        <v>0</v>
      </c>
      <c r="C19" s="56" t="n">
        <f aca="false">R18*debt_amort</f>
        <v>0.135428169902102</v>
      </c>
      <c r="D19" s="56" t="n">
        <f aca="false">M18+Budget!Z19-B19-C19</f>
        <v>3.20798468500953</v>
      </c>
      <c r="E19" s="56" t="n">
        <f aca="false">MAX(0.1,Budget!M19*cash_target)</f>
        <v>4.4103398437643</v>
      </c>
      <c r="F19" s="56" t="n">
        <f aca="false">IF(D19&lt;E19,MIN(E19-D19,S18),0)</f>
        <v>1.20235515875477</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0</v>
      </c>
      <c r="L19" s="56" t="n">
        <f aca="false">IF(D19&gt;E19,D19-E19-I19-K19,0)</f>
        <v>0</v>
      </c>
      <c r="M19" s="56" t="n">
        <f aca="false">D19+F19+G19-I19-K19-L19</f>
        <v>4.4103398437643</v>
      </c>
      <c r="N19" s="56" t="n">
        <f aca="false">I19+J19+Q19*issue_price*dev_bonds+SUMPRODUCT((Events!$B$6:$B$174&lt;=$A19)*(Events!$C$6:$C$174&gt;=$A19)*(Events!$E$6:$E$174="Investment")*Events!$H$6:$H$174)</f>
        <v>0</v>
      </c>
      <c r="O19" s="56" t="n">
        <f aca="false">O18*(1-dev_dep)+N19</f>
        <v>0</v>
      </c>
      <c r="P19" s="56" t="n">
        <f aca="false">SUMPRODUCT((Events!$B$6:$B$174&lt;=$A19)*(Events!$C$6:$C$174&gt;=$A19)*(Events!$E$6:$E$174="Debt assumed")*Events!$H$6:$H$174)</f>
        <v>0</v>
      </c>
      <c r="Q19" s="56" t="n">
        <f aca="false">IF($A19&lt;1887,0,MAX(0,debt_floor*Economy!O19-(R18+P19+H19-C19-K19)))</f>
        <v>0</v>
      </c>
      <c r="R19" s="56" t="n">
        <f aca="false">R18+P19+H19-C19-K19+Q19</f>
        <v>6.63598032520298</v>
      </c>
      <c r="S19" s="56" t="n">
        <f aca="false">S18+L19-F19-J19+Q19*issue_price*(1-dev_bonds)</f>
        <v>0.20457993920679</v>
      </c>
      <c r="T19" s="72" t="n">
        <f aca="false">Loans!X19</f>
        <v>0</v>
      </c>
      <c r="U19" s="56" t="n">
        <f aca="false">R19-M19-S19-T19</f>
        <v>2.02106054223188</v>
      </c>
      <c r="V19" s="66" t="n">
        <f aca="false">R19/Economy!O19</f>
        <v>0.0399642816066637</v>
      </c>
      <c r="W19" s="66" t="n">
        <f aca="false">Budget!X19/Budget!M19</f>
        <v>0.0243352731194089</v>
      </c>
      <c r="X19" s="66" t="n">
        <f aca="false">S19/Economy!O19</f>
        <v>0.00123205463260384</v>
      </c>
      <c r="Y19" s="56" t="n">
        <f aca="false">MAX(0,H19+Q19-'Gold &amp; money'!G19)</f>
        <v>0</v>
      </c>
    </row>
    <row r="20" customFormat="false" ht="14.25" hidden="false" customHeight="false" outlineLevel="0" collapsed="false">
      <c r="A20" s="61" t="n">
        <v>1860</v>
      </c>
      <c r="B20" s="56" t="n">
        <f aca="false">Loans!V20-Loans!W20</f>
        <v>0</v>
      </c>
      <c r="C20" s="56" t="n">
        <f aca="false">R19*debt_amort</f>
        <v>0.13271960650406</v>
      </c>
      <c r="D20" s="56" t="n">
        <f aca="false">M19+Budget!Z20-B20-C20</f>
        <v>0.394908106590647</v>
      </c>
      <c r="E20" s="56" t="n">
        <f aca="false">MAX(0.1,Budget!M20*cash_target)</f>
        <v>4.62071404406902</v>
      </c>
      <c r="F20" s="56" t="n">
        <f aca="false">IF(D20&lt;E20,MIN(E20-D20,S19),0)</f>
        <v>0.20457993920679</v>
      </c>
      <c r="G20" s="56" t="n">
        <f aca="false">MAX(0,E20-D20-F20)</f>
        <v>4.02122599827158</v>
      </c>
      <c r="H20" s="56" t="n">
        <f aca="false">G20/issue_price</f>
        <v>4.14559381265112</v>
      </c>
      <c r="I20" s="56" t="n">
        <f aca="false">IF(AND(D20&gt;E20,$A20&gt;=dev_start),(D20-E20)*dev_share,0)</f>
        <v>0</v>
      </c>
      <c r="J20" s="56" t="n">
        <f aca="false">IF($A20&gt;=dev_start,MAX(0,S19-F20-reserve_buffer*Economy!O20),0)</f>
        <v>0</v>
      </c>
      <c r="K20" s="56" t="n">
        <f aca="false">IF(D20&gt;E20,MIN((D20-E20-I20)*repay_share,R19-C20),0)</f>
        <v>0</v>
      </c>
      <c r="L20" s="56" t="n">
        <f aca="false">IF(D20&gt;E20,D20-E20-I20-K20,0)</f>
        <v>0</v>
      </c>
      <c r="M20" s="56" t="n">
        <f aca="false">D20+F20+G20-I20-K20-L20</f>
        <v>4.62071404406902</v>
      </c>
      <c r="N20" s="56" t="n">
        <f aca="false">I20+J20+Q20*issue_price*dev_bonds+SUMPRODUCT((Events!$B$6:$B$174&lt;=$A20)*(Events!$C$6:$C$174&gt;=$A20)*(Events!$E$6:$E$174="Investment")*Events!$H$6:$H$174)</f>
        <v>0</v>
      </c>
      <c r="O20" s="56" t="n">
        <f aca="false">O19*(1-dev_dep)+N20</f>
        <v>0</v>
      </c>
      <c r="P20" s="56" t="n">
        <f aca="false">SUMPRODUCT((Events!$B$6:$B$174&lt;=$A20)*(Events!$C$6:$C$174&gt;=$A20)*(Events!$E$6:$E$174="Debt assumed")*Events!$H$6:$H$174)</f>
        <v>0</v>
      </c>
      <c r="Q20" s="56" t="n">
        <f aca="false">IF($A20&lt;1887,0,MAX(0,debt_floor*Economy!O20-(R19+P20+H20-C20-K20)))</f>
        <v>0</v>
      </c>
      <c r="R20" s="56" t="n">
        <f aca="false">R19+P20+H20-C20-K20+Q20</f>
        <v>10.64885453135</v>
      </c>
      <c r="S20" s="56" t="n">
        <f aca="false">S19+L20-F20-J20+Q20*issue_price*(1-dev_bonds)</f>
        <v>0</v>
      </c>
      <c r="T20" s="72" t="n">
        <f aca="false">Loans!X20</f>
        <v>0</v>
      </c>
      <c r="U20" s="56" t="n">
        <f aca="false">R20-M20-S20-T20</f>
        <v>6.02814048728101</v>
      </c>
      <c r="V20" s="66" t="n">
        <f aca="false">R20/Economy!O20</f>
        <v>0.0608487310652439</v>
      </c>
      <c r="W20" s="66" t="n">
        <f aca="false">Budget!X20/Budget!M20</f>
        <v>0.0228704883424894</v>
      </c>
      <c r="X20" s="66" t="n">
        <f aca="false">S20/Economy!O20</f>
        <v>0</v>
      </c>
      <c r="Y20" s="56" t="n">
        <f aca="false">MAX(0,H20+Q20-'Gold &amp; money'!G20)</f>
        <v>4.14559381265112</v>
      </c>
    </row>
    <row r="21" customFormat="false" ht="14.25" hidden="false" customHeight="false" outlineLevel="0" collapsed="false">
      <c r="A21" s="64" t="n">
        <v>1861</v>
      </c>
      <c r="B21" s="56" t="n">
        <f aca="false">Loans!V21-Loans!W21</f>
        <v>0</v>
      </c>
      <c r="C21" s="56" t="n">
        <f aca="false">R20*debt_amort</f>
        <v>0.212977090627001</v>
      </c>
      <c r="D21" s="56" t="n">
        <f aca="false">M20+Budget!Z21-B21-C21</f>
        <v>-4.45571629035909</v>
      </c>
      <c r="E21" s="56" t="n">
        <f aca="false">MAX(0.1,Budget!M21*cash_target)</f>
        <v>5.89066552244297</v>
      </c>
      <c r="F21" s="56" t="n">
        <f aca="false">IF(D21&lt;E21,MIN(E21-D21,S20),0)</f>
        <v>0</v>
      </c>
      <c r="G21" s="56" t="n">
        <f aca="false">MAX(0,E21-D21-F21)</f>
        <v>10.3463818128021</v>
      </c>
      <c r="H21" s="56" t="n">
        <f aca="false">G21/issue_price</f>
        <v>10.6663730028887</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5.89066552244297</v>
      </c>
      <c r="N21" s="56" t="n">
        <f aca="false">I21+J21+Q21*issue_price*dev_bonds+SUMPRODUCT((Events!$B$6:$B$174&lt;=$A21)*(Events!$C$6:$C$174&gt;=$A21)*(Events!$E$6:$E$174="Investment")*Events!$H$6:$H$174)</f>
        <v>0</v>
      </c>
      <c r="O21" s="56" t="n">
        <f aca="false">O20*(1-dev_dep)+N21</f>
        <v>0</v>
      </c>
      <c r="P21" s="56" t="n">
        <f aca="false">SUMPRODUCT((Events!$B$6:$B$174&lt;=$A21)*(Events!$C$6:$C$174&gt;=$A21)*(Events!$E$6:$E$174="Debt assumed")*Events!$H$6:$H$174)</f>
        <v>0</v>
      </c>
      <c r="Q21" s="56" t="n">
        <f aca="false">IF($A21&lt;1887,0,MAX(0,debt_floor*Economy!O21-(R20+P21+H21-C21-K21)))</f>
        <v>0</v>
      </c>
      <c r="R21" s="56" t="n">
        <f aca="false">R20+P21+H21-C21-K21+Q21</f>
        <v>21.1022504436118</v>
      </c>
      <c r="S21" s="56" t="n">
        <f aca="false">S20+L21-F21-J21+Q21*issue_price*(1-dev_bonds)</f>
        <v>0</v>
      </c>
      <c r="T21" s="72" t="n">
        <f aca="false">Loans!X21</f>
        <v>0</v>
      </c>
      <c r="U21" s="56" t="n">
        <f aca="false">R21-M21-S21-T21</f>
        <v>15.2115849211688</v>
      </c>
      <c r="V21" s="66" t="n">
        <f aca="false">R21/Economy!O21</f>
        <v>0.116931402761615</v>
      </c>
      <c r="W21" s="66" t="n">
        <f aca="false">Budget!X21/Budget!M21</f>
        <v>0.0288788169163892</v>
      </c>
      <c r="X21" s="66" t="n">
        <f aca="false">S21/Economy!O21</f>
        <v>0</v>
      </c>
      <c r="Y21" s="56" t="n">
        <f aca="false">MAX(0,H21+Q21-'Gold &amp; money'!G21)</f>
        <v>10.6663730028887</v>
      </c>
    </row>
    <row r="22" customFormat="false" ht="14.25" hidden="false" customHeight="false" outlineLevel="0" collapsed="false">
      <c r="A22" s="64" t="n">
        <v>1862</v>
      </c>
      <c r="B22" s="56" t="n">
        <f aca="false">Loans!V22-Loans!W22</f>
        <v>0</v>
      </c>
      <c r="C22" s="56" t="n">
        <f aca="false">R21*debt_amort</f>
        <v>0.422045008872235</v>
      </c>
      <c r="D22" s="56" t="n">
        <f aca="false">M21+Budget!Z22-B22-C22</f>
        <v>-13.0425152219995</v>
      </c>
      <c r="E22" s="56" t="n">
        <f aca="false">MAX(0.1,Budget!M22*cash_target)</f>
        <v>6.80217124605581</v>
      </c>
      <c r="F22" s="56" t="n">
        <f aca="false">IF(D22&lt;E22,MIN(E22-D22,S21),0)</f>
        <v>0</v>
      </c>
      <c r="G22" s="56" t="n">
        <f aca="false">MAX(0,E22-D22-F22)</f>
        <v>19.8446864680553</v>
      </c>
      <c r="H22" s="56" t="n">
        <f aca="false">G22/issue_price</f>
        <v>20.4584396577889</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6.8021712460558</v>
      </c>
      <c r="N22" s="56" t="n">
        <f aca="false">I22+J22+Q22*issue_price*dev_bonds+SUMPRODUCT((Events!$B$6:$B$174&lt;=$A22)*(Events!$C$6:$C$174&gt;=$A22)*(Events!$E$6:$E$174="Investment")*Events!$H$6:$H$174)</f>
        <v>0</v>
      </c>
      <c r="O22" s="56" t="n">
        <f aca="false">O21*(1-dev_dep)+N22</f>
        <v>0</v>
      </c>
      <c r="P22" s="56" t="n">
        <f aca="false">SUMPRODUCT((Events!$B$6:$B$174&lt;=$A22)*(Events!$C$6:$C$174&gt;=$A22)*(Events!$E$6:$E$174="Debt assumed")*Events!$H$6:$H$174)</f>
        <v>0</v>
      </c>
      <c r="Q22" s="56" t="n">
        <f aca="false">IF($A22&lt;1887,0,MAX(0,debt_floor*Economy!O22-(R21+P22+H22-C22-K22)))</f>
        <v>0</v>
      </c>
      <c r="R22" s="56" t="n">
        <f aca="false">R21+P22+H22-C22-K22+Q22</f>
        <v>41.1386450925285</v>
      </c>
      <c r="S22" s="56" t="n">
        <f aca="false">S21+L22-F22-J22+Q22*issue_price*(1-dev_bonds)</f>
        <v>0</v>
      </c>
      <c r="T22" s="72" t="n">
        <f aca="false">Loans!X22</f>
        <v>0</v>
      </c>
      <c r="U22" s="56" t="n">
        <f aca="false">R22-M22-S22-T22</f>
        <v>34.3364738464726</v>
      </c>
      <c r="V22" s="66" t="n">
        <f aca="false">R22/Economy!O22</f>
        <v>0.197823577673404</v>
      </c>
      <c r="W22" s="66" t="n">
        <f aca="false">Budget!X22/Budget!M22</f>
        <v>0.0497916190828563</v>
      </c>
      <c r="X22" s="66" t="n">
        <f aca="false">S22/Economy!O22</f>
        <v>0</v>
      </c>
      <c r="Y22" s="56" t="n">
        <f aca="false">MAX(0,H22+Q22-'Gold &amp; money'!G22)</f>
        <v>20.4584396577889</v>
      </c>
    </row>
    <row r="23" customFormat="false" ht="14.25" hidden="false" customHeight="false" outlineLevel="0" collapsed="false">
      <c r="A23" s="64" t="n">
        <v>1863</v>
      </c>
      <c r="B23" s="56" t="n">
        <f aca="false">Loans!V23-Loans!W23</f>
        <v>0</v>
      </c>
      <c r="C23" s="56" t="n">
        <f aca="false">R22*debt_amort</f>
        <v>0.822772901850569</v>
      </c>
      <c r="D23" s="56" t="n">
        <f aca="false">M22+Budget!Z23-B23-C23</f>
        <v>-14.2587547162253</v>
      </c>
      <c r="E23" s="56" t="n">
        <f aca="false">MAX(0.1,Budget!M23*cash_target)</f>
        <v>8.46655244003825</v>
      </c>
      <c r="F23" s="56" t="n">
        <f aca="false">IF(D23&lt;E23,MIN(E23-D23,S22),0)</f>
        <v>0</v>
      </c>
      <c r="G23" s="56" t="n">
        <f aca="false">MAX(0,E23-D23-F23)</f>
        <v>22.7253071562635</v>
      </c>
      <c r="H23" s="56" t="n">
        <f aca="false">G23/issue_price</f>
        <v>23.4281517074882</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8.46655244003825</v>
      </c>
      <c r="N23" s="56" t="n">
        <f aca="false">I23+J23+Q23*issue_price*dev_bonds+SUMPRODUCT((Events!$B$6:$B$174&lt;=$A23)*(Events!$C$6:$C$174&gt;=$A23)*(Events!$E$6:$E$174="Investment")*Events!$H$6:$H$174)</f>
        <v>0</v>
      </c>
      <c r="O23" s="56" t="n">
        <f aca="false">O22*(1-dev_dep)+N23</f>
        <v>0</v>
      </c>
      <c r="P23" s="56" t="n">
        <f aca="false">SUMPRODUCT((Events!$B$6:$B$174&lt;=$A23)*(Events!$C$6:$C$174&gt;=$A23)*(Events!$E$6:$E$174="Debt assumed")*Events!$H$6:$H$174)</f>
        <v>0</v>
      </c>
      <c r="Q23" s="56" t="n">
        <f aca="false">IF($A23&lt;1887,0,MAX(0,debt_floor*Economy!O23-(R22+P23+H23-C23-K23)))</f>
        <v>0</v>
      </c>
      <c r="R23" s="56" t="n">
        <f aca="false">R22+P23+H23-C23-K23+Q23</f>
        <v>63.7440238981661</v>
      </c>
      <c r="S23" s="56" t="n">
        <f aca="false">S22+L23-F23-J23+Q23*issue_price*(1-dev_bonds)</f>
        <v>0</v>
      </c>
      <c r="T23" s="72" t="n">
        <f aca="false">Loans!X23</f>
        <v>0</v>
      </c>
      <c r="U23" s="56" t="n">
        <f aca="false">R23-M23-S23-T23</f>
        <v>55.2774714581278</v>
      </c>
      <c r="V23" s="66" t="n">
        <f aca="false">R23/Economy!O23</f>
        <v>0.24596803025192</v>
      </c>
      <c r="W23" s="66" t="n">
        <f aca="false">Budget!X23/Budget!M23</f>
        <v>0.0783507403769207</v>
      </c>
      <c r="X23" s="66" t="n">
        <f aca="false">S23/Economy!O23</f>
        <v>0</v>
      </c>
      <c r="Y23" s="56" t="n">
        <f aca="false">MAX(0,H23+Q23-'Gold &amp; money'!G23)</f>
        <v>23.4281517074882</v>
      </c>
    </row>
    <row r="24" customFormat="false" ht="14.25" hidden="false" customHeight="false" outlineLevel="0" collapsed="false">
      <c r="A24" s="64" t="n">
        <v>1864</v>
      </c>
      <c r="B24" s="56" t="n">
        <f aca="false">Loans!V24-Loans!W24</f>
        <v>0</v>
      </c>
      <c r="C24" s="56" t="n">
        <f aca="false">R23*debt_amort</f>
        <v>1.27488047796332</v>
      </c>
      <c r="D24" s="56" t="n">
        <f aca="false">M23+Budget!Z24-B24-C24</f>
        <v>-11.7267719916198</v>
      </c>
      <c r="E24" s="56" t="n">
        <f aca="false">MAX(0.1,Budget!M24*cash_target)</f>
        <v>10.1232302629169</v>
      </c>
      <c r="F24" s="56" t="n">
        <f aca="false">IF(D24&lt;E24,MIN(E24-D24,S23),0)</f>
        <v>0</v>
      </c>
      <c r="G24" s="56" t="n">
        <f aca="false">MAX(0,E24-D24-F24)</f>
        <v>21.8500022545367</v>
      </c>
      <c r="H24" s="56" t="n">
        <f aca="false">G24/issue_price</f>
        <v>22.5257755201409</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10.1232302629169</v>
      </c>
      <c r="N24" s="56" t="n">
        <f aca="false">I24+J24+Q24*issue_price*dev_bonds+SUMPRODUCT((Events!$B$6:$B$174&lt;=$A24)*(Events!$C$6:$C$174&gt;=$A24)*(Events!$E$6:$E$174="Investment")*Events!$H$6:$H$174)</f>
        <v>0</v>
      </c>
      <c r="O24" s="56" t="n">
        <f aca="false">O23*(1-dev_dep)+N24</f>
        <v>0</v>
      </c>
      <c r="P24" s="56" t="n">
        <f aca="false">SUMPRODUCT((Events!$B$6:$B$174&lt;=$A24)*(Events!$C$6:$C$174&gt;=$A24)*(Events!$E$6:$E$174="Debt assumed")*Events!$H$6:$H$174)</f>
        <v>0</v>
      </c>
      <c r="Q24" s="56" t="n">
        <f aca="false">IF($A24&lt;1887,0,MAX(0,debt_floor*Economy!O24-(R23+P24+H24-C24-K24)))</f>
        <v>0</v>
      </c>
      <c r="R24" s="56" t="n">
        <f aca="false">R23+P24+H24-C24-K24+Q24</f>
        <v>84.9949189403437</v>
      </c>
      <c r="S24" s="56" t="n">
        <f aca="false">S23+L24-F24-J24+Q24*issue_price*(1-dev_bonds)</f>
        <v>0</v>
      </c>
      <c r="T24" s="72" t="n">
        <f aca="false">Loans!X24</f>
        <v>0</v>
      </c>
      <c r="U24" s="56" t="n">
        <f aca="false">R24-M24-S24-T24</f>
        <v>74.8716886774267</v>
      </c>
      <c r="V24" s="66" t="n">
        <f aca="false">R24/Economy!O24</f>
        <v>0.27026598151663</v>
      </c>
      <c r="W24" s="66" t="n">
        <f aca="false">Budget!X24/Budget!M24</f>
        <v>0.101850847977822</v>
      </c>
      <c r="X24" s="66" t="n">
        <f aca="false">S24/Economy!O24</f>
        <v>0</v>
      </c>
      <c r="Y24" s="56" t="n">
        <f aca="false">MAX(0,H24+Q24-'Gold &amp; money'!G24)</f>
        <v>22.5257755201409</v>
      </c>
    </row>
    <row r="25" customFormat="false" ht="14.25" hidden="false" customHeight="false" outlineLevel="0" collapsed="false">
      <c r="A25" s="64" t="n">
        <v>1865</v>
      </c>
      <c r="B25" s="56" t="n">
        <f aca="false">Loans!V25-Loans!W25</f>
        <v>0</v>
      </c>
      <c r="C25" s="56" t="n">
        <f aca="false">R24*debt_amort</f>
        <v>1.69989837880687</v>
      </c>
      <c r="D25" s="56" t="n">
        <f aca="false">M24+Budget!Z25-B25-C25</f>
        <v>1.02651645106856</v>
      </c>
      <c r="E25" s="56" t="n">
        <f aca="false">MAX(0.1,Budget!M25*cash_target)</f>
        <v>11.0517257961892</v>
      </c>
      <c r="F25" s="56" t="n">
        <f aca="false">IF(D25&lt;E25,MIN(E25-D25,S24),0)</f>
        <v>0</v>
      </c>
      <c r="G25" s="56" t="n">
        <f aca="false">MAX(0,E25-D25-F25)</f>
        <v>10.0252093451207</v>
      </c>
      <c r="H25" s="56" t="n">
        <f aca="false">G25/issue_price</f>
        <v>10.3352673661038</v>
      </c>
      <c r="I25" s="56" t="n">
        <f aca="false">IF(AND(D25&gt;E25,$A25&gt;=dev_start),(D25-E25)*dev_share,0)</f>
        <v>0</v>
      </c>
      <c r="J25" s="56" t="n">
        <f aca="false">IF($A25&gt;=dev_start,MAX(0,S24-F25-reserve_buffer*Economy!O25),0)</f>
        <v>0</v>
      </c>
      <c r="K25" s="56" t="n">
        <f aca="false">IF(D25&gt;E25,MIN((D25-E25-I25)*repay_share,R24-C25),0)</f>
        <v>0</v>
      </c>
      <c r="L25" s="56" t="n">
        <f aca="false">IF(D25&gt;E25,D25-E25-I25-K25,0)</f>
        <v>0</v>
      </c>
      <c r="M25" s="56" t="n">
        <f aca="false">D25+F25+G25-I25-K25-L25</f>
        <v>11.0517257961892</v>
      </c>
      <c r="N25" s="56" t="n">
        <f aca="false">I25+J25+Q25*issue_price*dev_bonds+SUMPRODUCT((Events!$B$6:$B$174&lt;=$A25)*(Events!$C$6:$C$174&gt;=$A25)*(Events!$E$6:$E$174="Investment")*Events!$H$6:$H$174)</f>
        <v>0</v>
      </c>
      <c r="O25" s="56" t="n">
        <f aca="false">O24*(1-dev_dep)+N25</f>
        <v>0</v>
      </c>
      <c r="P25" s="56" t="n">
        <f aca="false">SUMPRODUCT((Events!$B$6:$B$174&lt;=$A25)*(Events!$C$6:$C$174&gt;=$A25)*(Events!$E$6:$E$174="Debt assumed")*Events!$H$6:$H$174)</f>
        <v>0</v>
      </c>
      <c r="Q25" s="56" t="n">
        <f aca="false">IF($A25&lt;1887,0,MAX(0,debt_floor*Economy!O25-(R24+P25+H25-C25-K25)))</f>
        <v>0</v>
      </c>
      <c r="R25" s="56" t="n">
        <f aca="false">R24+P25+H25-C25-K25+Q25</f>
        <v>93.6302879276406</v>
      </c>
      <c r="S25" s="56" t="n">
        <f aca="false">S24+L25-F25-J25+Q25*issue_price*(1-dev_bonds)</f>
        <v>0</v>
      </c>
      <c r="T25" s="72" t="n">
        <f aca="false">Loans!X25</f>
        <v>0</v>
      </c>
      <c r="U25" s="56" t="n">
        <f aca="false">R25-M25-S25-T25</f>
        <v>82.5785621314513</v>
      </c>
      <c r="V25" s="66" t="n">
        <f aca="false">R25/Economy!O25</f>
        <v>0.272848278666824</v>
      </c>
      <c r="W25" s="66" t="n">
        <f aca="false">Budget!X25/Budget!M25</f>
        <v>0.124973009487516</v>
      </c>
      <c r="X25" s="66" t="n">
        <f aca="false">S25/Economy!O25</f>
        <v>0</v>
      </c>
      <c r="Y25" s="56" t="n">
        <f aca="false">MAX(0,H25+Q25-'Gold &amp; money'!G25)</f>
        <v>10.3352673661038</v>
      </c>
    </row>
    <row r="26" customFormat="false" ht="14.25" hidden="false" customHeight="false" outlineLevel="0" collapsed="false">
      <c r="A26" s="61" t="n">
        <v>1866</v>
      </c>
      <c r="B26" s="56" t="n">
        <f aca="false">Loans!V26-Loans!W26</f>
        <v>0</v>
      </c>
      <c r="C26" s="56" t="n">
        <f aca="false">R25*debt_amort</f>
        <v>1.87260575855281</v>
      </c>
      <c r="D26" s="56" t="n">
        <f aca="false">M25+Budget!Z26-B26-C26</f>
        <v>3.52794156785412</v>
      </c>
      <c r="E26" s="56" t="n">
        <f aca="false">MAX(0.1,Budget!M26*cash_target)</f>
        <v>11.4722348522189</v>
      </c>
      <c r="F26" s="56" t="n">
        <f aca="false">IF(D26&lt;E26,MIN(E26-D26,S25),0)</f>
        <v>0</v>
      </c>
      <c r="G26" s="56" t="n">
        <f aca="false">MAX(0,E26-D26-F26)</f>
        <v>7.94429328436478</v>
      </c>
      <c r="H26" s="56" t="n">
        <f aca="false">G26/issue_price</f>
        <v>8.18999307666473</v>
      </c>
      <c r="I26" s="56" t="n">
        <f aca="false">IF(AND(D26&gt;E26,$A26&gt;=dev_start),(D26-E26)*dev_share,0)</f>
        <v>0</v>
      </c>
      <c r="J26" s="56" t="n">
        <f aca="false">IF($A26&gt;=dev_start,MAX(0,S25-F26-reserve_buffer*Economy!O26),0)</f>
        <v>0</v>
      </c>
      <c r="K26" s="56" t="n">
        <f aca="false">IF(D26&gt;E26,MIN((D26-E26-I26)*repay_share,R25-C26),0)</f>
        <v>0</v>
      </c>
      <c r="L26" s="56" t="n">
        <f aca="false">IF(D26&gt;E26,D26-E26-I26-K26,0)</f>
        <v>0</v>
      </c>
      <c r="M26" s="56" t="n">
        <f aca="false">D26+F26+G26-I26-K26-L26</f>
        <v>11.4722348522189</v>
      </c>
      <c r="N26" s="56" t="n">
        <f aca="false">I26+J26+Q26*issue_price*dev_bonds+SUMPRODUCT((Events!$B$6:$B$174&lt;=$A26)*(Events!$C$6:$C$174&gt;=$A26)*(Events!$E$6:$E$174="Investment")*Events!$H$6:$H$174)</f>
        <v>0</v>
      </c>
      <c r="O26" s="56" t="n">
        <f aca="false">O25*(1-dev_dep)+N26</f>
        <v>0</v>
      </c>
      <c r="P26" s="56" t="n">
        <f aca="false">SUMPRODUCT((Events!$B$6:$B$174&lt;=$A26)*(Events!$C$6:$C$174&gt;=$A26)*(Events!$E$6:$E$174="Debt assumed")*Events!$H$6:$H$174)</f>
        <v>0</v>
      </c>
      <c r="Q26" s="56" t="n">
        <f aca="false">IF($A26&lt;1887,0,MAX(0,debt_floor*Economy!O26-(R25+P26+H26-C26-K26)))</f>
        <v>0</v>
      </c>
      <c r="R26" s="56" t="n">
        <f aca="false">R25+P26+H26-C26-K26+Q26</f>
        <v>99.9476752457525</v>
      </c>
      <c r="S26" s="56" t="n">
        <f aca="false">S25+L26-F26-J26+Q26*issue_price*(1-dev_bonds)</f>
        <v>0</v>
      </c>
      <c r="T26" s="72" t="n">
        <f aca="false">Loans!X26</f>
        <v>0</v>
      </c>
      <c r="U26" s="56" t="n">
        <f aca="false">R26-M26-S26-T26</f>
        <v>88.4754403935336</v>
      </c>
      <c r="V26" s="66" t="n">
        <f aca="false">R26/Economy!O26</f>
        <v>0.272521633136306</v>
      </c>
      <c r="W26" s="66" t="n">
        <f aca="false">Budget!X26/Budget!M26</f>
        <v>0.131195612522325</v>
      </c>
      <c r="X26" s="66" t="n">
        <f aca="false">S26/Economy!O26</f>
        <v>0</v>
      </c>
      <c r="Y26" s="56" t="n">
        <f aca="false">MAX(0,H26+Q26-'Gold &amp; money'!G26)</f>
        <v>8.18999307666473</v>
      </c>
    </row>
    <row r="27" customFormat="false" ht="14.25" hidden="false" customHeight="false" outlineLevel="0" collapsed="false">
      <c r="A27" s="61" t="n">
        <v>1867</v>
      </c>
      <c r="B27" s="56" t="n">
        <f aca="false">Loans!V27-Loans!W27</f>
        <v>10</v>
      </c>
      <c r="C27" s="56" t="n">
        <f aca="false">R26*debt_amort</f>
        <v>1.99895350491505</v>
      </c>
      <c r="D27" s="56" t="n">
        <f aca="false">M26+Budget!Z27-B27-C27</f>
        <v>-11.6157624452292</v>
      </c>
      <c r="E27" s="56" t="n">
        <f aca="false">MAX(0.1,Budget!M27*cash_target)</f>
        <v>12.4991613087502</v>
      </c>
      <c r="F27" s="56" t="n">
        <f aca="false">IF(D27&lt;E27,MIN(E27-D27,S26),0)</f>
        <v>0</v>
      </c>
      <c r="G27" s="56" t="n">
        <f aca="false">MAX(0,E27-D27-F27)</f>
        <v>24.1149237539794</v>
      </c>
      <c r="H27" s="56" t="n">
        <f aca="false">G27/issue_price</f>
        <v>24.860746138123</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12.4991613087501</v>
      </c>
      <c r="N27" s="56" t="n">
        <f aca="false">I27+J27+Q27*issue_price*dev_bonds+SUMPRODUCT((Events!$B$6:$B$174&lt;=$A27)*(Events!$C$6:$C$174&gt;=$A27)*(Events!$E$6:$E$174="Investment")*Events!$H$6:$H$174)</f>
        <v>0</v>
      </c>
      <c r="O27" s="56" t="n">
        <f aca="false">O26*(1-dev_dep)+N27</f>
        <v>0</v>
      </c>
      <c r="P27" s="56" t="n">
        <f aca="false">SUMPRODUCT((Events!$B$6:$B$174&lt;=$A27)*(Events!$C$6:$C$174&gt;=$A27)*(Events!$E$6:$E$174="Debt assumed")*Events!$H$6:$H$174)</f>
        <v>0</v>
      </c>
      <c r="Q27" s="56" t="n">
        <f aca="false">IF($A27&lt;1887,0,MAX(0,debt_floor*Economy!O27-(R26+P27+H27-C27-K27)))</f>
        <v>0</v>
      </c>
      <c r="R27" s="56" t="n">
        <f aca="false">R26+P27+H27-C27-K27+Q27</f>
        <v>122.80946787896</v>
      </c>
      <c r="S27" s="56" t="n">
        <f aca="false">S26+L27-F27-J27+Q27*issue_price*(1-dev_bonds)</f>
        <v>0</v>
      </c>
      <c r="T27" s="72" t="n">
        <f aca="false">Loans!X27</f>
        <v>10</v>
      </c>
      <c r="U27" s="56" t="n">
        <f aca="false">R27-M27-S27-T27</f>
        <v>100.31030657021</v>
      </c>
      <c r="V27" s="66" t="n">
        <f aca="false">R27/Economy!O27</f>
        <v>0.307871686903192</v>
      </c>
      <c r="W27" s="66" t="n">
        <f aca="false">Budget!X27/Budget!M27</f>
        <v>0.127141973541453</v>
      </c>
      <c r="X27" s="66" t="n">
        <f aca="false">S27/Economy!O27</f>
        <v>0</v>
      </c>
      <c r="Y27" s="56" t="n">
        <f aca="false">MAX(0,H27+Q27-'Gold &amp; money'!G27)</f>
        <v>24.860746138123</v>
      </c>
    </row>
    <row r="28" customFormat="false" ht="14.25" hidden="false" customHeight="false" outlineLevel="0" collapsed="false">
      <c r="A28" s="61" t="n">
        <v>1868</v>
      </c>
      <c r="B28" s="56" t="n">
        <f aca="false">Loans!V28-Loans!W28</f>
        <v>-0.4</v>
      </c>
      <c r="C28" s="56" t="n">
        <f aca="false">R27*debt_amort</f>
        <v>2.45618935757921</v>
      </c>
      <c r="D28" s="56" t="n">
        <f aca="false">M27+Budget!Z28-B28-C28</f>
        <v>6.17599404637266</v>
      </c>
      <c r="E28" s="56" t="n">
        <f aca="false">MAX(0.1,Budget!M28*cash_target)</f>
        <v>13.7618628196537</v>
      </c>
      <c r="F28" s="56" t="n">
        <f aca="false">IF(D28&lt;E28,MIN(E28-D28,S27),0)</f>
        <v>0</v>
      </c>
      <c r="G28" s="56" t="n">
        <f aca="false">MAX(0,E28-D28-F28)</f>
        <v>7.58586877328107</v>
      </c>
      <c r="H28" s="56" t="n">
        <f aca="false">G28/issue_price</f>
        <v>7.82048327142378</v>
      </c>
      <c r="I28" s="56" t="n">
        <f aca="false">IF(AND(D28&gt;E28,$A28&gt;=dev_start),(D28-E28)*dev_share,0)</f>
        <v>0</v>
      </c>
      <c r="J28" s="56" t="n">
        <f aca="false">IF($A28&gt;=dev_start,MAX(0,S27-F28-reserve_buffer*Economy!O28),0)</f>
        <v>0</v>
      </c>
      <c r="K28" s="56" t="n">
        <f aca="false">IF(D28&gt;E28,MIN((D28-E28-I28)*repay_share,R27-C28),0)</f>
        <v>0</v>
      </c>
      <c r="L28" s="56" t="n">
        <f aca="false">IF(D28&gt;E28,D28-E28-I28-K28,0)</f>
        <v>0</v>
      </c>
      <c r="M28" s="56" t="n">
        <f aca="false">D28+F28+G28-I28-K28-L28</f>
        <v>13.7618628196537</v>
      </c>
      <c r="N28" s="56" t="n">
        <f aca="false">I28+J28+Q28*issue_price*dev_bonds+SUMPRODUCT((Events!$B$6:$B$174&lt;=$A28)*(Events!$C$6:$C$174&gt;=$A28)*(Events!$E$6:$E$174="Investment")*Events!$H$6:$H$174)</f>
        <v>0</v>
      </c>
      <c r="O28" s="56" t="n">
        <f aca="false">O27*(1-dev_dep)+N28</f>
        <v>0</v>
      </c>
      <c r="P28" s="56" t="n">
        <f aca="false">SUMPRODUCT((Events!$B$6:$B$174&lt;=$A28)*(Events!$C$6:$C$174&gt;=$A28)*(Events!$E$6:$E$174="Debt assumed")*Events!$H$6:$H$174)</f>
        <v>0</v>
      </c>
      <c r="Q28" s="56" t="n">
        <f aca="false">IF($A28&lt;1887,0,MAX(0,debt_floor*Economy!O28-(R27+P28+H28-C28-K28)))</f>
        <v>0</v>
      </c>
      <c r="R28" s="56" t="n">
        <f aca="false">R27+P28+H28-C28-K28+Q28</f>
        <v>128.173761792805</v>
      </c>
      <c r="S28" s="56" t="n">
        <f aca="false">S27+L28-F28-J28+Q28*issue_price*(1-dev_bonds)</f>
        <v>0</v>
      </c>
      <c r="T28" s="72" t="n">
        <f aca="false">Loans!X28</f>
        <v>9.6</v>
      </c>
      <c r="U28" s="56" t="n">
        <f aca="false">R28-M28-S28-T28</f>
        <v>104.811898973151</v>
      </c>
      <c r="V28" s="66" t="n">
        <f aca="false">R28/Economy!O28</f>
        <v>0.295153970846543</v>
      </c>
      <c r="W28" s="66" t="n">
        <f aca="false">Budget!X28/Budget!M28</f>
        <v>0.140328304947109</v>
      </c>
      <c r="X28" s="66" t="n">
        <f aca="false">S28/Economy!O28</f>
        <v>0</v>
      </c>
      <c r="Y28" s="56" t="n">
        <f aca="false">MAX(0,H28+Q28-'Gold &amp; money'!G28)</f>
        <v>7.82048327142378</v>
      </c>
    </row>
    <row r="29" customFormat="false" ht="14.25" hidden="false" customHeight="false" outlineLevel="0" collapsed="false">
      <c r="A29" s="61" t="n">
        <v>1869</v>
      </c>
      <c r="B29" s="56" t="n">
        <f aca="false">Loans!V29-Loans!W29</f>
        <v>-0.384</v>
      </c>
      <c r="C29" s="56" t="n">
        <f aca="false">R28*debt_amort</f>
        <v>2.5634752358561</v>
      </c>
      <c r="D29" s="56" t="n">
        <f aca="false">M28+Budget!Z29-B29-C29</f>
        <v>8.49440839787006</v>
      </c>
      <c r="E29" s="56" t="n">
        <f aca="false">MAX(0.1,Budget!M29*cash_target)</f>
        <v>14.9146442004059</v>
      </c>
      <c r="F29" s="56" t="n">
        <f aca="false">IF(D29&lt;E29,MIN(E29-D29,S28),0)</f>
        <v>0</v>
      </c>
      <c r="G29" s="56" t="n">
        <f aca="false">MAX(0,E29-D29-F29)</f>
        <v>6.42023580253586</v>
      </c>
      <c r="H29" s="56" t="n">
        <f aca="false">G29/issue_price</f>
        <v>6.61879979642872</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0</v>
      </c>
      <c r="M29" s="56" t="n">
        <f aca="false">D29+F29+G29-I29-K29-L29</f>
        <v>14.9146442004059</v>
      </c>
      <c r="N29" s="56" t="n">
        <f aca="false">I29+J29+Q29*issue_price*dev_bonds+SUMPRODUCT((Events!$B$6:$B$174&lt;=$A29)*(Events!$C$6:$C$174&gt;=$A29)*(Events!$E$6:$E$174="Investment")*Events!$H$6:$H$174)</f>
        <v>0</v>
      </c>
      <c r="O29" s="56" t="n">
        <f aca="false">O28*(1-dev_dep)+N29</f>
        <v>0</v>
      </c>
      <c r="P29" s="56" t="n">
        <f aca="false">SUMPRODUCT((Events!$B$6:$B$174&lt;=$A29)*(Events!$C$6:$C$174&gt;=$A29)*(Events!$E$6:$E$174="Debt assumed")*Events!$H$6:$H$174)</f>
        <v>0</v>
      </c>
      <c r="Q29" s="56" t="n">
        <f aca="false">IF($A29&lt;1887,0,MAX(0,debt_floor*Economy!O29-(R28+P29+H29-C29-K29)))</f>
        <v>0</v>
      </c>
      <c r="R29" s="56" t="n">
        <f aca="false">R28+P29+H29-C29-K29+Q29</f>
        <v>132.229086353378</v>
      </c>
      <c r="S29" s="56" t="n">
        <f aca="false">S28+L29-F29-J29+Q29*issue_price*(1-dev_bonds)</f>
        <v>0</v>
      </c>
      <c r="T29" s="72" t="n">
        <f aca="false">Loans!X29</f>
        <v>9.216</v>
      </c>
      <c r="U29" s="56" t="n">
        <f aca="false">R29-M29-S29-T29</f>
        <v>108.098442152972</v>
      </c>
      <c r="V29" s="66" t="n">
        <f aca="false">R29/Economy!O29</f>
        <v>0.280376810643015</v>
      </c>
      <c r="W29" s="66" t="n">
        <f aca="false">Budget!X29/Budget!M29</f>
        <v>0.133419049431909</v>
      </c>
      <c r="X29" s="66" t="n">
        <f aca="false">S29/Economy!O29</f>
        <v>0</v>
      </c>
      <c r="Y29" s="56" t="n">
        <f aca="false">MAX(0,H29+Q29-'Gold &amp; money'!G29)</f>
        <v>6.61879979642872</v>
      </c>
    </row>
    <row r="30" customFormat="false" ht="14.25" hidden="false" customHeight="false" outlineLevel="0" collapsed="false">
      <c r="A30" s="64" t="n">
        <v>1870</v>
      </c>
      <c r="B30" s="56" t="n">
        <f aca="false">Loans!V30-Loans!W30</f>
        <v>4.63136</v>
      </c>
      <c r="C30" s="56" t="n">
        <f aca="false">R29*debt_amort</f>
        <v>2.64458172706755</v>
      </c>
      <c r="D30" s="56" t="n">
        <f aca="false">M29+Budget!Z30-B30-C30</f>
        <v>2.75598099609641</v>
      </c>
      <c r="E30" s="56" t="n">
        <f aca="false">MAX(0.1,Budget!M30*cash_target)</f>
        <v>16.244242477855</v>
      </c>
      <c r="F30" s="56" t="n">
        <f aca="false">IF(D30&lt;E30,MIN(E30-D30,S29),0)</f>
        <v>0</v>
      </c>
      <c r="G30" s="56" t="n">
        <f aca="false">MAX(0,E30-D30-F30)</f>
        <v>13.4882614817586</v>
      </c>
      <c r="H30" s="56" t="n">
        <f aca="false">G30/issue_price</f>
        <v>13.9054242079985</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0</v>
      </c>
      <c r="M30" s="56" t="n">
        <f aca="false">D30+F30+G30-I30-K30-L30</f>
        <v>16.244242477855</v>
      </c>
      <c r="N30" s="56" t="n">
        <f aca="false">I30+J30+Q30*issue_price*dev_bonds+SUMPRODUCT((Events!$B$6:$B$174&lt;=$A30)*(Events!$C$6:$C$174&gt;=$A30)*(Events!$E$6:$E$174="Investment")*Events!$H$6:$H$174)</f>
        <v>0</v>
      </c>
      <c r="O30" s="56" t="n">
        <f aca="false">O29*(1-dev_dep)+N30</f>
        <v>0</v>
      </c>
      <c r="P30" s="56" t="n">
        <f aca="false">SUMPRODUCT((Events!$B$6:$B$174&lt;=$A30)*(Events!$C$6:$C$174&gt;=$A30)*(Events!$E$6:$E$174="Debt assumed")*Events!$H$6:$H$174)</f>
        <v>0</v>
      </c>
      <c r="Q30" s="56" t="n">
        <f aca="false">IF($A30&lt;1887,0,MAX(0,debt_floor*Economy!O30-(R29+P30+H30-C30-K30)))</f>
        <v>0</v>
      </c>
      <c r="R30" s="56" t="n">
        <f aca="false">R29+P30+H30-C30-K30+Q30</f>
        <v>143.489928834309</v>
      </c>
      <c r="S30" s="56" t="n">
        <f aca="false">S29+L30-F30-J30+Q30*issue_price*(1-dev_bonds)</f>
        <v>0</v>
      </c>
      <c r="T30" s="72" t="n">
        <f aca="false">Loans!X30</f>
        <v>13.84736</v>
      </c>
      <c r="U30" s="56" t="n">
        <f aca="false">R30-M30-S30-T30</f>
        <v>113.398326356454</v>
      </c>
      <c r="V30" s="66" t="n">
        <f aca="false">R30/Economy!O30</f>
        <v>0.278904485453034</v>
      </c>
      <c r="W30" s="66" t="n">
        <f aca="false">Budget!X30/Budget!M30</f>
        <v>0.124949900144089</v>
      </c>
      <c r="X30" s="66" t="n">
        <f aca="false">S30/Economy!O30</f>
        <v>0</v>
      </c>
      <c r="Y30" s="56" t="n">
        <f aca="false">MAX(0,H30+Q30-'Gold &amp; money'!G30)</f>
        <v>13.9054242079985</v>
      </c>
    </row>
    <row r="31" customFormat="false" ht="14.25" hidden="false" customHeight="false" outlineLevel="0" collapsed="false">
      <c r="A31" s="64" t="n">
        <v>1871</v>
      </c>
      <c r="B31" s="56" t="n">
        <f aca="false">Loans!V31-Loans!W31</f>
        <v>11.9461056</v>
      </c>
      <c r="C31" s="56" t="n">
        <f aca="false">R30*debt_amort</f>
        <v>2.86979857668617</v>
      </c>
      <c r="D31" s="56" t="n">
        <f aca="false">M30+Budget!Z31-B31-C31</f>
        <v>-2.24608142518733</v>
      </c>
      <c r="E31" s="56" t="n">
        <f aca="false">MAX(0.1,Budget!M31*cash_target)</f>
        <v>17.5052125729604</v>
      </c>
      <c r="F31" s="56" t="n">
        <f aca="false">IF(D31&lt;E31,MIN(E31-D31,S30),0)</f>
        <v>0</v>
      </c>
      <c r="G31" s="56" t="n">
        <f aca="false">MAX(0,E31-D31-F31)</f>
        <v>19.7512939981477</v>
      </c>
      <c r="H31" s="56" t="n">
        <f aca="false">G31/issue_price</f>
        <v>20.362158760977</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0</v>
      </c>
      <c r="M31" s="56" t="n">
        <f aca="false">D31+F31+G31-I31-K31-L31</f>
        <v>17.5052125729604</v>
      </c>
      <c r="N31" s="56" t="n">
        <f aca="false">I31+J31+Q31*issue_price*dev_bonds+SUMPRODUCT((Events!$B$6:$B$174&lt;=$A31)*(Events!$C$6:$C$174&gt;=$A31)*(Events!$E$6:$E$174="Investment")*Events!$H$6:$H$174)</f>
        <v>0</v>
      </c>
      <c r="O31" s="56" t="n">
        <f aca="false">O30*(1-dev_dep)+N31</f>
        <v>0</v>
      </c>
      <c r="P31" s="56" t="n">
        <f aca="false">SUMPRODUCT((Events!$B$6:$B$174&lt;=$A31)*(Events!$C$6:$C$174&gt;=$A31)*(Events!$E$6:$E$174="Debt assumed")*Events!$H$6:$H$174)</f>
        <v>0</v>
      </c>
      <c r="Q31" s="56" t="n">
        <f aca="false">IF($A31&lt;1887,0,MAX(0,debt_floor*Economy!O31-(R30+P31+H31-C31-K31)))</f>
        <v>0</v>
      </c>
      <c r="R31" s="56" t="n">
        <f aca="false">R30+P31+H31-C31-K31+Q31</f>
        <v>160.9822890186</v>
      </c>
      <c r="S31" s="56" t="n">
        <f aca="false">S30+L31-F31-J31+Q31*issue_price*(1-dev_bonds)</f>
        <v>0</v>
      </c>
      <c r="T31" s="72" t="n">
        <f aca="false">Loans!X31</f>
        <v>25.7934656</v>
      </c>
      <c r="U31" s="56" t="n">
        <f aca="false">R31-M31-S31-T31</f>
        <v>117.683610845639</v>
      </c>
      <c r="V31" s="66" t="n">
        <f aca="false">R31/Economy!O31</f>
        <v>0.291110589375906</v>
      </c>
      <c r="W31" s="66" t="n">
        <f aca="false">Budget!X31/Budget!M31</f>
        <v>0.124389216125491</v>
      </c>
      <c r="X31" s="66" t="n">
        <f aca="false">S31/Economy!O31</f>
        <v>0</v>
      </c>
      <c r="Y31" s="56" t="n">
        <f aca="false">MAX(0,H31+Q31-'Gold &amp; money'!G31)</f>
        <v>20.362158760977</v>
      </c>
    </row>
    <row r="32" customFormat="false" ht="14.25" hidden="false" customHeight="false" outlineLevel="0" collapsed="false">
      <c r="A32" s="61" t="n">
        <v>1872</v>
      </c>
      <c r="B32" s="56" t="n">
        <f aca="false">Loans!V32-Loans!W32</f>
        <v>15.468261376</v>
      </c>
      <c r="C32" s="56" t="n">
        <f aca="false">R31*debt_amort</f>
        <v>3.21964578037199</v>
      </c>
      <c r="D32" s="56" t="n">
        <f aca="false">M31+Budget!Z32-B32-C32</f>
        <v>4.03293640848807</v>
      </c>
      <c r="E32" s="56" t="n">
        <f aca="false">MAX(0.1,Budget!M32*cash_target)</f>
        <v>18.8854209281337</v>
      </c>
      <c r="F32" s="56" t="n">
        <f aca="false">IF(D32&lt;E32,MIN(E32-D32,S31),0)</f>
        <v>0</v>
      </c>
      <c r="G32" s="56" t="n">
        <f aca="false">MAX(0,E32-D32-F32)</f>
        <v>14.8524845196456</v>
      </c>
      <c r="H32" s="56" t="n">
        <f aca="false">G32/issue_price</f>
        <v>15.3118397109749</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0</v>
      </c>
      <c r="M32" s="56" t="n">
        <f aca="false">D32+F32+G32-I32-K32-L32</f>
        <v>18.8854209281337</v>
      </c>
      <c r="N32" s="56" t="n">
        <f aca="false">I32+J32+Q32*issue_price*dev_bonds+SUMPRODUCT((Events!$B$6:$B$174&lt;=$A32)*(Events!$C$6:$C$174&gt;=$A32)*(Events!$E$6:$E$174="Investment")*Events!$H$6:$H$174)</f>
        <v>0</v>
      </c>
      <c r="O32" s="56" t="n">
        <f aca="false">O31*(1-dev_dep)+N32</f>
        <v>0</v>
      </c>
      <c r="P32" s="56" t="n">
        <f aca="false">SUMPRODUCT((Events!$B$6:$B$174&lt;=$A32)*(Events!$C$6:$C$174&gt;=$A32)*(Events!$E$6:$E$174="Debt assumed")*Events!$H$6:$H$174)</f>
        <v>0</v>
      </c>
      <c r="Q32" s="56" t="n">
        <f aca="false">IF($A32&lt;1887,0,MAX(0,debt_floor*Economy!O32-(R31+P32+H32-C32-K32)))</f>
        <v>0</v>
      </c>
      <c r="R32" s="56" t="n">
        <f aca="false">R31+P32+H32-C32-K32+Q32</f>
        <v>173.074482949202</v>
      </c>
      <c r="S32" s="56" t="n">
        <f aca="false">S31+L32-F32-J32+Q32*issue_price*(1-dev_bonds)</f>
        <v>0</v>
      </c>
      <c r="T32" s="72" t="n">
        <f aca="false">Loans!X32</f>
        <v>41.261726976</v>
      </c>
      <c r="U32" s="56" t="n">
        <f aca="false">R32-M32-S32-T32</f>
        <v>112.927335045069</v>
      </c>
      <c r="V32" s="66" t="n">
        <f aca="false">R32/Economy!O32</f>
        <v>0.292060292420566</v>
      </c>
      <c r="W32" s="66" t="n">
        <f aca="false">Budget!X32/Budget!M32</f>
        <v>0.127862351835735</v>
      </c>
      <c r="X32" s="66" t="n">
        <f aca="false">S32/Economy!O32</f>
        <v>0</v>
      </c>
      <c r="Y32" s="56" t="n">
        <f aca="false">MAX(0,H32+Q32-'Gold &amp; money'!G32)</f>
        <v>15.3118397109749</v>
      </c>
    </row>
    <row r="33" customFormat="false" ht="14.25" hidden="false" customHeight="false" outlineLevel="0" collapsed="false">
      <c r="A33" s="61" t="n">
        <v>1873</v>
      </c>
      <c r="B33" s="56" t="n">
        <f aca="false">Loans!V33-Loans!W33</f>
        <v>-1.65046907904</v>
      </c>
      <c r="C33" s="56" t="n">
        <f aca="false">R32*debt_amort</f>
        <v>3.46148965898405</v>
      </c>
      <c r="D33" s="56" t="n">
        <f aca="false">M32+Budget!Z33-B33-C33</f>
        <v>24.3824847831997</v>
      </c>
      <c r="E33" s="56" t="n">
        <f aca="false">MAX(0.1,Budget!M33*cash_target)</f>
        <v>18.9114584144383</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4.37682109500913</v>
      </c>
      <c r="L33" s="56" t="n">
        <f aca="false">IF(D33&gt;E33,D33-E33-I33-K33,0)</f>
        <v>1.09420527375228</v>
      </c>
      <c r="M33" s="56" t="n">
        <f aca="false">D33+F33+G33-I33-K33-L33</f>
        <v>18.9114584144383</v>
      </c>
      <c r="N33" s="56" t="n">
        <f aca="false">I33+J33+Q33*issue_price*dev_bonds+SUMPRODUCT((Events!$B$6:$B$174&lt;=$A33)*(Events!$C$6:$C$174&gt;=$A33)*(Events!$E$6:$E$174="Investment")*Events!$H$6:$H$174)</f>
        <v>0</v>
      </c>
      <c r="O33" s="56" t="n">
        <f aca="false">O32*(1-dev_dep)+N33</f>
        <v>0</v>
      </c>
      <c r="P33" s="56" t="n">
        <f aca="false">SUMPRODUCT((Events!$B$6:$B$174&lt;=$A33)*(Events!$C$6:$C$174&gt;=$A33)*(Events!$E$6:$E$174="Debt assumed")*Events!$H$6:$H$174)</f>
        <v>0</v>
      </c>
      <c r="Q33" s="56" t="n">
        <f aca="false">IF($A33&lt;1887,0,MAX(0,debt_floor*Economy!O33-(R32+P33+H33-C33-K33)))</f>
        <v>0</v>
      </c>
      <c r="R33" s="56" t="n">
        <f aca="false">R32+P33+H33-C33-K33+Q33</f>
        <v>165.236172195209</v>
      </c>
      <c r="S33" s="56" t="n">
        <f aca="false">S32+L33-F33-J33+Q33*issue_price*(1-dev_bonds)</f>
        <v>1.09420527375228</v>
      </c>
      <c r="T33" s="72" t="n">
        <f aca="false">Loans!X33</f>
        <v>39.61125789696</v>
      </c>
      <c r="U33" s="56" t="n">
        <f aca="false">R33-M33-S33-T33</f>
        <v>105.619250610059</v>
      </c>
      <c r="V33" s="66" t="n">
        <f aca="false">R33/Economy!O33</f>
        <v>0.262874396749088</v>
      </c>
      <c r="W33" s="66" t="n">
        <f aca="false">Budget!X33/Budget!M33</f>
        <v>0.135675903650191</v>
      </c>
      <c r="X33" s="66" t="n">
        <f aca="false">S33/Economy!O33</f>
        <v>0.0017407722984377</v>
      </c>
      <c r="Y33" s="56" t="n">
        <f aca="false">MAX(0,H33+Q33-'Gold &amp; money'!G33)</f>
        <v>0</v>
      </c>
    </row>
    <row r="34" customFormat="false" ht="14.25" hidden="false" customHeight="false" outlineLevel="0" collapsed="false">
      <c r="A34" s="61" t="n">
        <v>1874</v>
      </c>
      <c r="B34" s="56" t="n">
        <f aca="false">Loans!V34-Loans!W34</f>
        <v>1.4155496841216</v>
      </c>
      <c r="C34" s="56" t="n">
        <f aca="false">R33*debt_amort</f>
        <v>3.30472344390418</v>
      </c>
      <c r="D34" s="56" t="n">
        <f aca="false">M33+Budget!Z34-B34-C34</f>
        <v>23.0331092598776</v>
      </c>
      <c r="E34" s="56" t="n">
        <f aca="false">MAX(0.1,Budget!M34*cash_target)</f>
        <v>20.1100628801566</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2.33843710377677</v>
      </c>
      <c r="L34" s="56" t="n">
        <f aca="false">IF(D34&gt;E34,D34-E34-I34-K34,0)</f>
        <v>0.584609275944191</v>
      </c>
      <c r="M34" s="56" t="n">
        <f aca="false">D34+F34+G34-I34-K34-L34</f>
        <v>20.1100628801566</v>
      </c>
      <c r="N34" s="56" t="n">
        <f aca="false">I34+J34+Q34*issue_price*dev_bonds+SUMPRODUCT((Events!$B$6:$B$174&lt;=$A34)*(Events!$C$6:$C$174&gt;=$A34)*(Events!$E$6:$E$174="Investment")*Events!$H$6:$H$174)</f>
        <v>0</v>
      </c>
      <c r="O34" s="56" t="n">
        <f aca="false">O33*(1-dev_dep)+N34</f>
        <v>0</v>
      </c>
      <c r="P34" s="56" t="n">
        <f aca="false">SUMPRODUCT((Events!$B$6:$B$174&lt;=$A34)*(Events!$C$6:$C$174&gt;=$A34)*(Events!$E$6:$E$174="Debt assumed")*Events!$H$6:$H$174)</f>
        <v>0</v>
      </c>
      <c r="Q34" s="56" t="n">
        <f aca="false">IF($A34&lt;1887,0,MAX(0,debt_floor*Economy!O34-(R33+P34+H34-C34-K34)))</f>
        <v>0</v>
      </c>
      <c r="R34" s="56" t="n">
        <f aca="false">R33+P34+H34-C34-K34+Q34</f>
        <v>159.593011647528</v>
      </c>
      <c r="S34" s="56" t="n">
        <f aca="false">S33+L34-F34-J34+Q34*issue_price*(1-dev_bonds)</f>
        <v>1.67881454969648</v>
      </c>
      <c r="T34" s="72" t="n">
        <f aca="false">Loans!X34</f>
        <v>41.0268075810816</v>
      </c>
      <c r="U34" s="56" t="n">
        <f aca="false">R34-M34-S34-T34</f>
        <v>96.7773266365935</v>
      </c>
      <c r="V34" s="66" t="n">
        <f aca="false">R34/Economy!O34</f>
        <v>0.238069815398265</v>
      </c>
      <c r="W34" s="66" t="n">
        <f aca="false">Budget!X34/Budget!M34</f>
        <v>0.120578480605219</v>
      </c>
      <c r="X34" s="66" t="n">
        <f aca="false">S34/Economy!O34</f>
        <v>0.00250433941817496</v>
      </c>
      <c r="Y34" s="56" t="n">
        <f aca="false">MAX(0,H34+Q34-'Gold &amp; money'!G34)</f>
        <v>0</v>
      </c>
    </row>
    <row r="35" customFormat="false" ht="14.25" hidden="false" customHeight="false" outlineLevel="0" collapsed="false">
      <c r="A35" s="61" t="n">
        <v>1875</v>
      </c>
      <c r="B35" s="56" t="n">
        <f aca="false">Loans!V35-Loans!W35</f>
        <v>1.38892769675674</v>
      </c>
      <c r="C35" s="56" t="n">
        <f aca="false">R34*debt_amort</f>
        <v>3.19186023295056</v>
      </c>
      <c r="D35" s="56" t="n">
        <f aca="false">M34+Budget!Z35-B35-C35</f>
        <v>28.0860167865067</v>
      </c>
      <c r="E35" s="56" t="n">
        <f aca="false">MAX(0.1,Budget!M35*cash_target)</f>
        <v>21.7538120904599</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5.06576375683741</v>
      </c>
      <c r="L35" s="56" t="n">
        <f aca="false">IF(D35&gt;E35,D35-E35-I35-K35,0)</f>
        <v>1.26644093920935</v>
      </c>
      <c r="M35" s="56" t="n">
        <f aca="false">D35+F35+G35-I35-K35-L35</f>
        <v>21.7538120904599</v>
      </c>
      <c r="N35" s="56" t="n">
        <f aca="false">I35+J35+Q35*issue_price*dev_bonds+SUMPRODUCT((Events!$B$6:$B$174&lt;=$A35)*(Events!$C$6:$C$174&gt;=$A35)*(Events!$E$6:$E$174="Investment")*Events!$H$6:$H$174)</f>
        <v>1.2</v>
      </c>
      <c r="O35" s="56" t="n">
        <f aca="false">O34*(1-dev_dep)+N35</f>
        <v>1.2</v>
      </c>
      <c r="P35" s="56" t="n">
        <f aca="false">SUMPRODUCT((Events!$B$6:$B$174&lt;=$A35)*(Events!$C$6:$C$174&gt;=$A35)*(Events!$E$6:$E$174="Debt assumed")*Events!$H$6:$H$174)</f>
        <v>0</v>
      </c>
      <c r="Q35" s="56" t="n">
        <f aca="false">IF($A35&lt;1887,0,MAX(0,debt_floor*Economy!O35-(R34+P35+H35-C35-K35)))</f>
        <v>0</v>
      </c>
      <c r="R35" s="56" t="n">
        <f aca="false">R34+P35+H35-C35-K35+Q35</f>
        <v>151.33538765774</v>
      </c>
      <c r="S35" s="56" t="n">
        <f aca="false">S34+L35-F35-J35+Q35*issue_price*(1-dev_bonds)</f>
        <v>2.94525548890583</v>
      </c>
      <c r="T35" s="72" t="n">
        <f aca="false">Loans!X35</f>
        <v>42.4157352778383</v>
      </c>
      <c r="U35" s="56" t="n">
        <f aca="false">R35-M35-S35-T35</f>
        <v>84.2205848005362</v>
      </c>
      <c r="V35" s="66" t="n">
        <f aca="false">R35/Economy!O35</f>
        <v>0.208388762189126</v>
      </c>
      <c r="W35" s="66" t="n">
        <f aca="false">Budget!X35/Budget!M35</f>
        <v>0.106376696611441</v>
      </c>
      <c r="X35" s="66" t="n">
        <f aca="false">S35/Economy!O35</f>
        <v>0.00405561551176575</v>
      </c>
      <c r="Y35" s="56" t="n">
        <f aca="false">MAX(0,H35+Q35-'Gold &amp; money'!G35)</f>
        <v>0</v>
      </c>
    </row>
    <row r="36" customFormat="false" ht="14.25" hidden="false" customHeight="false" outlineLevel="0" collapsed="false">
      <c r="A36" s="61" t="n">
        <v>1876</v>
      </c>
      <c r="B36" s="56" t="n">
        <f aca="false">Loans!V36-Loans!W36</f>
        <v>-7.37052941111353</v>
      </c>
      <c r="C36" s="56" t="n">
        <f aca="false">R35*debt_amort</f>
        <v>3.02670775315481</v>
      </c>
      <c r="D36" s="56" t="n">
        <f aca="false">M35+Budget!Z36-B36-C36</f>
        <v>40.4706946745016</v>
      </c>
      <c r="E36" s="56" t="n">
        <f aca="false">MAX(0.1,Budget!M36*cash_target)</f>
        <v>23.6719692216094</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13.4389803623138</v>
      </c>
      <c r="L36" s="56" t="n">
        <f aca="false">IF(D36&gt;E36,D36-E36-I36-K36,0)</f>
        <v>3.35974509057844</v>
      </c>
      <c r="M36" s="56" t="n">
        <f aca="false">D36+F36+G36-I36-K36-L36</f>
        <v>23.6719692216094</v>
      </c>
      <c r="N36" s="56" t="n">
        <f aca="false">I36+J36+Q36*issue_price*dev_bonds+SUMPRODUCT((Events!$B$6:$B$174&lt;=$A36)*(Events!$C$6:$C$174&gt;=$A36)*(Events!$E$6:$E$174="Investment")*Events!$H$6:$H$174)</f>
        <v>2.2</v>
      </c>
      <c r="O36" s="56" t="n">
        <f aca="false">O35*(1-dev_dep)+N36</f>
        <v>3.364</v>
      </c>
      <c r="P36" s="56" t="n">
        <f aca="false">SUMPRODUCT((Events!$B$6:$B$174&lt;=$A36)*(Events!$C$6:$C$174&gt;=$A36)*(Events!$E$6:$E$174="Debt assumed")*Events!$H$6:$H$174)</f>
        <v>0</v>
      </c>
      <c r="Q36" s="56" t="n">
        <f aca="false">IF($A36&lt;1887,0,MAX(0,debt_floor*Economy!O36-(R35+P36+H36-C36-K36)))</f>
        <v>0</v>
      </c>
      <c r="R36" s="56" t="n">
        <f aca="false">R35+P36+H36-C36-K36+Q36</f>
        <v>134.869699542272</v>
      </c>
      <c r="S36" s="56" t="n">
        <f aca="false">S35+L36-F36-J36+Q36*issue_price*(1-dev_bonds)</f>
        <v>6.30500057948427</v>
      </c>
      <c r="T36" s="72" t="n">
        <f aca="false">Loans!X36</f>
        <v>35.0452058667248</v>
      </c>
      <c r="U36" s="56" t="n">
        <f aca="false">R36-M36-S36-T36</f>
        <v>69.8475238744532</v>
      </c>
      <c r="V36" s="66" t="n">
        <f aca="false">R36/Economy!O36</f>
        <v>0.170350231884759</v>
      </c>
      <c r="W36" s="66" t="n">
        <f aca="false">Budget!X36/Budget!M36</f>
        <v>0.0917398460837019</v>
      </c>
      <c r="X36" s="66" t="n">
        <f aca="false">S36/Economy!O36</f>
        <v>0.00796367393412966</v>
      </c>
      <c r="Y36" s="56" t="n">
        <f aca="false">MAX(0,H36+Q36-'Gold &amp; money'!G36)</f>
        <v>0</v>
      </c>
    </row>
    <row r="37" customFormat="false" ht="14.25" hidden="false" customHeight="false" outlineLevel="0" collapsed="false">
      <c r="A37" s="61" t="n">
        <v>1877</v>
      </c>
      <c r="B37" s="56" t="n">
        <f aca="false">Loans!V37-Loans!W37</f>
        <v>-1.40181123466899</v>
      </c>
      <c r="C37" s="56" t="n">
        <f aca="false">R36*debt_amort</f>
        <v>2.69739399084543</v>
      </c>
      <c r="D37" s="56" t="n">
        <f aca="false">M36+Budget!Z37-B37-C37</f>
        <v>37.07954743545</v>
      </c>
      <c r="E37" s="56" t="n">
        <f aca="false">MAX(0.1,Budget!M37*cash_target)</f>
        <v>24.6800753111028</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9.91957769947776</v>
      </c>
      <c r="L37" s="56" t="n">
        <f aca="false">IF(D37&gt;E37,D37-E37-I37-K37,0)</f>
        <v>2.47989442486944</v>
      </c>
      <c r="M37" s="56" t="n">
        <f aca="false">D37+F37+G37-I37-K37-L37</f>
        <v>24.6800753111028</v>
      </c>
      <c r="N37" s="56" t="n">
        <f aca="false">I37+J37+Q37*issue_price*dev_bonds+SUMPRODUCT((Events!$B$6:$B$174&lt;=$A37)*(Events!$C$6:$C$174&gt;=$A37)*(Events!$E$6:$E$174="Investment")*Events!$H$6:$H$174)</f>
        <v>2.2</v>
      </c>
      <c r="O37" s="56" t="n">
        <f aca="false">O36*(1-dev_dep)+N37</f>
        <v>5.46308</v>
      </c>
      <c r="P37" s="56" t="n">
        <f aca="false">SUMPRODUCT((Events!$B$6:$B$174&lt;=$A37)*(Events!$C$6:$C$174&gt;=$A37)*(Events!$E$6:$E$174="Debt assumed")*Events!$H$6:$H$174)</f>
        <v>0</v>
      </c>
      <c r="Q37" s="56" t="n">
        <f aca="false">IF($A37&lt;1887,0,MAX(0,debt_floor*Economy!O37-(R36+P37+H37-C37-K37)))</f>
        <v>0</v>
      </c>
      <c r="R37" s="56" t="n">
        <f aca="false">R36+P37+H37-C37-K37+Q37</f>
        <v>122.252727851949</v>
      </c>
      <c r="S37" s="56" t="n">
        <f aca="false">S36+L37-F37-J37+Q37*issue_price*(1-dev_bonds)</f>
        <v>8.78489500435371</v>
      </c>
      <c r="T37" s="72" t="n">
        <f aca="false">Loans!X37</f>
        <v>33.6433946320558</v>
      </c>
      <c r="U37" s="56" t="n">
        <f aca="false">R37-M37-S37-T37</f>
        <v>55.1443629044362</v>
      </c>
      <c r="V37" s="66" t="n">
        <f aca="false">R37/Economy!O37</f>
        <v>0.147461483191939</v>
      </c>
      <c r="W37" s="66" t="n">
        <f aca="false">Budget!X37/Budget!M37</f>
        <v>0.0774624050742523</v>
      </c>
      <c r="X37" s="66" t="n">
        <f aca="false">S37/Economy!O37</f>
        <v>0.0105963578055801</v>
      </c>
      <c r="Y37" s="56" t="n">
        <f aca="false">MAX(0,H37+Q37-'Gold &amp; money'!G37)</f>
        <v>0</v>
      </c>
    </row>
    <row r="38" customFormat="false" ht="14.25" hidden="false" customHeight="false" outlineLevel="0" collapsed="false">
      <c r="A38" s="61" t="n">
        <v>1878</v>
      </c>
      <c r="B38" s="56" t="n">
        <f aca="false">Loans!V38-Loans!W38</f>
        <v>-1.34573869528223</v>
      </c>
      <c r="C38" s="56" t="n">
        <f aca="false">R37*debt_amort</f>
        <v>2.44505455703897</v>
      </c>
      <c r="D38" s="56" t="n">
        <f aca="false">M37+Budget!Z38-B38-C38</f>
        <v>35.7017763650743</v>
      </c>
      <c r="E38" s="56" t="n">
        <f aca="false">MAX(0.1,Budget!M38*cash_target)</f>
        <v>26.8445647786382</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7.08576926914889</v>
      </c>
      <c r="L38" s="56" t="n">
        <f aca="false">IF(D38&gt;E38,D38-E38-I38-K38,0)</f>
        <v>1.77144231728722</v>
      </c>
      <c r="M38" s="56" t="n">
        <f aca="false">D38+F38+G38-I38-K38-L38</f>
        <v>26.8445647786382</v>
      </c>
      <c r="N38" s="56" t="n">
        <f aca="false">I38+J38+Q38*issue_price*dev_bonds+SUMPRODUCT((Events!$B$6:$B$174&lt;=$A38)*(Events!$C$6:$C$174&gt;=$A38)*(Events!$E$6:$E$174="Investment")*Events!$H$6:$H$174)</f>
        <v>4.7</v>
      </c>
      <c r="O38" s="56" t="n">
        <f aca="false">O37*(1-dev_dep)+N38</f>
        <v>9.9991876</v>
      </c>
      <c r="P38" s="56" t="n">
        <f aca="false">SUMPRODUCT((Events!$B$6:$B$174&lt;=$A38)*(Events!$C$6:$C$174&gt;=$A38)*(Events!$E$6:$E$174="Debt assumed")*Events!$H$6:$H$174)</f>
        <v>0</v>
      </c>
      <c r="Q38" s="56" t="n">
        <f aca="false">IF($A38&lt;1887,0,MAX(0,debt_floor*Economy!O38-(R37+P38+H38-C38-K38)))</f>
        <v>0</v>
      </c>
      <c r="R38" s="56" t="n">
        <f aca="false">R37+P38+H38-C38-K38+Q38</f>
        <v>112.721904025761</v>
      </c>
      <c r="S38" s="56" t="n">
        <f aca="false">S37+L38-F38-J38+Q38*issue_price*(1-dev_bonds)</f>
        <v>10.5563373216409</v>
      </c>
      <c r="T38" s="72" t="n">
        <f aca="false">Loans!X38</f>
        <v>32.2976559367736</v>
      </c>
      <c r="U38" s="56" t="n">
        <f aca="false">R38-M38-S38-T38</f>
        <v>43.0233459887079</v>
      </c>
      <c r="V38" s="66" t="n">
        <f aca="false">R38/Economy!O38</f>
        <v>0.127612160038516</v>
      </c>
      <c r="W38" s="66" t="n">
        <f aca="false">Budget!X38/Budget!M38</f>
        <v>0.0638711978481388</v>
      </c>
      <c r="X38" s="66" t="n">
        <f aca="false">S38/Economy!O38</f>
        <v>0.0119508006837956</v>
      </c>
      <c r="Y38" s="56" t="n">
        <f aca="false">MAX(0,H38+Q38-'Gold &amp; money'!G38)</f>
        <v>0</v>
      </c>
    </row>
    <row r="39" customFormat="false" ht="14.25" hidden="false" customHeight="false" outlineLevel="0" collapsed="false">
      <c r="A39" s="61" t="n">
        <v>1879</v>
      </c>
      <c r="B39" s="56" t="n">
        <f aca="false">Loans!V39-Loans!W39</f>
        <v>-1.29190906017094</v>
      </c>
      <c r="C39" s="56" t="n">
        <f aca="false">R38*debt_amort</f>
        <v>2.25443808051521</v>
      </c>
      <c r="D39" s="56" t="n">
        <f aca="false">M38+Budget!Z39-B39-C39</f>
        <v>49.6464513833776</v>
      </c>
      <c r="E39" s="56" t="n">
        <f aca="false">MAX(0.1,Budget!M39*cash_target)</f>
        <v>28.1530902522585</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17.1946889048953</v>
      </c>
      <c r="L39" s="56" t="n">
        <f aca="false">IF(D39&gt;E39,D39-E39-I39-K39,0)</f>
        <v>4.29867222622383</v>
      </c>
      <c r="M39" s="56" t="n">
        <f aca="false">D39+F39+G39-I39-K39-L39</f>
        <v>28.1530902522585</v>
      </c>
      <c r="N39" s="56" t="n">
        <f aca="false">I39+J39+Q39*issue_price*dev_bonds+SUMPRODUCT((Events!$B$6:$B$174&lt;=$A39)*(Events!$C$6:$C$174&gt;=$A39)*(Events!$E$6:$E$174="Investment")*Events!$H$6:$H$174)</f>
        <v>4.7</v>
      </c>
      <c r="O39" s="56" t="n">
        <f aca="false">O38*(1-dev_dep)+N39</f>
        <v>14.399211972</v>
      </c>
      <c r="P39" s="56" t="n">
        <f aca="false">SUMPRODUCT((Events!$B$6:$B$174&lt;=$A39)*(Events!$C$6:$C$174&gt;=$A39)*(Events!$E$6:$E$174="Debt assumed")*Events!$H$6:$H$174)</f>
        <v>0</v>
      </c>
      <c r="Q39" s="56" t="n">
        <f aca="false">IF($A39&lt;1887,0,MAX(0,debt_floor*Economy!O39-(R38+P39+H39-C39-K39)))</f>
        <v>0</v>
      </c>
      <c r="R39" s="56" t="n">
        <f aca="false">R38+P39+H39-C39-K39+Q39</f>
        <v>93.2727770403501</v>
      </c>
      <c r="S39" s="56" t="n">
        <f aca="false">S38+L39-F39-J39+Q39*issue_price*(1-dev_bonds)</f>
        <v>14.8550095478648</v>
      </c>
      <c r="T39" s="72" t="n">
        <f aca="false">Loans!X39</f>
        <v>31.0057468766026</v>
      </c>
      <c r="U39" s="56" t="n">
        <f aca="false">R39-M39-S39-T39</f>
        <v>19.2589303636242</v>
      </c>
      <c r="V39" s="66" t="n">
        <f aca="false">R39/Economy!O39</f>
        <v>0.100704504044597</v>
      </c>
      <c r="W39" s="66" t="n">
        <f aca="false">Budget!X39/Budget!M39</f>
        <v>0.055453890026568</v>
      </c>
      <c r="X39" s="66" t="n">
        <f aca="false">S39/Economy!O39</f>
        <v>0.0160386172317814</v>
      </c>
      <c r="Y39" s="56" t="n">
        <f aca="false">MAX(0,H39+Q39-'Gold &amp; money'!G39)</f>
        <v>0</v>
      </c>
    </row>
    <row r="40" customFormat="false" ht="14.25" hidden="false" customHeight="false" outlineLevel="0" collapsed="false">
      <c r="A40" s="61" t="n">
        <v>1880</v>
      </c>
      <c r="B40" s="56" t="n">
        <f aca="false">Loans!V40-Loans!W40</f>
        <v>-1.24023261308311</v>
      </c>
      <c r="C40" s="56" t="n">
        <f aca="false">R39*debt_amort</f>
        <v>1.865455540807</v>
      </c>
      <c r="D40" s="56" t="n">
        <f aca="false">M39+Budget!Z40-B40-C40</f>
        <v>46.8493308673277</v>
      </c>
      <c r="E40" s="56" t="n">
        <f aca="false">MAX(0.1,Budget!M40*cash_target)</f>
        <v>29.9552151024715</v>
      </c>
      <c r="F40" s="56" t="n">
        <f aca="false">IF(D40&lt;E40,MIN(E40-D40,S39),0)</f>
        <v>0</v>
      </c>
      <c r="G40" s="56" t="n">
        <f aca="false">MAX(0,E40-D40-F40)</f>
        <v>0</v>
      </c>
      <c r="H40" s="56" t="n">
        <f aca="false">G40/issue_price</f>
        <v>0</v>
      </c>
      <c r="I40" s="56" t="n">
        <f aca="false">IF(AND(D40&gt;E40,$A40&gt;=dev_start),(D40-E40)*dev_share,0)</f>
        <v>11.8258810353994</v>
      </c>
      <c r="J40" s="56" t="n">
        <f aca="false">IF($A40&gt;=dev_start,MAX(0,S39-F40-reserve_buffer*Economy!O40),0)</f>
        <v>0</v>
      </c>
      <c r="K40" s="56" t="n">
        <f aca="false">IF(D40&gt;E40,MIN((D40-E40-I40)*repay_share,R39-C40),0)</f>
        <v>4.0545877835655</v>
      </c>
      <c r="L40" s="56" t="n">
        <f aca="false">IF(D40&gt;E40,D40-E40-I40-K40,0)</f>
        <v>1.01364694589137</v>
      </c>
      <c r="M40" s="56" t="n">
        <f aca="false">D40+F40+G40-I40-K40-L40</f>
        <v>29.9552151024715</v>
      </c>
      <c r="N40" s="56" t="n">
        <f aca="false">I40+J40+Q40*issue_price*dev_bonds+SUMPRODUCT((Events!$B$6:$B$174&lt;=$A40)*(Events!$C$6:$C$174&gt;=$A40)*(Events!$E$6:$E$174="Investment")*Events!$H$6:$H$174)</f>
        <v>14.3258810353994</v>
      </c>
      <c r="O40" s="56" t="n">
        <f aca="false">O39*(1-dev_dep)+N40</f>
        <v>28.2931166482394</v>
      </c>
      <c r="P40" s="56" t="n">
        <f aca="false">SUMPRODUCT((Events!$B$6:$B$174&lt;=$A40)*(Events!$C$6:$C$174&gt;=$A40)*(Events!$E$6:$E$174="Debt assumed")*Events!$H$6:$H$174)</f>
        <v>0</v>
      </c>
      <c r="Q40" s="56" t="n">
        <f aca="false">IF($A40&lt;1887,0,MAX(0,debt_floor*Economy!O40-(R39+P40+H40-C40-K40)))</f>
        <v>0</v>
      </c>
      <c r="R40" s="56" t="n">
        <f aca="false">R39+P40+H40-C40-K40+Q40</f>
        <v>87.3527337159776</v>
      </c>
      <c r="S40" s="56" t="n">
        <f aca="false">S39+L40-F40-J40+Q40*issue_price*(1-dev_bonds)</f>
        <v>15.8686564937561</v>
      </c>
      <c r="T40" s="72" t="n">
        <f aca="false">Loans!X40</f>
        <v>29.7655142635195</v>
      </c>
      <c r="U40" s="56" t="n">
        <f aca="false">R40-M40-S40-T40</f>
        <v>11.7633478562305</v>
      </c>
      <c r="V40" s="66" t="n">
        <f aca="false">R40/Economy!O40</f>
        <v>0.0892741568496317</v>
      </c>
      <c r="W40" s="66" t="n">
        <f aca="false">Budget!X40/Budget!M40</f>
        <v>0.042658249693135</v>
      </c>
      <c r="X40" s="66" t="n">
        <f aca="false">S40/Economy!O40</f>
        <v>0.0162177057151148</v>
      </c>
      <c r="Y40" s="56" t="n">
        <f aca="false">MAX(0,H40+Q40-'Gold &amp; money'!G40)</f>
        <v>0</v>
      </c>
    </row>
    <row r="41" customFormat="false" ht="14.25" hidden="false" customHeight="false" outlineLevel="0" collapsed="false">
      <c r="A41" s="61" t="n">
        <v>1881</v>
      </c>
      <c r="B41" s="56" t="n">
        <f aca="false">Loans!V41-Loans!W41</f>
        <v>-1.19062322641921</v>
      </c>
      <c r="C41" s="56" t="n">
        <f aca="false">R40*debt_amort</f>
        <v>1.74705467431955</v>
      </c>
      <c r="D41" s="56" t="n">
        <f aca="false">M40+Budget!Z41-B41-C41</f>
        <v>47.4712780381282</v>
      </c>
      <c r="E41" s="56" t="n">
        <f aca="false">MAX(0.1,Budget!M41*cash_target)</f>
        <v>28.0605365055736</v>
      </c>
      <c r="F41" s="56" t="n">
        <f aca="false">IF(D41&lt;E41,MIN(E41-D41,S40),0)</f>
        <v>0</v>
      </c>
      <c r="G41" s="56" t="n">
        <f aca="false">MAX(0,E41-D41-F41)</f>
        <v>0</v>
      </c>
      <c r="H41" s="56" t="n">
        <f aca="false">G41/issue_price</f>
        <v>0</v>
      </c>
      <c r="I41" s="56" t="n">
        <f aca="false">IF(AND(D41&gt;E41,$A41&gt;=dev_start),(D41-E41)*dev_share,0)</f>
        <v>13.5875190727882</v>
      </c>
      <c r="J41" s="56" t="n">
        <f aca="false">IF($A41&gt;=dev_start,MAX(0,S40-F41-reserve_buffer*Economy!O41),0)</f>
        <v>0</v>
      </c>
      <c r="K41" s="56" t="n">
        <f aca="false">IF(D41&gt;E41,MIN((D41-E41-I41)*repay_share,R40-C41),0)</f>
        <v>4.6585779678131</v>
      </c>
      <c r="L41" s="56" t="n">
        <f aca="false">IF(D41&gt;E41,D41-E41-I41-K41,0)</f>
        <v>1.16464449195327</v>
      </c>
      <c r="M41" s="56" t="n">
        <f aca="false">D41+F41+G41-I41-K41-L41</f>
        <v>28.0605365055736</v>
      </c>
      <c r="N41" s="56" t="n">
        <f aca="false">I41+J41+Q41*issue_price*dev_bonds+SUMPRODUCT((Events!$B$6:$B$174&lt;=$A41)*(Events!$C$6:$C$174&gt;=$A41)*(Events!$E$6:$E$174="Investment")*Events!$H$6:$H$174)</f>
        <v>16.0875190727882</v>
      </c>
      <c r="O41" s="56" t="n">
        <f aca="false">O40*(1-dev_dep)+N41</f>
        <v>43.5318422215804</v>
      </c>
      <c r="P41" s="56" t="n">
        <f aca="false">SUMPRODUCT((Events!$B$6:$B$174&lt;=$A41)*(Events!$C$6:$C$174&gt;=$A41)*(Events!$E$6:$E$174="Debt assumed")*Events!$H$6:$H$174)</f>
        <v>0</v>
      </c>
      <c r="Q41" s="56" t="n">
        <f aca="false">IF($A41&lt;1887,0,MAX(0,debt_floor*Economy!O41-(R40+P41+H41-C41-K41)))</f>
        <v>0</v>
      </c>
      <c r="R41" s="56" t="n">
        <f aca="false">R40+P41+H41-C41-K41+Q41</f>
        <v>80.947101073845</v>
      </c>
      <c r="S41" s="56" t="n">
        <f aca="false">S40+L41-F41-J41+Q41*issue_price*(1-dev_bonds)</f>
        <v>17.0333009857094</v>
      </c>
      <c r="T41" s="72" t="n">
        <f aca="false">Loans!X41</f>
        <v>28.5748910371003</v>
      </c>
      <c r="U41" s="56" t="n">
        <f aca="false">R41-M41-S41-T41</f>
        <v>7.27837254546162</v>
      </c>
      <c r="V41" s="66" t="n">
        <f aca="false">R41/Economy!O41</f>
        <v>0.0778523958833608</v>
      </c>
      <c r="W41" s="66" t="n">
        <f aca="false">Budget!X41/Budget!M41</f>
        <v>0.0421034616809243</v>
      </c>
      <c r="X41" s="66" t="n">
        <f aca="false">S41/Economy!O41</f>
        <v>0.016382097369122</v>
      </c>
      <c r="Y41" s="56" t="n">
        <f aca="false">MAX(0,H41+Q41-'Gold &amp; money'!G41)</f>
        <v>0</v>
      </c>
    </row>
    <row r="42" customFormat="false" ht="14.25" hidden="false" customHeight="false" outlineLevel="0" collapsed="false">
      <c r="A42" s="61" t="n">
        <v>1882</v>
      </c>
      <c r="B42" s="56" t="n">
        <f aca="false">Loans!V42-Loans!W42</f>
        <v>-1.14299821768609</v>
      </c>
      <c r="C42" s="56" t="n">
        <f aca="false">R41*debt_amort</f>
        <v>1.6189420214769</v>
      </c>
      <c r="D42" s="56" t="n">
        <f aca="false">M41+Budget!Z42-B42-C42</f>
        <v>49.9649815913504</v>
      </c>
      <c r="E42" s="56" t="n">
        <f aca="false">MAX(0.1,Budget!M42*cash_target)</f>
        <v>29.6511452248974</v>
      </c>
      <c r="F42" s="56" t="n">
        <f aca="false">IF(D42&lt;E42,MIN(E42-D42,S41),0)</f>
        <v>0</v>
      </c>
      <c r="G42" s="56" t="n">
        <f aca="false">MAX(0,E42-D42-F42)</f>
        <v>0</v>
      </c>
      <c r="H42" s="56" t="n">
        <f aca="false">G42/issue_price</f>
        <v>0</v>
      </c>
      <c r="I42" s="56" t="n">
        <f aca="false">IF(AND(D42&gt;E42,$A42&gt;=dev_start),(D42-E42)*dev_share,0)</f>
        <v>14.2196854565171</v>
      </c>
      <c r="J42" s="56" t="n">
        <f aca="false">IF($A42&gt;=dev_start,MAX(0,S41-F42-reserve_buffer*Economy!O42),0)</f>
        <v>0</v>
      </c>
      <c r="K42" s="56" t="n">
        <f aca="false">IF(D42&gt;E42,MIN((D42-E42-I42)*repay_share,R41-C42),0)</f>
        <v>4.87532072794873</v>
      </c>
      <c r="L42" s="56" t="n">
        <f aca="false">IF(D42&gt;E42,D42-E42-I42-K42,0)</f>
        <v>1.21883018198718</v>
      </c>
      <c r="M42" s="56" t="n">
        <f aca="false">D42+F42+G42-I42-K42-L42</f>
        <v>29.6511452248974</v>
      </c>
      <c r="N42" s="56" t="n">
        <f aca="false">I42+J42+Q42*issue_price*dev_bonds+SUMPRODUCT((Events!$B$6:$B$174&lt;=$A42)*(Events!$C$6:$C$174&gt;=$A42)*(Events!$E$6:$E$174="Investment")*Events!$H$6:$H$174)</f>
        <v>16.4196854565171</v>
      </c>
      <c r="O42" s="56" t="n">
        <f aca="false">O41*(1-dev_dep)+N42</f>
        <v>58.6455724114501</v>
      </c>
      <c r="P42" s="56" t="n">
        <f aca="false">SUMPRODUCT((Events!$B$6:$B$174&lt;=$A42)*(Events!$C$6:$C$174&gt;=$A42)*(Events!$E$6:$E$174="Debt assumed")*Events!$H$6:$H$174)</f>
        <v>0</v>
      </c>
      <c r="Q42" s="56" t="n">
        <f aca="false">IF($A42&lt;1887,0,MAX(0,debt_floor*Economy!O42-(R41+P42+H42-C42-K42)))</f>
        <v>0</v>
      </c>
      <c r="R42" s="56" t="n">
        <f aca="false">R41+P42+H42-C42-K42+Q42</f>
        <v>74.4528383244193</v>
      </c>
      <c r="S42" s="56" t="n">
        <f aca="false">S41+L42-F42-J42+Q42*issue_price*(1-dev_bonds)</f>
        <v>18.2521311676966</v>
      </c>
      <c r="T42" s="72" t="n">
        <f aca="false">Loans!X42</f>
        <v>27.4318928194142</v>
      </c>
      <c r="U42" s="56" t="n">
        <f aca="false">R42-M42-S42-T42</f>
        <v>-0.882330887588879</v>
      </c>
      <c r="V42" s="66" t="n">
        <f aca="false">R42/Economy!O42</f>
        <v>0.0676538462977458</v>
      </c>
      <c r="W42" s="66" t="n">
        <f aca="false">Budget!X42/Budget!M42</f>
        <v>0.0365135130077062</v>
      </c>
      <c r="X42" s="66" t="n">
        <f aca="false">S42/Economy!O42</f>
        <v>0.0165853566420803</v>
      </c>
      <c r="Y42" s="56" t="n">
        <f aca="false">MAX(0,H42+Q42-'Gold &amp; money'!G42)</f>
        <v>0</v>
      </c>
    </row>
    <row r="43" customFormat="false" ht="14.25" hidden="false" customHeight="false" outlineLevel="0" collapsed="false">
      <c r="A43" s="61" t="n">
        <v>1883</v>
      </c>
      <c r="B43" s="56" t="n">
        <f aca="false">Loans!V43-Loans!W43</f>
        <v>-1.09727821169258</v>
      </c>
      <c r="C43" s="56" t="n">
        <f aca="false">R42*debt_amort</f>
        <v>1.48905676648839</v>
      </c>
      <c r="D43" s="56" t="n">
        <f aca="false">M42+Budget!Z43-B43-C43</f>
        <v>52.9669623299652</v>
      </c>
      <c r="E43" s="56" t="n">
        <f aca="false">MAX(0.1,Budget!M43*cash_target)</f>
        <v>31.2632577394901</v>
      </c>
      <c r="F43" s="56" t="n">
        <f aca="false">IF(D43&lt;E43,MIN(E43-D43,S42),0)</f>
        <v>0</v>
      </c>
      <c r="G43" s="56" t="n">
        <f aca="false">MAX(0,E43-D43-F43)</f>
        <v>0</v>
      </c>
      <c r="H43" s="56" t="n">
        <f aca="false">G43/issue_price</f>
        <v>0</v>
      </c>
      <c r="I43" s="56" t="n">
        <f aca="false">IF(AND(D43&gt;E43,$A43&gt;=dev_start),(D43-E43)*dev_share,0)</f>
        <v>15.1925932133326</v>
      </c>
      <c r="J43" s="56" t="n">
        <f aca="false">IF($A43&gt;=dev_start,MAX(0,S42-F43-reserve_buffer*Economy!O43),0)</f>
        <v>0</v>
      </c>
      <c r="K43" s="56" t="n">
        <f aca="false">IF(D43&gt;E43,MIN((D43-E43-I43)*repay_share,R42-C43),0)</f>
        <v>5.20888910171403</v>
      </c>
      <c r="L43" s="56" t="n">
        <f aca="false">IF(D43&gt;E43,D43-E43-I43-K43,0)</f>
        <v>1.30222227542851</v>
      </c>
      <c r="M43" s="56" t="n">
        <f aca="false">D43+F43+G43-I43-K43-L43</f>
        <v>31.2632577394901</v>
      </c>
      <c r="N43" s="56" t="n">
        <f aca="false">I43+J43+Q43*issue_price*dev_bonds+SUMPRODUCT((Events!$B$6:$B$174&lt;=$A43)*(Events!$C$6:$C$174&gt;=$A43)*(Events!$E$6:$E$174="Investment")*Events!$H$6:$H$174)</f>
        <v>16.3925932133326</v>
      </c>
      <c r="O43" s="56" t="n">
        <f aca="false">O42*(1-dev_dep)+N43</f>
        <v>73.2787984524392</v>
      </c>
      <c r="P43" s="56" t="n">
        <f aca="false">SUMPRODUCT((Events!$B$6:$B$174&lt;=$A43)*(Events!$C$6:$C$174&gt;=$A43)*(Events!$E$6:$E$174="Debt assumed")*Events!$H$6:$H$174)</f>
        <v>0</v>
      </c>
      <c r="Q43" s="56" t="n">
        <f aca="false">IF($A43&lt;1887,0,MAX(0,debt_floor*Economy!O43-(R42+P43+H43-C43-K43)))</f>
        <v>0</v>
      </c>
      <c r="R43" s="56" t="n">
        <f aca="false">R42+P43+H43-C43-K43+Q43</f>
        <v>67.7548924562169</v>
      </c>
      <c r="S43" s="56" t="n">
        <f aca="false">S42+L43-F43-J43+Q43*issue_price*(1-dev_bonds)</f>
        <v>19.5543534431251</v>
      </c>
      <c r="T43" s="72" t="n">
        <f aca="false">Loans!X43</f>
        <v>26.3346146077217</v>
      </c>
      <c r="U43" s="56" t="n">
        <f aca="false">R43-M43-S43-T43</f>
        <v>-9.39733333411992</v>
      </c>
      <c r="V43" s="66" t="n">
        <f aca="false">R43/Economy!O43</f>
        <v>0.0582410149109905</v>
      </c>
      <c r="W43" s="66" t="n">
        <f aca="false">Budget!X43/Budget!M43</f>
        <v>0.0314355424527925</v>
      </c>
      <c r="X43" s="66" t="n">
        <f aca="false">S43/Economy!O43</f>
        <v>0.0168086074550522</v>
      </c>
      <c r="Y43" s="56" t="n">
        <f aca="false">MAX(0,H43+Q43-'Gold &amp; money'!G43)</f>
        <v>0</v>
      </c>
    </row>
    <row r="44" customFormat="false" ht="14.25" hidden="false" customHeight="false" outlineLevel="0" collapsed="false">
      <c r="A44" s="61" t="n">
        <v>1884</v>
      </c>
      <c r="B44" s="56" t="n">
        <f aca="false">Loans!V44-Loans!W44</f>
        <v>-1.0533870082574</v>
      </c>
      <c r="C44" s="56" t="n">
        <f aca="false">R43*debt_amort</f>
        <v>1.35509784912434</v>
      </c>
      <c r="D44" s="56" t="n">
        <f aca="false">M43+Budget!Z44-B44-C44</f>
        <v>54.3203842717961</v>
      </c>
      <c r="E44" s="56" t="n">
        <f aca="false">MAX(0.1,Budget!M44*cash_target)</f>
        <v>32.3579079826802</v>
      </c>
      <c r="F44" s="56" t="n">
        <f aca="false">IF(D44&lt;E44,MIN(E44-D44,S43),0)</f>
        <v>0</v>
      </c>
      <c r="G44" s="56" t="n">
        <f aca="false">MAX(0,E44-D44-F44)</f>
        <v>0</v>
      </c>
      <c r="H44" s="56" t="n">
        <f aca="false">G44/issue_price</f>
        <v>0</v>
      </c>
      <c r="I44" s="56" t="n">
        <f aca="false">IF(AND(D44&gt;E44,$A44&gt;=dev_start),(D44-E44)*dev_share,0)</f>
        <v>15.3737334023811</v>
      </c>
      <c r="J44" s="56" t="n">
        <f aca="false">IF($A44&gt;=dev_start,MAX(0,S43-F44-reserve_buffer*Economy!O44),0)</f>
        <v>0</v>
      </c>
      <c r="K44" s="56" t="n">
        <f aca="false">IF(D44&gt;E44,MIN((D44-E44-I44)*repay_share,R43-C44),0)</f>
        <v>5.27099430938782</v>
      </c>
      <c r="L44" s="56" t="n">
        <f aca="false">IF(D44&gt;E44,D44-E44-I44-K44,0)</f>
        <v>1.31774857734695</v>
      </c>
      <c r="M44" s="56" t="n">
        <f aca="false">D44+F44+G44-I44-K44-L44</f>
        <v>32.3579079826802</v>
      </c>
      <c r="N44" s="56" t="n">
        <f aca="false">I44+J44+Q44*issue_price*dev_bonds+SUMPRODUCT((Events!$B$6:$B$174&lt;=$A44)*(Events!$C$6:$C$174&gt;=$A44)*(Events!$E$6:$E$174="Investment")*Events!$H$6:$H$174)</f>
        <v>16.5737334023811</v>
      </c>
      <c r="O44" s="56" t="n">
        <f aca="false">O43*(1-dev_dep)+N44</f>
        <v>87.6541679012471</v>
      </c>
      <c r="P44" s="56" t="n">
        <f aca="false">SUMPRODUCT((Events!$B$6:$B$174&lt;=$A44)*(Events!$C$6:$C$174&gt;=$A44)*(Events!$E$6:$E$174="Debt assumed")*Events!$H$6:$H$174)</f>
        <v>0</v>
      </c>
      <c r="Q44" s="56" t="n">
        <f aca="false">IF($A44&lt;1887,0,MAX(0,debt_floor*Economy!O44-(R43+P44+H44-C44-K44)))</f>
        <v>0</v>
      </c>
      <c r="R44" s="56" t="n">
        <f aca="false">R43+P44+H44-C44-K44+Q44</f>
        <v>61.1288002977048</v>
      </c>
      <c r="S44" s="56" t="n">
        <f aca="false">S43+L44-F44-J44+Q44*issue_price*(1-dev_bonds)</f>
        <v>20.8721020204721</v>
      </c>
      <c r="T44" s="72" t="n">
        <f aca="false">Loans!X44</f>
        <v>25.2812275994643</v>
      </c>
      <c r="U44" s="56" t="n">
        <f aca="false">R44-M44-S44-T44</f>
        <v>-17.3824373049118</v>
      </c>
      <c r="V44" s="66" t="n">
        <f aca="false">R44/Economy!O44</f>
        <v>0.0507382274950631</v>
      </c>
      <c r="W44" s="66" t="n">
        <f aca="false">Budget!X44/Budget!M44</f>
        <v>0.027325664781138</v>
      </c>
      <c r="X44" s="66" t="n">
        <f aca="false">S44/Economy!O44</f>
        <v>0.0173242964929354</v>
      </c>
      <c r="Y44" s="56" t="n">
        <f aca="false">MAX(0,H44+Q44-'Gold &amp; money'!G44)</f>
        <v>0</v>
      </c>
    </row>
    <row r="45" customFormat="false" ht="14.25" hidden="false" customHeight="false" outlineLevel="0" collapsed="false">
      <c r="A45" s="61" t="n">
        <v>1885</v>
      </c>
      <c r="B45" s="56" t="n">
        <f aca="false">Loans!V45-Loans!W45</f>
        <v>-0.411251455208648</v>
      </c>
      <c r="C45" s="56" t="n">
        <f aca="false">R44*debt_amort</f>
        <v>1.2225760059541</v>
      </c>
      <c r="D45" s="56" t="n">
        <f aca="false">M44+Budget!Z45-B45-C45</f>
        <v>56.9298831588158</v>
      </c>
      <c r="E45" s="56" t="n">
        <f aca="false">MAX(0.1,Budget!M45*cash_target)</f>
        <v>34.1529200418585</v>
      </c>
      <c r="F45" s="56" t="n">
        <f aca="false">IF(D45&lt;E45,MIN(E45-D45,S44),0)</f>
        <v>0</v>
      </c>
      <c r="G45" s="56" t="n">
        <f aca="false">MAX(0,E45-D45-F45)</f>
        <v>0</v>
      </c>
      <c r="H45" s="56" t="n">
        <f aca="false">G45/issue_price</f>
        <v>0</v>
      </c>
      <c r="I45" s="56" t="n">
        <f aca="false">IF(AND(D45&gt;E45,$A45&gt;=dev_start),(D45-E45)*dev_share,0)</f>
        <v>15.9438741818701</v>
      </c>
      <c r="J45" s="56" t="n">
        <f aca="false">IF($A45&gt;=dev_start,MAX(0,S44-F45-reserve_buffer*Economy!O45),0)</f>
        <v>0</v>
      </c>
      <c r="K45" s="56" t="n">
        <f aca="false">IF(D45&gt;E45,MIN((D45-E45-I45)*repay_share,R44-C45),0)</f>
        <v>5.46647114806976</v>
      </c>
      <c r="L45" s="56" t="n">
        <f aca="false">IF(D45&gt;E45,D45-E45-I45-K45,0)</f>
        <v>1.36661778701744</v>
      </c>
      <c r="M45" s="56" t="n">
        <f aca="false">D45+F45+G45-I45-K45-L45</f>
        <v>34.1529200418585</v>
      </c>
      <c r="N45" s="56" t="n">
        <f aca="false">I45+J45+Q45*issue_price*dev_bonds+SUMPRODUCT((Events!$B$6:$B$174&lt;=$A45)*(Events!$C$6:$C$174&gt;=$A45)*(Events!$E$6:$E$174="Investment")*Events!$H$6:$H$174)</f>
        <v>17.1438741818701</v>
      </c>
      <c r="O45" s="56" t="n">
        <f aca="false">O44*(1-dev_dep)+N45</f>
        <v>102.16841704608</v>
      </c>
      <c r="P45" s="56" t="n">
        <f aca="false">SUMPRODUCT((Events!$B$6:$B$174&lt;=$A45)*(Events!$C$6:$C$174&gt;=$A45)*(Events!$E$6:$E$174="Debt assumed")*Events!$H$6:$H$174)</f>
        <v>0</v>
      </c>
      <c r="Q45" s="56" t="n">
        <f aca="false">IF($A45&lt;1887,0,MAX(0,debt_floor*Economy!O45-(R44+P45+H45-C45-K45)))</f>
        <v>0</v>
      </c>
      <c r="R45" s="56" t="n">
        <f aca="false">R44+P45+H45-C45-K45+Q45</f>
        <v>54.4397531436809</v>
      </c>
      <c r="S45" s="56" t="n">
        <f aca="false">S44+L45-F45-J45+Q45*issue_price*(1-dev_bonds)</f>
        <v>22.2387198074895</v>
      </c>
      <c r="T45" s="72" t="n">
        <f aca="false">Loans!X45</f>
        <v>24.8699761442556</v>
      </c>
      <c r="U45" s="56" t="n">
        <f aca="false">R45-M45-S45-T45</f>
        <v>-26.8218628499227</v>
      </c>
      <c r="V45" s="66" t="n">
        <f aca="false">R45/Economy!O45</f>
        <v>0.0427665487335085</v>
      </c>
      <c r="W45" s="66" t="n">
        <f aca="false">Budget!X45/Budget!M45</f>
        <v>0.0230443927742736</v>
      </c>
      <c r="X45" s="66" t="n">
        <f aca="false">S45/Economy!O45</f>
        <v>0.017470198512982</v>
      </c>
      <c r="Y45" s="56" t="n">
        <f aca="false">MAX(0,H45+Q45-'Gold &amp; money'!G45)</f>
        <v>0</v>
      </c>
    </row>
    <row r="46" customFormat="false" ht="14.25" hidden="false" customHeight="false" outlineLevel="0" collapsed="false">
      <c r="A46" s="61" t="n">
        <v>1886</v>
      </c>
      <c r="B46" s="56" t="n">
        <f aca="false">Loans!V46-Loans!W46</f>
        <v>-0.9948013264634</v>
      </c>
      <c r="C46" s="56" t="n">
        <f aca="false">R45*debt_amort</f>
        <v>1.08879506287362</v>
      </c>
      <c r="D46" s="56" t="n">
        <f aca="false">M45+Budget!Z46-B46-C46</f>
        <v>64.4468670821246</v>
      </c>
      <c r="E46" s="56" t="n">
        <f aca="false">MAX(0.1,Budget!M46*cash_target)</f>
        <v>37.1996385761164</v>
      </c>
      <c r="F46" s="56" t="n">
        <f aca="false">IF(D46&lt;E46,MIN(E46-D46,S45),0)</f>
        <v>0</v>
      </c>
      <c r="G46" s="56" t="n">
        <f aca="false">MAX(0,E46-D46-F46)</f>
        <v>0</v>
      </c>
      <c r="H46" s="56" t="n">
        <f aca="false">G46/issue_price</f>
        <v>0</v>
      </c>
      <c r="I46" s="56" t="n">
        <f aca="false">IF(AND(D46&gt;E46,$A46&gt;=dev_start),(D46-E46)*dev_share,0)</f>
        <v>19.0730599542057</v>
      </c>
      <c r="J46" s="56" t="n">
        <f aca="false">IF($A46&gt;=dev_start,MAX(0,S45-F46-reserve_buffer*Economy!O46),0)</f>
        <v>0</v>
      </c>
      <c r="K46" s="56" t="n">
        <f aca="false">IF(D46&gt;E46,MIN((D46-E46-I46)*repay_share,R45-C46),0)</f>
        <v>6.53933484144197</v>
      </c>
      <c r="L46" s="56" t="n">
        <f aca="false">IF(D46&gt;E46,D46-E46-I46-K46,0)</f>
        <v>1.63483371036049</v>
      </c>
      <c r="M46" s="56" t="n">
        <f aca="false">D46+F46+G46-I46-K46-L46</f>
        <v>37.1996385761164</v>
      </c>
      <c r="N46" s="56" t="n">
        <f aca="false">I46+J46+Q46*issue_price*dev_bonds+SUMPRODUCT((Events!$B$6:$B$174&lt;=$A46)*(Events!$C$6:$C$174&gt;=$A46)*(Events!$E$6:$E$174="Investment")*Events!$H$6:$H$174)</f>
        <v>19.0730599542057</v>
      </c>
      <c r="O46" s="56" t="n">
        <f aca="false">O45*(1-dev_dep)+N46</f>
        <v>118.176424488903</v>
      </c>
      <c r="P46" s="56" t="n">
        <f aca="false">SUMPRODUCT((Events!$B$6:$B$174&lt;=$A46)*(Events!$C$6:$C$174&gt;=$A46)*(Events!$E$6:$E$174="Debt assumed")*Events!$H$6:$H$174)</f>
        <v>0</v>
      </c>
      <c r="Q46" s="56" t="n">
        <f aca="false">IF($A46&lt;1887,0,MAX(0,debt_floor*Economy!O46-(R45+P46+H46-C46-K46)))</f>
        <v>0</v>
      </c>
      <c r="R46" s="56" t="n">
        <f aca="false">R45+P46+H46-C46-K46+Q46</f>
        <v>46.8116232393653</v>
      </c>
      <c r="S46" s="56" t="n">
        <f aca="false">S45+L46-F46-J46+Q46*issue_price*(1-dev_bonds)</f>
        <v>23.87355351785</v>
      </c>
      <c r="T46" s="72" t="n">
        <f aca="false">Loans!X46</f>
        <v>23.8751748177922</v>
      </c>
      <c r="U46" s="56" t="n">
        <f aca="false">R46-M46-S46-T46</f>
        <v>-38.1367436723933</v>
      </c>
      <c r="V46" s="66" t="n">
        <f aca="false">R46/Economy!O46</f>
        <v>0.0337246259915686</v>
      </c>
      <c r="W46" s="66" t="n">
        <f aca="false">Budget!X46/Budget!M46</f>
        <v>0.018622381433515</v>
      </c>
      <c r="X46" s="66" t="n">
        <f aca="false">S46/Economy!O46</f>
        <v>0.0171992895730676</v>
      </c>
      <c r="Y46" s="56" t="n">
        <f aca="false">MAX(0,H46+Q46-'Gold &amp; money'!G46)</f>
        <v>0</v>
      </c>
    </row>
    <row r="47" customFormat="false" ht="14.25" hidden="false" customHeight="false" outlineLevel="0" collapsed="false">
      <c r="A47" s="61" t="n">
        <v>1887</v>
      </c>
      <c r="B47" s="56" t="n">
        <f aca="false">Loans!V47-Loans!W47</f>
        <v>-0.955009204984069</v>
      </c>
      <c r="C47" s="56" t="n">
        <f aca="false">R46*debt_amort</f>
        <v>0.936232464787306</v>
      </c>
      <c r="D47" s="56" t="n">
        <f aca="false">M46+Budget!Z47-B47-C47</f>
        <v>70.0179348039695</v>
      </c>
      <c r="E47" s="56" t="n">
        <f aca="false">MAX(0.1,Budget!M47*cash_target)</f>
        <v>39.7136415234629</v>
      </c>
      <c r="F47" s="56" t="n">
        <f aca="false">IF(D47&lt;E47,MIN(E47-D47,S46),0)</f>
        <v>0</v>
      </c>
      <c r="G47" s="56" t="n">
        <f aca="false">MAX(0,E47-D47-F47)</f>
        <v>0</v>
      </c>
      <c r="H47" s="56" t="n">
        <f aca="false">G47/issue_price</f>
        <v>0</v>
      </c>
      <c r="I47" s="56" t="n">
        <f aca="false">IF(AND(D47&gt;E47,$A47&gt;=dev_start),(D47-E47)*dev_share,0)</f>
        <v>21.2130052963546</v>
      </c>
      <c r="J47" s="56" t="n">
        <f aca="false">IF($A47&gt;=dev_start,MAX(0,S46-F47-reserve_buffer*Economy!O47),0)</f>
        <v>0</v>
      </c>
      <c r="K47" s="56" t="n">
        <f aca="false">IF(D47&gt;E47,MIN((D47-E47-I47)*repay_share,R46-C47),0)</f>
        <v>7.27303038732158</v>
      </c>
      <c r="L47" s="56" t="n">
        <f aca="false">IF(D47&gt;E47,D47-E47-I47-K47,0)</f>
        <v>1.81825759683039</v>
      </c>
      <c r="M47" s="56" t="n">
        <f aca="false">D47+F47+G47-I47-K47-L47</f>
        <v>39.7136415234629</v>
      </c>
      <c r="N47" s="56" t="n">
        <f aca="false">I47+J47+Q47*issue_price*dev_bonds+SUMPRODUCT((Events!$B$6:$B$174&lt;=$A47)*(Events!$C$6:$C$174&gt;=$A47)*(Events!$E$6:$E$174="Investment")*Events!$H$6:$H$174)</f>
        <v>55.856302781506</v>
      </c>
      <c r="O47" s="56" t="n">
        <f aca="false">O46*(1-dev_dep)+N47</f>
        <v>170.487434535742</v>
      </c>
      <c r="P47" s="56" t="n">
        <f aca="false">SUMPRODUCT((Events!$B$6:$B$174&lt;=$A47)*(Events!$C$6:$C$174&gt;=$A47)*(Events!$E$6:$E$174="Debt assumed")*Events!$H$6:$H$174)</f>
        <v>0</v>
      </c>
      <c r="Q47" s="56" t="n">
        <f aca="false">IF($A47&lt;1887,0,MAX(0,debt_floor*Economy!O47-(R46+P47+H47-C47-K47)))</f>
        <v>35.7147396754139</v>
      </c>
      <c r="R47" s="56" t="n">
        <f aca="false">R46+P47+H47-C47-K47+Q47</f>
        <v>74.3171000626703</v>
      </c>
      <c r="S47" s="56" t="n">
        <f aca="false">S46+L47-F47-J47+Q47*issue_price*(1-dev_bonds)</f>
        <v>25.6918111146804</v>
      </c>
      <c r="T47" s="72" t="n">
        <f aca="false">Loans!X47</f>
        <v>22.9201656128081</v>
      </c>
      <c r="U47" s="56" t="n">
        <f aca="false">R47-M47-S47-T47</f>
        <v>-14.0085181882811</v>
      </c>
      <c r="V47" s="66" t="n">
        <f aca="false">R47/Economy!O47</f>
        <v>0.05</v>
      </c>
      <c r="W47" s="66" t="n">
        <f aca="false">Budget!X47/Budget!M47</f>
        <v>0.0147930496705256</v>
      </c>
      <c r="X47" s="66" t="n">
        <f aca="false">S47/Economy!O47</f>
        <v>0.0172852621355078</v>
      </c>
      <c r="Y47" s="56" t="n">
        <f aca="false">MAX(0,H47+Q47-'Gold &amp; money'!G47)</f>
        <v>35.7147396754139</v>
      </c>
    </row>
    <row r="48" customFormat="false" ht="14.25" hidden="false" customHeight="false" outlineLevel="0" collapsed="false">
      <c r="A48" s="61" t="n">
        <v>1888</v>
      </c>
      <c r="B48" s="56" t="n">
        <f aca="false">Loans!V48-Loans!W48</f>
        <v>2.08319122958347</v>
      </c>
      <c r="C48" s="56" t="n">
        <f aca="false">R47*debt_amort</f>
        <v>1.48634200125341</v>
      </c>
      <c r="D48" s="56" t="n">
        <f aca="false">M47+Budget!Z48-B48-C48</f>
        <v>68.7485328545557</v>
      </c>
      <c r="E48" s="56" t="n">
        <f aca="false">MAX(0.1,Budget!M48*cash_target)</f>
        <v>40.9633487930475</v>
      </c>
      <c r="F48" s="56" t="n">
        <f aca="false">IF(D48&lt;E48,MIN(E48-D48,S47),0)</f>
        <v>0</v>
      </c>
      <c r="G48" s="56" t="n">
        <f aca="false">MAX(0,E48-D48-F48)</f>
        <v>0</v>
      </c>
      <c r="H48" s="56" t="n">
        <f aca="false">G48/issue_price</f>
        <v>0</v>
      </c>
      <c r="I48" s="56" t="n">
        <f aca="false">IF(AND(D48&gt;E48,$A48&gt;=dev_start),(D48-E48)*dev_share,0)</f>
        <v>19.4496288430557</v>
      </c>
      <c r="J48" s="56" t="n">
        <f aca="false">IF($A48&gt;=dev_start,MAX(0,S47-F48-reserve_buffer*Economy!O48),0)</f>
        <v>0</v>
      </c>
      <c r="K48" s="56" t="n">
        <f aca="false">IF(D48&gt;E48,MIN((D48-E48-I48)*repay_share,R47-C48),0)</f>
        <v>6.66844417476195</v>
      </c>
      <c r="L48" s="56" t="n">
        <f aca="false">IF(D48&gt;E48,D48-E48-I48-K48,0)</f>
        <v>1.66711104369049</v>
      </c>
      <c r="M48" s="56" t="n">
        <f aca="false">D48+F48+G48-I48-K48-L48</f>
        <v>40.9633487930475</v>
      </c>
      <c r="N48" s="56" t="n">
        <f aca="false">I48+J48+Q48*issue_price*dev_bonds+SUMPRODUCT((Events!$B$6:$B$174&lt;=$A48)*(Events!$C$6:$C$174&gt;=$A48)*(Events!$E$6:$E$174="Investment")*Events!$H$6:$H$174)</f>
        <v>32.8030417875823</v>
      </c>
      <c r="O48" s="56" t="n">
        <f aca="false">O47*(1-dev_dep)+N48</f>
        <v>198.175853287252</v>
      </c>
      <c r="P48" s="56" t="n">
        <f aca="false">SUMPRODUCT((Events!$B$6:$B$174&lt;=$A48)*(Events!$C$6:$C$174&gt;=$A48)*(Events!$E$6:$E$174="Debt assumed")*Events!$H$6:$H$174)</f>
        <v>0</v>
      </c>
      <c r="Q48" s="56" t="n">
        <f aca="false">IF($A48&lt;1887,0,MAX(0,debt_floor*Economy!O48-(R47+P48+H48-C48-K48)))</f>
        <v>13.7664050974501</v>
      </c>
      <c r="R48" s="56" t="n">
        <f aca="false">R47+P48+H48-C48-K48+Q48</f>
        <v>79.9287189841051</v>
      </c>
      <c r="S48" s="56" t="n">
        <f aca="false">S47+L48-F48-J48+Q48*issue_price*(1-dev_bonds)</f>
        <v>27.3589221583709</v>
      </c>
      <c r="T48" s="72" t="n">
        <f aca="false">Loans!X48</f>
        <v>25.0033568423916</v>
      </c>
      <c r="U48" s="56" t="n">
        <f aca="false">R48-M48-S48-T48</f>
        <v>-13.3969088097049</v>
      </c>
      <c r="V48" s="66" t="n">
        <f aca="false">R48/Economy!O48</f>
        <v>0.05</v>
      </c>
      <c r="W48" s="66" t="n">
        <f aca="false">Budget!X48/Budget!M48</f>
        <v>0.0224965015783455</v>
      </c>
      <c r="X48" s="66" t="n">
        <f aca="false">S48/Economy!O48</f>
        <v>0.0171145756532214</v>
      </c>
      <c r="Y48" s="56" t="n">
        <f aca="false">MAX(0,H48+Q48-'Gold &amp; money'!G48)</f>
        <v>13.7664050974501</v>
      </c>
    </row>
    <row r="49" customFormat="false" ht="14.25" hidden="false" customHeight="false" outlineLevel="0" collapsed="false">
      <c r="A49" s="61" t="n">
        <v>1889</v>
      </c>
      <c r="B49" s="56" t="n">
        <f aca="false">Loans!V49-Loans!W49</f>
        <v>1.99986364477725</v>
      </c>
      <c r="C49" s="56" t="n">
        <f aca="false">R48*debt_amort</f>
        <v>1.5985743796821</v>
      </c>
      <c r="D49" s="56" t="n">
        <f aca="false">M48+Budget!Z49-B49-C49</f>
        <v>42.9398463578769</v>
      </c>
      <c r="E49" s="56" t="n">
        <f aca="false">MAX(0.1,Budget!M49*cash_target)</f>
        <v>43.6572418115256</v>
      </c>
      <c r="F49" s="56" t="n">
        <f aca="false">IF(D49&lt;E49,MIN(E49-D49,S48),0)</f>
        <v>0.717395453648678</v>
      </c>
      <c r="G49" s="56" t="n">
        <f aca="false">MAX(0,E49-D49-F49)</f>
        <v>0</v>
      </c>
      <c r="H49" s="56" t="n">
        <f aca="false">G49/issue_price</f>
        <v>0</v>
      </c>
      <c r="I49" s="56" t="n">
        <f aca="false">IF(AND(D49&gt;E49,$A49&gt;=dev_start),(D49-E49)*dev_share,0)</f>
        <v>0</v>
      </c>
      <c r="J49" s="56" t="n">
        <f aca="false">IF($A49&gt;=dev_start,MAX(0,S48-F49-reserve_buffer*Economy!O49),0)</f>
        <v>0</v>
      </c>
      <c r="K49" s="56" t="n">
        <f aca="false">IF(D49&gt;E49,MIN((D49-E49-I49)*repay_share,R48-C49),0)</f>
        <v>0</v>
      </c>
      <c r="L49" s="56" t="n">
        <f aca="false">IF(D49&gt;E49,D49-E49-I49-K49,0)</f>
        <v>0</v>
      </c>
      <c r="M49" s="56" t="n">
        <f aca="false">D49+F49+G49-I49-K49-L49</f>
        <v>43.6572418115256</v>
      </c>
      <c r="N49" s="56" t="n">
        <f aca="false">I49+J49+Q49*issue_price*dev_bonds+SUMPRODUCT((Events!$B$6:$B$174&lt;=$A49)*(Events!$C$6:$C$174&gt;=$A49)*(Events!$E$6:$E$174="Investment")*Events!$H$6:$H$174)</f>
        <v>6.81422685654553</v>
      </c>
      <c r="O49" s="56" t="n">
        <f aca="false">O48*(1-dev_dep)+N49</f>
        <v>199.04480454518</v>
      </c>
      <c r="P49" s="56" t="n">
        <f aca="false">SUMPRODUCT((Events!$B$6:$B$174&lt;=$A49)*(Events!$C$6:$C$174&gt;=$A49)*(Events!$E$6:$E$174="Debt assumed")*Events!$H$6:$H$174)</f>
        <v>0</v>
      </c>
      <c r="Q49" s="56" t="n">
        <f aca="false">IF($A49&lt;1887,0,MAX(0,debt_floor*Economy!O49-(R48+P49+H49-C49-K49)))</f>
        <v>7.02497614076859</v>
      </c>
      <c r="R49" s="56" t="n">
        <f aca="false">R48+P49+H49-C49-K49+Q49</f>
        <v>85.3551207451916</v>
      </c>
      <c r="S49" s="56" t="n">
        <f aca="false">S48+L49-F49-J49+Q49*issue_price*(1-dev_bonds)</f>
        <v>26.6415267047222</v>
      </c>
      <c r="T49" s="72" t="n">
        <f aca="false">Loans!X49</f>
        <v>27.0032204871689</v>
      </c>
      <c r="U49" s="56" t="n">
        <f aca="false">R49-M49-S49-T49</f>
        <v>-11.9468682582251</v>
      </c>
      <c r="V49" s="66" t="n">
        <f aca="false">R49/Economy!O49</f>
        <v>0.05</v>
      </c>
      <c r="W49" s="66" t="n">
        <f aca="false">Budget!X49/Budget!M49</f>
        <v>0.0223818214123349</v>
      </c>
      <c r="X49" s="66" t="n">
        <f aca="false">S49/Economy!O49</f>
        <v>0.0156062849376398</v>
      </c>
      <c r="Y49" s="56" t="n">
        <f aca="false">MAX(0,H49+Q49-'Gold &amp; money'!G49)</f>
        <v>7.02497614076859</v>
      </c>
    </row>
    <row r="50" customFormat="false" ht="14.25" hidden="false" customHeight="false" outlineLevel="0" collapsed="false">
      <c r="A50" s="61" t="n">
        <v>1890</v>
      </c>
      <c r="B50" s="56" t="n">
        <f aca="false">Loans!V50-Loans!W50</f>
        <v>0.419869161431975</v>
      </c>
      <c r="C50" s="56" t="n">
        <f aca="false">R49*debt_amort</f>
        <v>1.70710241490383</v>
      </c>
      <c r="D50" s="56" t="n">
        <f aca="false">M49+Budget!Z50-B50-C50</f>
        <v>67.6278420054438</v>
      </c>
      <c r="E50" s="56" t="n">
        <f aca="false">MAX(0.1,Budget!M50*cash_target)</f>
        <v>49.0182950544822</v>
      </c>
      <c r="F50" s="56" t="n">
        <f aca="false">IF(D50&lt;E50,MIN(E50-D50,S49),0)</f>
        <v>0</v>
      </c>
      <c r="G50" s="56" t="n">
        <f aca="false">MAX(0,E50-D50-F50)</f>
        <v>0</v>
      </c>
      <c r="H50" s="56" t="n">
        <f aca="false">G50/issue_price</f>
        <v>0</v>
      </c>
      <c r="I50" s="56" t="n">
        <f aca="false">IF(AND(D50&gt;E50,$A50&gt;=dev_start),(D50-E50)*dev_share,0)</f>
        <v>13.0266828656731</v>
      </c>
      <c r="J50" s="56" t="n">
        <f aca="false">IF($A50&gt;=dev_start,MAX(0,S49-F50-reserve_buffer*Economy!O50),0)</f>
        <v>0</v>
      </c>
      <c r="K50" s="56" t="n">
        <f aca="false">IF(D50&gt;E50,MIN((D50-E50-I50)*repay_share,R49-C50),0)</f>
        <v>4.46629126823079</v>
      </c>
      <c r="L50" s="56" t="n">
        <f aca="false">IF(D50&gt;E50,D50-E50-I50-K50,0)</f>
        <v>1.1165728170577</v>
      </c>
      <c r="M50" s="56" t="n">
        <f aca="false">D50+F50+G50-I50-K50-L50</f>
        <v>49.0182950544822</v>
      </c>
      <c r="N50" s="56" t="n">
        <f aca="false">I50+J50+Q50*issue_price*dev_bonds+SUMPRODUCT((Events!$B$6:$B$174&lt;=$A50)*(Events!$C$6:$C$174&gt;=$A50)*(Events!$E$6:$E$174="Investment")*Events!$H$6:$H$174)</f>
        <v>26.341846488278</v>
      </c>
      <c r="O50" s="56" t="n">
        <f aca="false">O49*(1-dev_dep)+N50</f>
        <v>219.415306897103</v>
      </c>
      <c r="P50" s="56" t="n">
        <f aca="false">SUMPRODUCT((Events!$B$6:$B$174&lt;=$A50)*(Events!$C$6:$C$174&gt;=$A50)*(Events!$E$6:$E$174="Debt assumed")*Events!$H$6:$H$174)</f>
        <v>0</v>
      </c>
      <c r="Q50" s="56" t="n">
        <f aca="false">IF($A50&lt;1887,0,MAX(0,debt_floor*Economy!O50-(R49+P50+H50-C50-K50)))</f>
        <v>13.7269728068091</v>
      </c>
      <c r="R50" s="56" t="n">
        <f aca="false">R49+P50+H50-C50-K50+Q50</f>
        <v>92.9086998688661</v>
      </c>
      <c r="S50" s="56" t="n">
        <f aca="false">S49+L50-F50-J50+Q50*issue_price*(1-dev_bonds)</f>
        <v>27.7580995217799</v>
      </c>
      <c r="T50" s="72" t="n">
        <f aca="false">Loans!X50</f>
        <v>27.4230896486008</v>
      </c>
      <c r="U50" s="56" t="n">
        <f aca="false">R50-M50-S50-T50</f>
        <v>-11.2907843559968</v>
      </c>
      <c r="V50" s="66" t="n">
        <f aca="false">R50/Economy!O50</f>
        <v>0.05</v>
      </c>
      <c r="W50" s="66" t="n">
        <f aca="false">Budget!X50/Budget!M50</f>
        <v>0.021026089990536</v>
      </c>
      <c r="X50" s="66" t="n">
        <f aca="false">S50/Economy!O50</f>
        <v>0.0149383747490593</v>
      </c>
      <c r="Y50" s="56" t="n">
        <f aca="false">MAX(0,H50+Q50-'Gold &amp; money'!G50)</f>
        <v>13.7269728068091</v>
      </c>
    </row>
    <row r="51" customFormat="false" ht="14.25" hidden="false" customHeight="false" outlineLevel="0" collapsed="false">
      <c r="A51" s="61" t="n">
        <v>1891</v>
      </c>
      <c r="B51" s="56" t="n">
        <f aca="false">Loans!V51-Loans!W51</f>
        <v>0.418074455547135</v>
      </c>
      <c r="C51" s="56" t="n">
        <f aca="false">R50*debt_amort</f>
        <v>1.85817399737732</v>
      </c>
      <c r="D51" s="56" t="n">
        <f aca="false">M50+Budget!Z51-B51-C51</f>
        <v>80.3033807749395</v>
      </c>
      <c r="E51" s="56" t="n">
        <f aca="false">MAX(0.1,Budget!M51*cash_target)</f>
        <v>53.5895255784484</v>
      </c>
      <c r="F51" s="56" t="n">
        <f aca="false">IF(D51&lt;E51,MIN(E51-D51,S50),0)</f>
        <v>0</v>
      </c>
      <c r="G51" s="56" t="n">
        <f aca="false">MAX(0,E51-D51-F51)</f>
        <v>0</v>
      </c>
      <c r="H51" s="56" t="n">
        <f aca="false">G51/issue_price</f>
        <v>0</v>
      </c>
      <c r="I51" s="56" t="n">
        <f aca="false">IF(AND(D51&gt;E51,$A51&gt;=dev_start),(D51-E51)*dev_share,0)</f>
        <v>18.6996986375438</v>
      </c>
      <c r="J51" s="56" t="n">
        <f aca="false">IF($A51&gt;=dev_start,MAX(0,S50-F51-reserve_buffer*Economy!O51),0)</f>
        <v>0</v>
      </c>
      <c r="K51" s="56" t="n">
        <f aca="false">IF(D51&gt;E51,MIN((D51-E51-I51)*repay_share,R50-C51),0)</f>
        <v>6.41132524715787</v>
      </c>
      <c r="L51" s="56" t="n">
        <f aca="false">IF(D51&gt;E51,D51-E51-I51-K51,0)</f>
        <v>1.60283131178947</v>
      </c>
      <c r="M51" s="56" t="n">
        <f aca="false">D51+F51+G51-I51-K51-L51</f>
        <v>53.5895255784484</v>
      </c>
      <c r="N51" s="56" t="n">
        <f aca="false">I51+J51+Q51*issue_price*dev_bonds+SUMPRODUCT((Events!$B$6:$B$174&lt;=$A51)*(Events!$C$6:$C$174&gt;=$A51)*(Events!$E$6:$E$174="Investment")*Events!$H$6:$H$174)</f>
        <v>33.4793691010957</v>
      </c>
      <c r="O51" s="56" t="n">
        <f aca="false">O50*(1-dev_dep)+N51</f>
        <v>246.312216791285</v>
      </c>
      <c r="P51" s="56" t="n">
        <f aca="false">SUMPRODUCT((Events!$B$6:$B$174&lt;=$A51)*(Events!$C$6:$C$174&gt;=$A51)*(Events!$E$6:$E$174="Debt assumed")*Events!$H$6:$H$174)</f>
        <v>0</v>
      </c>
      <c r="Q51" s="56" t="n">
        <f aca="false">IF($A51&lt;1887,0,MAX(0,debt_floor*Economy!O51-(R50+P51+H51-C51-K51)))</f>
        <v>15.2367736737649</v>
      </c>
      <c r="R51" s="56" t="n">
        <f aca="false">R50+P51+H51-C51-K51+Q51</f>
        <v>99.8759742980958</v>
      </c>
      <c r="S51" s="56" t="n">
        <f aca="false">S50+L51-F51-J51+Q51*issue_price*(1-dev_bonds)</f>
        <v>29.3609308335694</v>
      </c>
      <c r="T51" s="72" t="n">
        <f aca="false">Loans!X51</f>
        <v>27.841164104148</v>
      </c>
      <c r="U51" s="56" t="n">
        <f aca="false">R51-M51-S51-T51</f>
        <v>-10.9156462180699</v>
      </c>
      <c r="V51" s="66" t="n">
        <f aca="false">R51/Economy!O51</f>
        <v>0.05</v>
      </c>
      <c r="W51" s="66" t="n">
        <f aca="false">Budget!X51/Budget!M51</f>
        <v>0.0206311497723753</v>
      </c>
      <c r="X51" s="66" t="n">
        <f aca="false">S51/Economy!O51</f>
        <v>0.014698695577145</v>
      </c>
      <c r="Y51" s="56" t="n">
        <f aca="false">MAX(0,H51+Q51-'Gold &amp; money'!G51)</f>
        <v>15.2367736737649</v>
      </c>
    </row>
    <row r="52" customFormat="false" ht="14.25" hidden="false" customHeight="false" outlineLevel="0" collapsed="false">
      <c r="A52" s="61" t="n">
        <v>1892</v>
      </c>
      <c r="B52" s="56" t="n">
        <f aca="false">Loans!V52-Loans!W52</f>
        <v>-1.08409846391949</v>
      </c>
      <c r="C52" s="56" t="n">
        <f aca="false">R51*debt_amort</f>
        <v>1.99751948596192</v>
      </c>
      <c r="D52" s="56" t="n">
        <f aca="false">M51+Budget!Z52-B52-C52</f>
        <v>92.2120728801307</v>
      </c>
      <c r="E52" s="56" t="n">
        <f aca="false">MAX(0.1,Budget!M52*cash_target)</f>
        <v>57.9882018045228</v>
      </c>
      <c r="F52" s="56" t="n">
        <f aca="false">IF(D52&lt;E52,MIN(E52-D52,S51),0)</f>
        <v>0</v>
      </c>
      <c r="G52" s="56" t="n">
        <f aca="false">MAX(0,E52-D52-F52)</f>
        <v>0</v>
      </c>
      <c r="H52" s="56" t="n">
        <f aca="false">G52/issue_price</f>
        <v>0</v>
      </c>
      <c r="I52" s="56" t="n">
        <f aca="false">IF(AND(D52&gt;E52,$A52&gt;=dev_start),(D52-E52)*dev_share,0)</f>
        <v>23.9567097529255</v>
      </c>
      <c r="J52" s="56" t="n">
        <f aca="false">IF($A52&gt;=dev_start,MAX(0,S51-F52-reserve_buffer*Economy!O52),0)</f>
        <v>0</v>
      </c>
      <c r="K52" s="56" t="n">
        <f aca="false">IF(D52&gt;E52,MIN((D52-E52-I52)*repay_share,R51-C52),0)</f>
        <v>8.21372905814591</v>
      </c>
      <c r="L52" s="56" t="n">
        <f aca="false">IF(D52&gt;E52,D52-E52-I52-K52,0)</f>
        <v>2.05343226453648</v>
      </c>
      <c r="M52" s="56" t="n">
        <f aca="false">D52+F52+G52-I52-K52-L52</f>
        <v>57.9882018045228</v>
      </c>
      <c r="N52" s="56" t="n">
        <f aca="false">I52+J52+Q52*issue_price*dev_bonds+SUMPRODUCT((Events!$B$6:$B$174&lt;=$A52)*(Events!$C$6:$C$174&gt;=$A52)*(Events!$E$6:$E$174="Investment")*Events!$H$6:$H$174)</f>
        <v>40.8621499066542</v>
      </c>
      <c r="O52" s="56" t="n">
        <f aca="false">O51*(1-dev_dep)+N52</f>
        <v>279.785000194201</v>
      </c>
      <c r="P52" s="56" t="n">
        <f aca="false">SUMPRODUCT((Events!$B$6:$B$174&lt;=$A52)*(Events!$C$6:$C$174&gt;=$A52)*(Events!$E$6:$E$174="Debt assumed")*Events!$H$6:$H$174)</f>
        <v>0</v>
      </c>
      <c r="Q52" s="56" t="n">
        <f aca="false">IF($A52&lt;1887,0,MAX(0,debt_floor*Economy!O52-(R51+P52+H52-C52-K52)))</f>
        <v>17.428288818277</v>
      </c>
      <c r="R52" s="56" t="n">
        <f aca="false">R51+P52+H52-C52-K52+Q52</f>
        <v>107.093014572265</v>
      </c>
      <c r="S52" s="56" t="n">
        <f aca="false">S51+L52-F52-J52+Q52*issue_price*(1-dev_bonds)</f>
        <v>31.4143630981058</v>
      </c>
      <c r="T52" s="72" t="n">
        <f aca="false">Loans!X52</f>
        <v>26.7570656402285</v>
      </c>
      <c r="U52" s="56" t="n">
        <f aca="false">R52-M52-S52-T52</f>
        <v>-9.06661597059211</v>
      </c>
      <c r="V52" s="66" t="n">
        <f aca="false">R52/Economy!O52</f>
        <v>0.05</v>
      </c>
      <c r="W52" s="66" t="n">
        <f aca="false">Budget!X52/Budget!M52</f>
        <v>0.0202376114706681</v>
      </c>
      <c r="X52" s="66" t="n">
        <f aca="false">S52/Economy!O52</f>
        <v>0.0146668590960748</v>
      </c>
      <c r="Y52" s="56" t="n">
        <f aca="false">MAX(0,H52+Q52-'Gold &amp; money'!G52)</f>
        <v>17.428288818277</v>
      </c>
    </row>
    <row r="53" customFormat="false" ht="14.25" hidden="false" customHeight="false" outlineLevel="0" collapsed="false">
      <c r="A53" s="61" t="n">
        <v>1893</v>
      </c>
      <c r="B53" s="56" t="n">
        <f aca="false">Loans!V53-Loans!W53</f>
        <v>-1.0416209683701</v>
      </c>
      <c r="C53" s="56" t="n">
        <f aca="false">R52*debt_amort</f>
        <v>2.1418602914453</v>
      </c>
      <c r="D53" s="56" t="n">
        <f aca="false">M52+Budget!Z53-B53-C53</f>
        <v>94.3219512481203</v>
      </c>
      <c r="E53" s="56" t="n">
        <f aca="false">MAX(0.1,Budget!M53*cash_target)</f>
        <v>59.1562887923994</v>
      </c>
      <c r="F53" s="56" t="n">
        <f aca="false">IF(D53&lt;E53,MIN(E53-D53,S52),0)</f>
        <v>0</v>
      </c>
      <c r="G53" s="56" t="n">
        <f aca="false">MAX(0,E53-D53-F53)</f>
        <v>0</v>
      </c>
      <c r="H53" s="56" t="n">
        <f aca="false">G53/issue_price</f>
        <v>0</v>
      </c>
      <c r="I53" s="56" t="n">
        <f aca="false">IF(AND(D53&gt;E53,$A53&gt;=dev_start),(D53-E53)*dev_share,0)</f>
        <v>24.6159637190047</v>
      </c>
      <c r="J53" s="56" t="n">
        <f aca="false">IF($A53&gt;=dev_start,MAX(0,S52-F53-reserve_buffer*Economy!O53),0)</f>
        <v>0</v>
      </c>
      <c r="K53" s="56" t="n">
        <f aca="false">IF(D53&gt;E53,MIN((D53-E53-I53)*repay_share,R52-C53),0)</f>
        <v>8.43975898937303</v>
      </c>
      <c r="L53" s="56" t="n">
        <f aca="false">IF(D53&gt;E53,D53-E53-I53-K53,0)</f>
        <v>2.10993974734326</v>
      </c>
      <c r="M53" s="56" t="n">
        <f aca="false">D53+F53+G53-I53-K53-L53</f>
        <v>59.1562887923994</v>
      </c>
      <c r="N53" s="56" t="n">
        <f aca="false">I53+J53+Q53*issue_price*dev_bonds+SUMPRODUCT((Events!$B$6:$B$174&lt;=$A53)*(Events!$C$6:$C$174&gt;=$A53)*(Events!$E$6:$E$174="Investment")*Events!$H$6:$H$174)</f>
        <v>36.7309035507542</v>
      </c>
      <c r="O53" s="56" t="n">
        <f aca="false">O52*(1-dev_dep)+N53</f>
        <v>308.122353739129</v>
      </c>
      <c r="P53" s="56" t="n">
        <f aca="false">SUMPRODUCT((Events!$B$6:$B$174&lt;=$A53)*(Events!$C$6:$C$174&gt;=$A53)*(Events!$E$6:$E$174="Debt assumed")*Events!$H$6:$H$174)</f>
        <v>0</v>
      </c>
      <c r="Q53" s="56" t="n">
        <f aca="false">IF($A53&lt;1887,0,MAX(0,debt_floor*Economy!O53-(R52+P53+H53-C53-K53)))</f>
        <v>12.4896286925253</v>
      </c>
      <c r="R53" s="56" t="n">
        <f aca="false">R52+P53+H53-C53-K53+Q53</f>
        <v>109.001023983972</v>
      </c>
      <c r="S53" s="56" t="n">
        <f aca="false">S52+L53-F53-J53+Q53*issue_price*(1-dev_bonds)</f>
        <v>33.5243028454491</v>
      </c>
      <c r="T53" s="72" t="n">
        <f aca="false">Loans!X53</f>
        <v>25.7154446718584</v>
      </c>
      <c r="U53" s="56" t="n">
        <f aca="false">R53-M53-S53-T53</f>
        <v>-9.39501232573488</v>
      </c>
      <c r="V53" s="66" t="n">
        <f aca="false">R53/Economy!O53</f>
        <v>0.05</v>
      </c>
      <c r="W53" s="66" t="n">
        <f aca="false">Budget!X53/Budget!M53</f>
        <v>0.0209546891628745</v>
      </c>
      <c r="X53" s="66" t="n">
        <f aca="false">S53/Economy!O53</f>
        <v>0.0153779761052422</v>
      </c>
      <c r="Y53" s="56" t="n">
        <f aca="false">MAX(0,H53+Q53-'Gold &amp; money'!G53)</f>
        <v>12.4896286925253</v>
      </c>
    </row>
    <row r="54" customFormat="false" ht="14.25" hidden="false" customHeight="false" outlineLevel="0" collapsed="false">
      <c r="A54" s="61" t="n">
        <v>1894</v>
      </c>
      <c r="B54" s="56" t="n">
        <f aca="false">Loans!V54-Loans!W54</f>
        <v>8.99918402064753</v>
      </c>
      <c r="C54" s="56" t="n">
        <f aca="false">R53*debt_amort</f>
        <v>2.18002047967944</v>
      </c>
      <c r="D54" s="56" t="n">
        <f aca="false">M53+Budget!Z54-B54-C54</f>
        <v>86.1427763874456</v>
      </c>
      <c r="E54" s="56" t="n">
        <f aca="false">MAX(0.1,Budget!M54*cash_target)</f>
        <v>62.4598763162655</v>
      </c>
      <c r="F54" s="56" t="n">
        <f aca="false">IF(D54&lt;E54,MIN(E54-D54,S53),0)</f>
        <v>0</v>
      </c>
      <c r="G54" s="56" t="n">
        <f aca="false">MAX(0,E54-D54-F54)</f>
        <v>0</v>
      </c>
      <c r="H54" s="56" t="n">
        <f aca="false">G54/issue_price</f>
        <v>0</v>
      </c>
      <c r="I54" s="56" t="n">
        <f aca="false">IF(AND(D54&gt;E54,$A54&gt;=dev_start),(D54-E54)*dev_share,0)</f>
        <v>16.5780300498261</v>
      </c>
      <c r="J54" s="56" t="n">
        <f aca="false">IF($A54&gt;=dev_start,MAX(0,S53-F54-reserve_buffer*Economy!O54),0)</f>
        <v>0</v>
      </c>
      <c r="K54" s="56" t="n">
        <f aca="false">IF(D54&gt;E54,MIN((D54-E54-I54)*repay_share,R53-C54),0)</f>
        <v>5.68389601708324</v>
      </c>
      <c r="L54" s="56" t="n">
        <f aca="false">IF(D54&gt;E54,D54-E54-I54-K54,0)</f>
        <v>1.42097400427081</v>
      </c>
      <c r="M54" s="56" t="n">
        <f aca="false">D54+F54+G54-I54-K54-L54</f>
        <v>62.4598763162655</v>
      </c>
      <c r="N54" s="56" t="n">
        <f aca="false">I54+J54+Q54*issue_price*dev_bonds+SUMPRODUCT((Events!$B$6:$B$174&lt;=$A54)*(Events!$C$6:$C$174&gt;=$A54)*(Events!$E$6:$E$174="Investment")*Events!$H$6:$H$174)</f>
        <v>33.12923051355</v>
      </c>
      <c r="O54" s="56" t="n">
        <f aca="false">O53*(1-dev_dep)+N54</f>
        <v>332.007913640505</v>
      </c>
      <c r="P54" s="56" t="n">
        <f aca="false">SUMPRODUCT((Events!$B$6:$B$174&lt;=$A54)*(Events!$C$6:$C$174&gt;=$A54)*(Events!$E$6:$E$174="Debt assumed")*Events!$H$6:$H$174)</f>
        <v>0</v>
      </c>
      <c r="Q54" s="56" t="n">
        <f aca="false">IF($A54&lt;1887,0,MAX(0,debt_floor*Economy!O54-(R53+P54+H54-C54-K54)))</f>
        <v>13.9703097564164</v>
      </c>
      <c r="R54" s="56" t="n">
        <f aca="false">R53+P54+H54-C54-K54+Q54</f>
        <v>115.107417243626</v>
      </c>
      <c r="S54" s="56" t="n">
        <f aca="false">S53+L54-F54-J54+Q54*issue_price*(1-dev_bonds)</f>
        <v>34.9452768497199</v>
      </c>
      <c r="T54" s="72" t="n">
        <f aca="false">Loans!X54</f>
        <v>34.7146286925059</v>
      </c>
      <c r="U54" s="56" t="n">
        <f aca="false">R54-M54-S54-T54</f>
        <v>-17.0123646148656</v>
      </c>
      <c r="V54" s="66" t="n">
        <f aca="false">R54/Economy!O54</f>
        <v>0.05</v>
      </c>
      <c r="W54" s="66" t="n">
        <f aca="false">Budget!X54/Budget!M54</f>
        <v>0.0199381870804726</v>
      </c>
      <c r="X54" s="66" t="n">
        <f aca="false">S54/Economy!O54</f>
        <v>0.0151794200958214</v>
      </c>
      <c r="Y54" s="56" t="n">
        <f aca="false">MAX(0,H54+Q54-'Gold &amp; money'!G54)</f>
        <v>13.9703097564164</v>
      </c>
    </row>
    <row r="55" customFormat="false" ht="14.25" hidden="false" customHeight="false" outlineLevel="0" collapsed="false">
      <c r="A55" s="61" t="n">
        <v>1895</v>
      </c>
      <c r="B55" s="56" t="n">
        <f aca="false">Loans!V55-Loans!W55</f>
        <v>78.638382605596</v>
      </c>
      <c r="C55" s="56" t="n">
        <f aca="false">R54*debt_amort</f>
        <v>2.30214834487251</v>
      </c>
      <c r="D55" s="56" t="n">
        <f aca="false">M54+Budget!Z55-B55-C55</f>
        <v>29.2089121535879</v>
      </c>
      <c r="E55" s="56" t="n">
        <f aca="false">MAX(0.1,Budget!M55*cash_target)</f>
        <v>68.8551055262118</v>
      </c>
      <c r="F55" s="56" t="n">
        <f aca="false">IF(D55&lt;E55,MIN(E55-D55,S54),0)</f>
        <v>34.9452768497199</v>
      </c>
      <c r="G55" s="56" t="n">
        <f aca="false">MAX(0,E55-D55-F55)</f>
        <v>4.70091652290407</v>
      </c>
      <c r="H55" s="56" t="n">
        <f aca="false">G55/issue_price</f>
        <v>4.84630569371554</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68.8551055262118</v>
      </c>
      <c r="N55" s="56" t="n">
        <f aca="false">I55+J55+Q55*issue_price*dev_bonds+SUMPRODUCT((Events!$B$6:$B$174&lt;=$A55)*(Events!$C$6:$C$174&gt;=$A55)*(Events!$E$6:$E$174="Investment")*Events!$H$6:$H$174)</f>
        <v>11.3817785136719</v>
      </c>
      <c r="O55" s="56" t="n">
        <f aca="false">O54*(1-dev_dep)+N55</f>
        <v>333.429454744962</v>
      </c>
      <c r="P55" s="56" t="n">
        <f aca="false">SUMPRODUCT((Events!$B$6:$B$174&lt;=$A55)*(Events!$C$6:$C$174&gt;=$A55)*(Events!$E$6:$E$174="Debt assumed")*Events!$H$6:$H$174)</f>
        <v>0</v>
      </c>
      <c r="Q55" s="56" t="n">
        <f aca="false">IF($A55&lt;1887,0,MAX(0,debt_floor*Economy!O55-(R54+P55+H55-C55-K55)))</f>
        <v>8.64100877698137</v>
      </c>
      <c r="R55" s="56" t="n">
        <f aca="false">R54+P55+H55-C55-K55+Q55</f>
        <v>126.29258336945</v>
      </c>
      <c r="S55" s="56" t="n">
        <f aca="false">S54+L55-F55-J55+Q55*issue_price*(1-dev_bonds)</f>
        <v>0</v>
      </c>
      <c r="T55" s="72" t="n">
        <f aca="false">Loans!X55</f>
        <v>113.353011298102</v>
      </c>
      <c r="U55" s="56" t="n">
        <f aca="false">R55-M55-S55-T55</f>
        <v>-55.9155334548637</v>
      </c>
      <c r="V55" s="66" t="n">
        <f aca="false">R55/Economy!O55</f>
        <v>0.05</v>
      </c>
      <c r="W55" s="66" t="n">
        <f aca="false">Budget!X55/Budget!M55</f>
        <v>0.0188070068892396</v>
      </c>
      <c r="X55" s="66" t="n">
        <f aca="false">S55/Economy!O55</f>
        <v>0</v>
      </c>
      <c r="Y55" s="56" t="n">
        <f aca="false">MAX(0,H55+Q55-'Gold &amp; money'!G55)</f>
        <v>13.4873144706969</v>
      </c>
    </row>
    <row r="56" customFormat="false" ht="14.25" hidden="false" customHeight="false" outlineLevel="0" collapsed="false">
      <c r="A56" s="61" t="n">
        <v>1896</v>
      </c>
      <c r="B56" s="56" t="n">
        <f aca="false">Loans!V56-Loans!W56</f>
        <v>-1.50796173122675</v>
      </c>
      <c r="C56" s="56" t="n">
        <f aca="false">R55*debt_amort</f>
        <v>2.525851667389</v>
      </c>
      <c r="D56" s="56" t="n">
        <f aca="false">M55+Budget!Z56-B56-C56</f>
        <v>99.3408875802658</v>
      </c>
      <c r="E56" s="56" t="n">
        <f aca="false">MAX(0.1,Budget!M56*cash_target)</f>
        <v>68.3292250375829</v>
      </c>
      <c r="F56" s="56" t="n">
        <f aca="false">IF(D56&lt;E56,MIN(E56-D56,S55),0)</f>
        <v>0</v>
      </c>
      <c r="G56" s="56" t="n">
        <f aca="false">MAX(0,E56-D56-F56)</f>
        <v>0</v>
      </c>
      <c r="H56" s="56" t="n">
        <f aca="false">G56/issue_price</f>
        <v>0</v>
      </c>
      <c r="I56" s="56" t="n">
        <f aca="false">IF(AND(D56&gt;E56,$A56&gt;=dev_start),(D56-E56)*dev_share,0)</f>
        <v>21.7081637798781</v>
      </c>
      <c r="J56" s="56" t="n">
        <f aca="false">IF($A56&gt;=dev_start,MAX(0,S55-F56-reserve_buffer*Economy!O56),0)</f>
        <v>0</v>
      </c>
      <c r="K56" s="56" t="n">
        <f aca="false">IF(D56&gt;E56,MIN((D56-E56-I56)*repay_share,R55-C56),0)</f>
        <v>7.44279901024391</v>
      </c>
      <c r="L56" s="56" t="n">
        <f aca="false">IF(D56&gt;E56,D56-E56-I56-K56,0)</f>
        <v>1.86069975256098</v>
      </c>
      <c r="M56" s="56" t="n">
        <f aca="false">D56+F56+G56-I56-K56-L56</f>
        <v>68.3292250375829</v>
      </c>
      <c r="N56" s="56" t="n">
        <f aca="false">I56+J56+Q56*issue_price*dev_bonds+SUMPRODUCT((Events!$B$6:$B$174&lt;=$A56)*(Events!$C$6:$C$174&gt;=$A56)*(Events!$E$6:$E$174="Investment")*Events!$H$6:$H$174)</f>
        <v>43.0732290127546</v>
      </c>
      <c r="O56" s="56" t="n">
        <f aca="false">O55*(1-dev_dep)+N56</f>
        <v>366.499800115368</v>
      </c>
      <c r="P56" s="56" t="n">
        <f aca="false">SUMPRODUCT((Events!$B$6:$B$174&lt;=$A56)*(Events!$C$6:$C$174&gt;=$A56)*(Events!$E$6:$E$174="Debt assumed")*Events!$H$6:$H$174)</f>
        <v>0</v>
      </c>
      <c r="Q56" s="56" t="n">
        <f aca="false">IF($A56&lt;1887,0,MAX(0,debt_floor*Economy!O56-(R55+P56+H56-C56-K56)))</f>
        <v>18.9330569411099</v>
      </c>
      <c r="R56" s="56" t="n">
        <f aca="false">R55+P56+H56-C56-K56+Q56</f>
        <v>135.256989632927</v>
      </c>
      <c r="S56" s="56" t="n">
        <f aca="false">S55+L56-F56-J56+Q56*issue_price*(1-dev_bonds)</f>
        <v>1.86069975256098</v>
      </c>
      <c r="T56" s="72" t="n">
        <f aca="false">Loans!X56</f>
        <v>111.845049566875</v>
      </c>
      <c r="U56" s="56" t="n">
        <f aca="false">R56-M56-S56-T56</f>
        <v>-46.777984724092</v>
      </c>
      <c r="V56" s="66" t="n">
        <f aca="false">R56/Economy!O56</f>
        <v>0.05</v>
      </c>
      <c r="W56" s="66" t="n">
        <f aca="false">Budget!X56/Budget!M56</f>
        <v>0.0205622848673074</v>
      </c>
      <c r="X56" s="66" t="n">
        <f aca="false">S56/Economy!O56</f>
        <v>0.00068783866830495</v>
      </c>
      <c r="Y56" s="56" t="n">
        <f aca="false">MAX(0,H56+Q56-'Gold &amp; money'!G56)</f>
        <v>18.9330569411099</v>
      </c>
    </row>
    <row r="57" customFormat="false" ht="14.25" hidden="false" customHeight="false" outlineLevel="0" collapsed="false">
      <c r="A57" s="61" t="n">
        <v>1897</v>
      </c>
      <c r="B57" s="56" t="n">
        <f aca="false">Loans!V57-Loans!W57</f>
        <v>18.5515719764014</v>
      </c>
      <c r="C57" s="56" t="n">
        <f aca="false">R56*debt_amort</f>
        <v>2.70513979265854</v>
      </c>
      <c r="D57" s="56" t="n">
        <f aca="false">M56+Budget!Z57-B57-C57</f>
        <v>89.0160801062056</v>
      </c>
      <c r="E57" s="56" t="n">
        <f aca="false">MAX(0.1,Budget!M57*cash_target)</f>
        <v>77.054147411218</v>
      </c>
      <c r="F57" s="56" t="n">
        <f aca="false">IF(D57&lt;E57,MIN(E57-D57,S56),0)</f>
        <v>0</v>
      </c>
      <c r="G57" s="56" t="n">
        <f aca="false">MAX(0,E57-D57-F57)</f>
        <v>0</v>
      </c>
      <c r="H57" s="56" t="n">
        <f aca="false">G57/issue_price</f>
        <v>0</v>
      </c>
      <c r="I57" s="56" t="n">
        <f aca="false">IF(AND(D57&gt;E57,$A57&gt;=dev_start),(D57-E57)*dev_share,0)</f>
        <v>8.37335288649131</v>
      </c>
      <c r="J57" s="56" t="n">
        <f aca="false">IF($A57&gt;=dev_start,MAX(0,S56-F57-reserve_buffer*Economy!O57),0)</f>
        <v>0</v>
      </c>
      <c r="K57" s="56" t="n">
        <f aca="false">IF(D57&gt;E57,MIN((D57-E57-I57)*repay_share,R56-C57),0)</f>
        <v>2.87086384679702</v>
      </c>
      <c r="L57" s="56" t="n">
        <f aca="false">IF(D57&gt;E57,D57-E57-I57-K57,0)</f>
        <v>0.717715961699255</v>
      </c>
      <c r="M57" s="56" t="n">
        <f aca="false">D57+F57+G57-I57-K57-L57</f>
        <v>77.054147411218</v>
      </c>
      <c r="N57" s="56" t="n">
        <f aca="false">I57+J57+Q57*issue_price*dev_bonds+SUMPRODUCT((Events!$B$6:$B$174&lt;=$A57)*(Events!$C$6:$C$174&gt;=$A57)*(Events!$E$6:$E$174="Investment")*Events!$H$6:$H$174)</f>
        <v>33.5719125578914</v>
      </c>
      <c r="O57" s="56" t="n">
        <f aca="false">O56*(1-dev_dep)+N57</f>
        <v>389.076718669798</v>
      </c>
      <c r="P57" s="56" t="n">
        <f aca="false">SUMPRODUCT((Events!$B$6:$B$174&lt;=$A57)*(Events!$C$6:$C$174&gt;=$A57)*(Events!$E$6:$E$174="Debt assumed")*Events!$H$6:$H$174)</f>
        <v>0</v>
      </c>
      <c r="Q57" s="56" t="n">
        <f aca="false">IF($A57&lt;1887,0,MAX(0,debt_floor*Economy!O57-(R56+P57+H57-C57-K57)))</f>
        <v>22.885113063299</v>
      </c>
      <c r="R57" s="56" t="n">
        <f aca="false">R56+P57+H57-C57-K57+Q57</f>
        <v>152.56609905677</v>
      </c>
      <c r="S57" s="56" t="n">
        <f aca="false">S56+L57-F57-J57+Q57*issue_price*(1-dev_bonds)</f>
        <v>2.57841571426023</v>
      </c>
      <c r="T57" s="72" t="n">
        <f aca="false">Loans!X57</f>
        <v>130.396621543277</v>
      </c>
      <c r="U57" s="56" t="n">
        <f aca="false">R57-M57-S57-T57</f>
        <v>-57.4630856119843</v>
      </c>
      <c r="V57" s="66" t="n">
        <f aca="false">R57/Economy!O57</f>
        <v>0.05</v>
      </c>
      <c r="W57" s="66" t="n">
        <f aca="false">Budget!X57/Budget!M57</f>
        <v>0.0193088488543264</v>
      </c>
      <c r="X57" s="66" t="n">
        <f aca="false">S57/Economy!O57</f>
        <v>0.000845015940697545</v>
      </c>
      <c r="Y57" s="56" t="n">
        <f aca="false">MAX(0,H57+Q57-'Gold &amp; money'!G57)</f>
        <v>22.885113063299</v>
      </c>
    </row>
    <row r="58" customFormat="false" ht="14.25" hidden="false" customHeight="false" outlineLevel="0" collapsed="false">
      <c r="A58" s="61" t="n">
        <v>1898</v>
      </c>
      <c r="B58" s="56" t="n">
        <f aca="false">Loans!V58-Loans!W58</f>
        <v>18.8087478785731</v>
      </c>
      <c r="C58" s="56" t="n">
        <f aca="false">R57*debt_amort</f>
        <v>3.05132198113541</v>
      </c>
      <c r="D58" s="56" t="n">
        <f aca="false">M57+Budget!Z58-B58-C58</f>
        <v>92.7955246854003</v>
      </c>
      <c r="E58" s="56" t="n">
        <f aca="false">MAX(0.1,Budget!M58*cash_target)</f>
        <v>85.008668391001</v>
      </c>
      <c r="F58" s="56" t="n">
        <f aca="false">IF(D58&lt;E58,MIN(E58-D58,S57),0)</f>
        <v>0</v>
      </c>
      <c r="G58" s="56" t="n">
        <f aca="false">MAX(0,E58-D58-F58)</f>
        <v>0</v>
      </c>
      <c r="H58" s="56" t="n">
        <f aca="false">G58/issue_price</f>
        <v>0</v>
      </c>
      <c r="I58" s="56" t="n">
        <f aca="false">IF(AND(D58&gt;E58,$A58&gt;=dev_start),(D58-E58)*dev_share,0)</f>
        <v>5.4507994060795</v>
      </c>
      <c r="J58" s="56" t="n">
        <f aca="false">IF($A58&gt;=dev_start,MAX(0,S57-F58-reserve_buffer*Economy!O58),0)</f>
        <v>0</v>
      </c>
      <c r="K58" s="56" t="n">
        <f aca="false">IF(D58&gt;E58,MIN((D58-E58-I58)*repay_share,R57-C58),0)</f>
        <v>1.86884551065583</v>
      </c>
      <c r="L58" s="56" t="n">
        <f aca="false">IF(D58&gt;E58,D58-E58-I58-K58,0)</f>
        <v>0.467211377663957</v>
      </c>
      <c r="M58" s="56" t="n">
        <f aca="false">D58+F58+G58-I58-K58-L58</f>
        <v>85.008668391001</v>
      </c>
      <c r="N58" s="56" t="n">
        <f aca="false">I58+J58+Q58*issue_price*dev_bonds+SUMPRODUCT((Events!$B$6:$B$174&lt;=$A58)*(Events!$C$6:$C$174&gt;=$A58)*(Events!$E$6:$E$174="Investment")*Events!$H$6:$H$174)</f>
        <v>28.1461543404264</v>
      </c>
      <c r="O58" s="56" t="n">
        <f aca="false">O57*(1-dev_dep)+N58</f>
        <v>405.550571450131</v>
      </c>
      <c r="P58" s="56" t="n">
        <f aca="false">SUMPRODUCT((Events!$B$6:$B$174&lt;=$A58)*(Events!$C$6:$C$174&gt;=$A58)*(Events!$E$6:$E$174="Debt assumed")*Events!$H$6:$H$174)</f>
        <v>0</v>
      </c>
      <c r="Q58" s="56" t="n">
        <f aca="false">IF($A58&lt;1887,0,MAX(0,debt_floor*Economy!O58-(R57+P58+H58-C58-K58)))</f>
        <v>20.304489623038</v>
      </c>
      <c r="R58" s="56" t="n">
        <f aca="false">R57+P58+H58-C58-K58+Q58</f>
        <v>167.950421188017</v>
      </c>
      <c r="S58" s="56" t="n">
        <f aca="false">S57+L58-F58-J58+Q58*issue_price*(1-dev_bonds)</f>
        <v>3.04562709192419</v>
      </c>
      <c r="T58" s="72" t="n">
        <f aca="false">Loans!X58</f>
        <v>149.20536942185</v>
      </c>
      <c r="U58" s="56" t="n">
        <f aca="false">R58-M58-S58-T58</f>
        <v>-69.3092437167576</v>
      </c>
      <c r="V58" s="66" t="n">
        <f aca="false">R58/Economy!O58</f>
        <v>0.05</v>
      </c>
      <c r="W58" s="66" t="n">
        <f aca="false">Budget!X58/Budget!M58</f>
        <v>0.0195174957877357</v>
      </c>
      <c r="X58" s="66" t="n">
        <f aca="false">S58/Economy!O58</f>
        <v>0.000906704213773501</v>
      </c>
      <c r="Y58" s="56" t="n">
        <f aca="false">MAX(0,H58+Q58-'Gold &amp; money'!G58)</f>
        <v>20.304489623038</v>
      </c>
    </row>
    <row r="59" customFormat="false" ht="14.25" hidden="false" customHeight="false" outlineLevel="0" collapsed="false">
      <c r="A59" s="61" t="n">
        <v>1899</v>
      </c>
      <c r="B59" s="56" t="n">
        <f aca="false">Loans!V59-Loans!W59</f>
        <v>18.055659581221</v>
      </c>
      <c r="C59" s="56" t="n">
        <f aca="false">R58*debt_amort</f>
        <v>3.35900842376035</v>
      </c>
      <c r="D59" s="56" t="n">
        <f aca="false">M58+Budget!Z59-B59-C59</f>
        <v>106.390285990193</v>
      </c>
      <c r="E59" s="56" t="n">
        <f aca="false">MAX(0.1,Budget!M59*cash_target)</f>
        <v>93.3842941349645</v>
      </c>
      <c r="F59" s="56" t="n">
        <f aca="false">IF(D59&lt;E59,MIN(E59-D59,S58),0)</f>
        <v>0</v>
      </c>
      <c r="G59" s="56" t="n">
        <f aca="false">MAX(0,E59-D59-F59)</f>
        <v>0</v>
      </c>
      <c r="H59" s="56" t="n">
        <f aca="false">G59/issue_price</f>
        <v>0</v>
      </c>
      <c r="I59" s="56" t="n">
        <f aca="false">IF(AND(D59&gt;E59,$A59&gt;=dev_start),(D59-E59)*dev_share,0)</f>
        <v>9.10419429865988</v>
      </c>
      <c r="J59" s="56" t="n">
        <f aca="false">IF($A59&gt;=dev_start,MAX(0,S58-F59-reserve_buffer*Economy!O59),0)</f>
        <v>0</v>
      </c>
      <c r="K59" s="56" t="n">
        <f aca="false">IF(D59&gt;E59,MIN((D59-E59-I59)*repay_share,R58-C59),0)</f>
        <v>3.12143804525482</v>
      </c>
      <c r="L59" s="56" t="n">
        <f aca="false">IF(D59&gt;E59,D59-E59-I59-K59,0)</f>
        <v>0.780359511313704</v>
      </c>
      <c r="M59" s="56" t="n">
        <f aca="false">D59+F59+G59-I59-K59-L59</f>
        <v>93.3842941349645</v>
      </c>
      <c r="N59" s="56" t="n">
        <f aca="false">I59+J59+Q59*issue_price*dev_bonds+SUMPRODUCT((Events!$B$6:$B$174&lt;=$A59)*(Events!$C$6:$C$174&gt;=$A59)*(Events!$E$6:$E$174="Investment")*Events!$H$6:$H$174)</f>
        <v>34.3510695509248</v>
      </c>
      <c r="O59" s="56" t="n">
        <f aca="false">O58*(1-dev_dep)+N59</f>
        <v>427.735123857551</v>
      </c>
      <c r="P59" s="56" t="n">
        <f aca="false">SUMPRODUCT((Events!$B$6:$B$174&lt;=$A59)*(Events!$C$6:$C$174&gt;=$A59)*(Events!$E$6:$E$174="Debt assumed")*Events!$H$6:$H$174)</f>
        <v>0</v>
      </c>
      <c r="Q59" s="56" t="n">
        <f aca="false">IF($A59&lt;1887,0,MAX(0,debt_floor*Economy!O59-(R58+P59+H59-C59-K59)))</f>
        <v>22.9349229404793</v>
      </c>
      <c r="R59" s="56" t="n">
        <f aca="false">R58+P59+H59-C59-K59+Q59</f>
        <v>184.404897659481</v>
      </c>
      <c r="S59" s="56" t="n">
        <f aca="false">S58+L59-F59-J59+Q59*issue_price*(1-dev_bonds)</f>
        <v>3.82598660323789</v>
      </c>
      <c r="T59" s="72" t="n">
        <f aca="false">Loans!X59</f>
        <v>167.261029003071</v>
      </c>
      <c r="U59" s="56" t="n">
        <f aca="false">R59-M59-S59-T59</f>
        <v>-80.0664120817916</v>
      </c>
      <c r="V59" s="66" t="n">
        <f aca="false">R59/Economy!O59</f>
        <v>0.05</v>
      </c>
      <c r="W59" s="66" t="n">
        <f aca="false">Budget!X59/Budget!M59</f>
        <v>0.0193337331988805</v>
      </c>
      <c r="X59" s="66" t="n">
        <f aca="false">S59/Economy!O59</f>
        <v>0.00103738746958416</v>
      </c>
      <c r="Y59" s="56" t="n">
        <f aca="false">MAX(0,H59+Q59-'Gold &amp; money'!G59)</f>
        <v>22.9349229404793</v>
      </c>
    </row>
    <row r="60" customFormat="false" ht="14.25" hidden="false" customHeight="false" outlineLevel="0" collapsed="false">
      <c r="A60" s="61" t="n">
        <v>1900</v>
      </c>
      <c r="B60" s="56" t="n">
        <f aca="false">Loans!V60-Loans!W60</f>
        <v>-6.66728303277068</v>
      </c>
      <c r="C60" s="56" t="n">
        <f aca="false">R59*debt_amort</f>
        <v>3.68809795318963</v>
      </c>
      <c r="D60" s="56" t="n">
        <f aca="false">M59+Budget!Z60-B60-C60</f>
        <v>145.440834895071</v>
      </c>
      <c r="E60" s="56" t="n">
        <f aca="false">MAX(0.1,Budget!M60*cash_target)</f>
        <v>102.66359603012</v>
      </c>
      <c r="F60" s="56" t="n">
        <f aca="false">IF(D60&lt;E60,MIN(E60-D60,S59),0)</f>
        <v>0</v>
      </c>
      <c r="G60" s="56" t="n">
        <f aca="false">MAX(0,E60-D60-F60)</f>
        <v>0</v>
      </c>
      <c r="H60" s="56" t="n">
        <f aca="false">G60/issue_price</f>
        <v>0</v>
      </c>
      <c r="I60" s="56" t="n">
        <f aca="false">IF(AND(D60&gt;E60,$A60&gt;=dev_start),(D60-E60)*dev_share,0)</f>
        <v>29.9440672054656</v>
      </c>
      <c r="J60" s="56" t="n">
        <f aca="false">IF($A60&gt;=dev_start,MAX(0,S59-F60-reserve_buffer*Economy!O60),0)</f>
        <v>0</v>
      </c>
      <c r="K60" s="56" t="n">
        <f aca="false">IF(D60&gt;E60,MIN((D60-E60-I60)*repay_share,R59-C60),0)</f>
        <v>10.2665373275882</v>
      </c>
      <c r="L60" s="56" t="n">
        <f aca="false">IF(D60&gt;E60,D60-E60-I60-K60,0)</f>
        <v>2.56663433189705</v>
      </c>
      <c r="M60" s="56" t="n">
        <f aca="false">D60+F60+G60-I60-K60-L60</f>
        <v>102.66359603012</v>
      </c>
      <c r="N60" s="56" t="n">
        <f aca="false">I60+J60+Q60*issue_price*dev_bonds+SUMPRODUCT((Events!$B$6:$B$174&lt;=$A60)*(Events!$C$6:$C$174&gt;=$A60)*(Events!$E$6:$E$174="Investment")*Events!$H$6:$H$174)</f>
        <v>64.2924813375717</v>
      </c>
      <c r="O60" s="56" t="n">
        <f aca="false">O59*(1-dev_dep)+N60</f>
        <v>479.195551479397</v>
      </c>
      <c r="P60" s="56" t="n">
        <f aca="false">SUMPRODUCT((Events!$B$6:$B$174&lt;=$A60)*(Events!$C$6:$C$174&gt;=$A60)*(Events!$E$6:$E$174="Debt assumed")*Events!$H$6:$H$174)</f>
        <v>0</v>
      </c>
      <c r="Q60" s="56" t="n">
        <f aca="false">IF($A60&lt;1887,0,MAX(0,debt_floor*Economy!O60-(R59+P60+H60-C60-K60)))</f>
        <v>32.3179527135114</v>
      </c>
      <c r="R60" s="56" t="n">
        <f aca="false">R59+P60+H60-C60-K60+Q60</f>
        <v>202.768215092215</v>
      </c>
      <c r="S60" s="56" t="n">
        <f aca="false">S59+L60-F60-J60+Q60*issue_price*(1-dev_bonds)</f>
        <v>6.39262093513495</v>
      </c>
      <c r="T60" s="72" t="n">
        <f aca="false">Loans!X60</f>
        <v>160.5937459703</v>
      </c>
      <c r="U60" s="56" t="n">
        <f aca="false">R60-M60-S60-T60</f>
        <v>-66.88174784334</v>
      </c>
      <c r="V60" s="66" t="n">
        <f aca="false">R60/Economy!O60</f>
        <v>0.05</v>
      </c>
      <c r="W60" s="66" t="n">
        <f aca="false">Budget!X60/Budget!M60</f>
        <v>0.0190846815560324</v>
      </c>
      <c r="X60" s="66" t="n">
        <f aca="false">S60/Economy!O60</f>
        <v>0.00157633703394482</v>
      </c>
      <c r="Y60" s="56" t="n">
        <f aca="false">MAX(0,H60+Q60-'Gold &amp; money'!G60)</f>
        <v>32.3179527135114</v>
      </c>
    </row>
    <row r="61" customFormat="false" ht="14.25" hidden="false" customHeight="false" outlineLevel="0" collapsed="false">
      <c r="A61" s="61" t="n">
        <v>1901</v>
      </c>
      <c r="B61" s="56" t="n">
        <f aca="false">Loans!V61-Loans!W61</f>
        <v>-6.40128645528042</v>
      </c>
      <c r="C61" s="56" t="n">
        <f aca="false">R60*debt_amort</f>
        <v>4.0553643018443</v>
      </c>
      <c r="D61" s="56" t="n">
        <f aca="false">M60+Budget!Z61-B61-C61</f>
        <v>186.735426387505</v>
      </c>
      <c r="E61" s="56" t="n">
        <f aca="false">MAX(0.1,Budget!M61*cash_target)</f>
        <v>113.947776049071</v>
      </c>
      <c r="F61" s="56" t="n">
        <f aca="false">IF(D61&lt;E61,MIN(E61-D61,S60),0)</f>
        <v>0</v>
      </c>
      <c r="G61" s="56" t="n">
        <f aca="false">MAX(0,E61-D61-F61)</f>
        <v>0</v>
      </c>
      <c r="H61" s="56" t="n">
        <f aca="false">G61/issue_price</f>
        <v>0</v>
      </c>
      <c r="I61" s="56" t="n">
        <f aca="false">IF(AND(D61&gt;E61,$A61&gt;=dev_start),(D61-E61)*dev_share,0)</f>
        <v>50.9513552369036</v>
      </c>
      <c r="J61" s="56" t="n">
        <f aca="false">IF($A61&gt;=dev_start,MAX(0,S60-F61-reserve_buffer*Economy!O61),0)</f>
        <v>0</v>
      </c>
      <c r="K61" s="56" t="n">
        <f aca="false">IF(D61&gt;E61,MIN((D61-E61-I61)*repay_share,R60-C61),0)</f>
        <v>17.4690360812241</v>
      </c>
      <c r="L61" s="56" t="n">
        <f aca="false">IF(D61&gt;E61,D61-E61-I61-K61,0)</f>
        <v>4.36725902030602</v>
      </c>
      <c r="M61" s="56" t="n">
        <f aca="false">D61+F61+G61-I61-K61-L61</f>
        <v>113.947776049071</v>
      </c>
      <c r="N61" s="56" t="n">
        <f aca="false">I61+J61+Q61*issue_price*dev_bonds+SUMPRODUCT((Events!$B$6:$B$174&lt;=$A61)*(Events!$C$6:$C$174&gt;=$A61)*(Events!$E$6:$E$174="Investment")*Events!$H$6:$H$174)</f>
        <v>90.2467887331305</v>
      </c>
      <c r="O61" s="56" t="n">
        <f aca="false">O60*(1-dev_dep)+N61</f>
        <v>555.066473668145</v>
      </c>
      <c r="P61" s="56" t="n">
        <f aca="false">SUMPRODUCT((Events!$B$6:$B$174&lt;=$A61)*(Events!$C$6:$C$174&gt;=$A61)*(Events!$E$6:$E$174="Debt assumed")*Events!$H$6:$H$174)</f>
        <v>0</v>
      </c>
      <c r="Q61" s="56" t="n">
        <f aca="false">IF($A61&lt;1887,0,MAX(0,debt_floor*Economy!O61-(R60+P61+H61-C61-K61)))</f>
        <v>40.5107561816773</v>
      </c>
      <c r="R61" s="56" t="n">
        <f aca="false">R60+P61+H61-C61-K61+Q61</f>
        <v>221.754570890824</v>
      </c>
      <c r="S61" s="56" t="n">
        <f aca="false">S60+L61-F61-J61+Q61*issue_price*(1-dev_bonds)</f>
        <v>10.759879955441</v>
      </c>
      <c r="T61" s="72" t="n">
        <f aca="false">Loans!X61</f>
        <v>154.19245951502</v>
      </c>
      <c r="U61" s="56" t="n">
        <f aca="false">R61-M61-S61-T61</f>
        <v>-57.1455446287077</v>
      </c>
      <c r="V61" s="66" t="n">
        <f aca="false">R61/Economy!O61</f>
        <v>0.05</v>
      </c>
      <c r="W61" s="66" t="n">
        <f aca="false">Budget!X61/Budget!M61</f>
        <v>0.0186845793072028</v>
      </c>
      <c r="X61" s="66" t="n">
        <f aca="false">S61/Economy!O61</f>
        <v>0.00242607850476696</v>
      </c>
      <c r="Y61" s="56" t="n">
        <f aca="false">MAX(0,H61+Q61-'Gold &amp; money'!G61)</f>
        <v>40.5107561816773</v>
      </c>
    </row>
    <row r="62" customFormat="false" ht="14.25" hidden="false" customHeight="false" outlineLevel="0" collapsed="false">
      <c r="A62" s="61" t="n">
        <v>1902</v>
      </c>
      <c r="B62" s="56" t="n">
        <f aca="false">Loans!V62-Loans!W62</f>
        <v>-6.14590889857515</v>
      </c>
      <c r="C62" s="56" t="n">
        <f aca="false">R61*debt_amort</f>
        <v>4.43509141781648</v>
      </c>
      <c r="D62" s="56" t="n">
        <f aca="false">M61+Budget!Z62-B62-C62</f>
        <v>227.229210033004</v>
      </c>
      <c r="E62" s="56" t="n">
        <f aca="false">MAX(0.1,Budget!M62*cash_target)</f>
        <v>124.803482613653</v>
      </c>
      <c r="F62" s="56" t="n">
        <f aca="false">IF(D62&lt;E62,MIN(E62-D62,S61),0)</f>
        <v>0</v>
      </c>
      <c r="G62" s="56" t="n">
        <f aca="false">MAX(0,E62-D62-F62)</f>
        <v>0</v>
      </c>
      <c r="H62" s="56" t="n">
        <f aca="false">G62/issue_price</f>
        <v>0</v>
      </c>
      <c r="I62" s="56" t="n">
        <f aca="false">IF(AND(D62&gt;E62,$A62&gt;=dev_start),(D62-E62)*dev_share,0)</f>
        <v>71.6980091935459</v>
      </c>
      <c r="J62" s="56" t="n">
        <f aca="false">IF($A62&gt;=dev_start,MAX(0,S61-F62-reserve_buffer*Economy!O62),0)</f>
        <v>0</v>
      </c>
      <c r="K62" s="56" t="n">
        <f aca="false">IF(D62&gt;E62,MIN((D62-E62-I62)*repay_share,R61-C62),0)</f>
        <v>24.5821745806443</v>
      </c>
      <c r="L62" s="56" t="n">
        <f aca="false">IF(D62&gt;E62,D62-E62-I62-K62,0)</f>
        <v>6.14554364516107</v>
      </c>
      <c r="M62" s="56" t="n">
        <f aca="false">D62+F62+G62-I62-K62-L62</f>
        <v>124.803482613653</v>
      </c>
      <c r="N62" s="56" t="n">
        <f aca="false">I62+J62+Q62*issue_price*dev_bonds+SUMPRODUCT((Events!$B$6:$B$174&lt;=$A62)*(Events!$C$6:$C$174&gt;=$A62)*(Events!$E$6:$E$174="Investment")*Events!$H$6:$H$174)</f>
        <v>120.307179369356</v>
      </c>
      <c r="O62" s="56" t="n">
        <f aca="false">O61*(1-dev_dep)+N62</f>
        <v>658.721658827457</v>
      </c>
      <c r="P62" s="56" t="n">
        <f aca="false">SUMPRODUCT((Events!$B$6:$B$174&lt;=$A62)*(Events!$C$6:$C$174&gt;=$A62)*(Events!$E$6:$E$174="Debt assumed")*Events!$H$6:$H$174)</f>
        <v>0</v>
      </c>
      <c r="Q62" s="56" t="n">
        <f aca="false">IF($A62&lt;1887,0,MAX(0,debt_floor*Economy!O62-(R61+P62+H62-C62-K62)))</f>
        <v>50.112546573</v>
      </c>
      <c r="R62" s="56" t="n">
        <f aca="false">R61+P62+H62-C62-K62+Q62</f>
        <v>242.849851465363</v>
      </c>
      <c r="S62" s="56" t="n">
        <f aca="false">S61+L62-F62-J62+Q62*issue_price*(1-dev_bonds)</f>
        <v>16.905423600602</v>
      </c>
      <c r="T62" s="72" t="n">
        <f aca="false">Loans!X62</f>
        <v>148.046550616444</v>
      </c>
      <c r="U62" s="56" t="n">
        <f aca="false">R62-M62-S62-T62</f>
        <v>-46.9056053653364</v>
      </c>
      <c r="V62" s="66" t="n">
        <f aca="false">R62/Economy!O62</f>
        <v>0.05</v>
      </c>
      <c r="W62" s="66" t="n">
        <f aca="false">Budget!X62/Budget!M62</f>
        <v>0.0184346111567612</v>
      </c>
      <c r="X62" s="66" t="n">
        <f aca="false">S62/Economy!O62</f>
        <v>0.00348063288871585</v>
      </c>
      <c r="Y62" s="56" t="n">
        <f aca="false">MAX(0,H62+Q62-'Gold &amp; money'!G62)</f>
        <v>50.112546573</v>
      </c>
    </row>
    <row r="63" customFormat="false" ht="14.25" hidden="false" customHeight="false" outlineLevel="0" collapsed="false">
      <c r="A63" s="61" t="n">
        <v>1903</v>
      </c>
      <c r="B63" s="56" t="n">
        <f aca="false">Loans!V63-Loans!W63</f>
        <v>-5.90072622709291</v>
      </c>
      <c r="C63" s="56" t="n">
        <f aca="false">R62*debt_amort</f>
        <v>4.85699702930726</v>
      </c>
      <c r="D63" s="56" t="n">
        <f aca="false">M62+Budget!Z63-B63-C63</f>
        <v>251.743432418892</v>
      </c>
      <c r="E63" s="56" t="n">
        <f aca="false">MAX(0.1,Budget!M63*cash_target)</f>
        <v>136.80609827278</v>
      </c>
      <c r="F63" s="56" t="n">
        <f aca="false">IF(D63&lt;E63,MIN(E63-D63,S62),0)</f>
        <v>0</v>
      </c>
      <c r="G63" s="56" t="n">
        <f aca="false">MAX(0,E63-D63-F63)</f>
        <v>0</v>
      </c>
      <c r="H63" s="56" t="n">
        <f aca="false">G63/issue_price</f>
        <v>0</v>
      </c>
      <c r="I63" s="56" t="n">
        <f aca="false">IF(AND(D63&gt;E63,$A63&gt;=dev_start),(D63-E63)*dev_share,0)</f>
        <v>80.4561339022786</v>
      </c>
      <c r="J63" s="56" t="n">
        <f aca="false">IF($A63&gt;=dev_start,MAX(0,S62-F63-reserve_buffer*Economy!O63),0)</f>
        <v>0</v>
      </c>
      <c r="K63" s="56" t="n">
        <f aca="false">IF(D63&gt;E63,MIN((D63-E63-I63)*repay_share,R62-C63),0)</f>
        <v>27.5849601950669</v>
      </c>
      <c r="L63" s="56" t="n">
        <f aca="false">IF(D63&gt;E63,D63-E63-I63-K63,0)</f>
        <v>6.89624004876673</v>
      </c>
      <c r="M63" s="56" t="n">
        <f aca="false">D63+F63+G63-I63-K63-L63</f>
        <v>136.80609827278</v>
      </c>
      <c r="N63" s="56" t="n">
        <f aca="false">I63+J63+Q63*issue_price*dev_bonds+SUMPRODUCT((Events!$B$6:$B$174&lt;=$A63)*(Events!$C$6:$C$174&gt;=$A63)*(Events!$E$6:$E$174="Investment")*Events!$H$6:$H$174)</f>
        <v>134.59566733876</v>
      </c>
      <c r="O63" s="56" t="n">
        <f aca="false">O62*(1-dev_dep)+N63</f>
        <v>773.555676401393</v>
      </c>
      <c r="P63" s="56" t="n">
        <f aca="false">SUMPRODUCT((Events!$B$6:$B$174&lt;=$A63)*(Events!$C$6:$C$174&gt;=$A63)*(Events!$E$6:$E$174="Debt assumed")*Events!$H$6:$H$174)</f>
        <v>0</v>
      </c>
      <c r="Q63" s="56" t="n">
        <f aca="false">IF($A63&lt;1887,0,MAX(0,debt_floor*Economy!O63-(R62+P63+H63-C63-K63)))</f>
        <v>55.8139519963723</v>
      </c>
      <c r="R63" s="56" t="n">
        <f aca="false">R62+P63+H63-C63-K63+Q63</f>
        <v>266.221846237361</v>
      </c>
      <c r="S63" s="56" t="n">
        <f aca="false">S62+L63-F63-J63+Q63*issue_price*(1-dev_bonds)</f>
        <v>23.8016636493688</v>
      </c>
      <c r="T63" s="72" t="n">
        <f aca="false">Loans!X63</f>
        <v>142.145824389351</v>
      </c>
      <c r="U63" s="56" t="n">
        <f aca="false">R63-M63-S63-T63</f>
        <v>-36.531740074139</v>
      </c>
      <c r="V63" s="66" t="n">
        <f aca="false">R63/Economy!O63</f>
        <v>0.05</v>
      </c>
      <c r="W63" s="66" t="n">
        <f aca="false">Budget!X63/Budget!M63</f>
        <v>0.0181951755729243</v>
      </c>
      <c r="X63" s="66" t="n">
        <f aca="false">S63/Economy!O63</f>
        <v>0.00447026868488986</v>
      </c>
      <c r="Y63" s="56" t="n">
        <f aca="false">MAX(0,H63+Q63-'Gold &amp; money'!G63)</f>
        <v>55.8139519963723</v>
      </c>
    </row>
    <row r="64" customFormat="false" ht="14.25" hidden="false" customHeight="false" outlineLevel="0" collapsed="false">
      <c r="A64" s="61" t="n">
        <v>1904</v>
      </c>
      <c r="B64" s="56" t="n">
        <f aca="false">Loans!V64-Loans!W64</f>
        <v>24.3346687480639</v>
      </c>
      <c r="C64" s="56" t="n">
        <f aca="false">R63*debt_amort</f>
        <v>5.32443692474722</v>
      </c>
      <c r="D64" s="56" t="n">
        <f aca="false">M63+Budget!Z64-B64-C64</f>
        <v>243.600520281662</v>
      </c>
      <c r="E64" s="56" t="n">
        <f aca="false">MAX(0.1,Budget!M64*cash_target)</f>
        <v>149.718120350019</v>
      </c>
      <c r="F64" s="56" t="n">
        <f aca="false">IF(D64&lt;E64,MIN(E64-D64,S63),0)</f>
        <v>0</v>
      </c>
      <c r="G64" s="56" t="n">
        <f aca="false">MAX(0,E64-D64-F64)</f>
        <v>0</v>
      </c>
      <c r="H64" s="56" t="n">
        <f aca="false">G64/issue_price</f>
        <v>0</v>
      </c>
      <c r="I64" s="56" t="n">
        <f aca="false">IF(AND(D64&gt;E64,$A64&gt;=dev_start),(D64-E64)*dev_share,0)</f>
        <v>65.7176799521503</v>
      </c>
      <c r="J64" s="56" t="n">
        <f aca="false">IF($A64&gt;=dev_start,MAX(0,S63-F64-reserve_buffer*Economy!O64),0)</f>
        <v>0</v>
      </c>
      <c r="K64" s="56" t="n">
        <f aca="false">IF(D64&gt;E64,MIN((D64-E64-I64)*repay_share,R63-C64),0)</f>
        <v>22.5317759835944</v>
      </c>
      <c r="L64" s="56" t="n">
        <f aca="false">IF(D64&gt;E64,D64-E64-I64-K64,0)</f>
        <v>5.6329439958986</v>
      </c>
      <c r="M64" s="56" t="n">
        <f aca="false">D64+F64+G64-I64-K64-L64</f>
        <v>149.718120350019</v>
      </c>
      <c r="N64" s="56" t="n">
        <f aca="false">I64+J64+Q64*issue_price*dev_bonds+SUMPRODUCT((Events!$B$6:$B$174&lt;=$A64)*(Events!$C$6:$C$174&gt;=$A64)*(Events!$E$6:$E$174="Investment")*Events!$H$6:$H$174)</f>
        <v>117.49324367128</v>
      </c>
      <c r="O64" s="56" t="n">
        <f aca="false">O63*(1-dev_dep)+N64</f>
        <v>867.842249780631</v>
      </c>
      <c r="P64" s="56" t="n">
        <f aca="false">SUMPRODUCT((Events!$B$6:$B$174&lt;=$A64)*(Events!$C$6:$C$174&gt;=$A64)*(Events!$E$6:$E$174="Debt assumed")*Events!$H$6:$H$174)</f>
        <v>0</v>
      </c>
      <c r="Q64" s="56" t="n">
        <f aca="false">IF($A64&lt;1887,0,MAX(0,debt_floor*Economy!O64-(R63+P64+H64-C64-K64)))</f>
        <v>53.3768698135361</v>
      </c>
      <c r="R64" s="56" t="n">
        <f aca="false">R63+P64+H64-C64-K64+Q64</f>
        <v>291.742503142556</v>
      </c>
      <c r="S64" s="56" t="n">
        <f aca="false">S63+L64-F64-J64+Q64*issue_price*(1-dev_bonds)</f>
        <v>29.4346076452674</v>
      </c>
      <c r="T64" s="72" t="n">
        <f aca="false">Loans!X64</f>
        <v>166.480493137415</v>
      </c>
      <c r="U64" s="56" t="n">
        <f aca="false">R64-M64-S64-T64</f>
        <v>-53.8907179901458</v>
      </c>
      <c r="V64" s="66" t="n">
        <f aca="false">R64/Economy!O64</f>
        <v>0.05</v>
      </c>
      <c r="W64" s="66" t="n">
        <f aca="false">Budget!X64/Budget!M64</f>
        <v>0.0180038073337523</v>
      </c>
      <c r="X64" s="66" t="n">
        <f aca="false">S64/Economy!O64</f>
        <v>0.00504462108335387</v>
      </c>
      <c r="Y64" s="56" t="n">
        <f aca="false">MAX(0,H64+Q64-'Gold &amp; money'!G64)</f>
        <v>53.3768698135361</v>
      </c>
    </row>
    <row r="65" customFormat="false" ht="14.25" hidden="false" customHeight="false" outlineLevel="0" collapsed="false">
      <c r="A65" s="61" t="n">
        <v>1905</v>
      </c>
      <c r="B65" s="56" t="n">
        <f aca="false">Loans!V65-Loans!W65</f>
        <v>23.3606669464322</v>
      </c>
      <c r="C65" s="56" t="n">
        <f aca="false">R64*debt_amort</f>
        <v>5.83485006285111</v>
      </c>
      <c r="D65" s="56" t="n">
        <f aca="false">M64+Budget!Z65-B65-C65</f>
        <v>266.313710070596</v>
      </c>
      <c r="E65" s="56" t="n">
        <f aca="false">MAX(0.1,Budget!M65*cash_target)</f>
        <v>163.761320470212</v>
      </c>
      <c r="F65" s="56" t="n">
        <f aca="false">IF(D65&lt;E65,MIN(E65-D65,S64),0)</f>
        <v>0</v>
      </c>
      <c r="G65" s="56" t="n">
        <f aca="false">MAX(0,E65-D65-F65)</f>
        <v>0</v>
      </c>
      <c r="H65" s="56" t="n">
        <f aca="false">G65/issue_price</f>
        <v>0</v>
      </c>
      <c r="I65" s="56" t="n">
        <f aca="false">IF(AND(D65&gt;E65,$A65&gt;=dev_start),(D65-E65)*dev_share,0)</f>
        <v>71.7866727202688</v>
      </c>
      <c r="J65" s="56" t="n">
        <f aca="false">IF($A65&gt;=dev_start,MAX(0,S64-F65-reserve_buffer*Economy!O65),0)</f>
        <v>0</v>
      </c>
      <c r="K65" s="56" t="n">
        <f aca="false">IF(D65&gt;E65,MIN((D65-E65-I65)*repay_share,R64-C65),0)</f>
        <v>24.6125735040922</v>
      </c>
      <c r="L65" s="56" t="n">
        <f aca="false">IF(D65&gt;E65,D65-E65-I65-K65,0)</f>
        <v>6.15314337602304</v>
      </c>
      <c r="M65" s="56" t="n">
        <f aca="false">D65+F65+G65-I65-K65-L65</f>
        <v>163.761320470212</v>
      </c>
      <c r="N65" s="56" t="n">
        <f aca="false">I65+J65+Q65*issue_price*dev_bonds+SUMPRODUCT((Events!$B$6:$B$174&lt;=$A65)*(Events!$C$6:$C$174&gt;=$A65)*(Events!$E$6:$E$174="Investment")*Events!$H$6:$H$174)</f>
        <v>127.552638686095</v>
      </c>
      <c r="O65" s="56" t="n">
        <f aca="false">O64*(1-dev_dep)+N65</f>
        <v>969.359620973308</v>
      </c>
      <c r="P65" s="56" t="n">
        <f aca="false">SUMPRODUCT((Events!$B$6:$B$174&lt;=$A65)*(Events!$C$6:$C$174&gt;=$A65)*(Events!$E$6:$E$174="Debt assumed")*Events!$H$6:$H$174)</f>
        <v>0</v>
      </c>
      <c r="Q65" s="56" t="n">
        <f aca="false">IF($A65&lt;1887,0,MAX(0,debt_floor*Economy!O65-(R64+P65+H65-C65-K65)))</f>
        <v>57.4906865627078</v>
      </c>
      <c r="R65" s="56" t="n">
        <f aca="false">R64+P65+H65-C65-K65+Q65</f>
        <v>318.78576613832</v>
      </c>
      <c r="S65" s="56" t="n">
        <f aca="false">S64+L65-F65-J65+Q65*issue_price*(1-dev_bonds)</f>
        <v>35.5877510212904</v>
      </c>
      <c r="T65" s="72" t="n">
        <f aca="false">Loans!X65</f>
        <v>189.841160083847</v>
      </c>
      <c r="U65" s="56" t="n">
        <f aca="false">R65-M65-S65-T65</f>
        <v>-70.4044654370299</v>
      </c>
      <c r="V65" s="66" t="n">
        <f aca="false">R65/Economy!O65</f>
        <v>0.05</v>
      </c>
      <c r="W65" s="66" t="n">
        <f aca="false">Budget!X65/Budget!M65</f>
        <v>0.017815104464526</v>
      </c>
      <c r="X65" s="66" t="n">
        <f aca="false">S65/Economy!O65</f>
        <v>0.00558176600109696</v>
      </c>
      <c r="Y65" s="56" t="n">
        <f aca="false">MAX(0,H65+Q65-'Gold &amp; money'!G65)</f>
        <v>57.4906865627078</v>
      </c>
    </row>
    <row r="66" customFormat="false" ht="14.25" hidden="false" customHeight="false" outlineLevel="0" collapsed="false">
      <c r="A66" s="61" t="n">
        <v>1906</v>
      </c>
      <c r="B66" s="56" t="n">
        <f aca="false">Loans!V66-Loans!W66</f>
        <v>-7.57435633158298</v>
      </c>
      <c r="C66" s="56" t="n">
        <f aca="false">R65*debt_amort</f>
        <v>6.3757153227664</v>
      </c>
      <c r="D66" s="56" t="n">
        <f aca="false">M65+Budget!Z66-B66-C66</f>
        <v>322.988593910078</v>
      </c>
      <c r="E66" s="56" t="n">
        <f aca="false">MAX(0.1,Budget!M66*cash_target)</f>
        <v>181.103082990675</v>
      </c>
      <c r="F66" s="56" t="n">
        <f aca="false">IF(D66&lt;E66,MIN(E66-D66,S65),0)</f>
        <v>0</v>
      </c>
      <c r="G66" s="56" t="n">
        <f aca="false">MAX(0,E66-D66-F66)</f>
        <v>0</v>
      </c>
      <c r="H66" s="56" t="n">
        <f aca="false">G66/issue_price</f>
        <v>0</v>
      </c>
      <c r="I66" s="56" t="n">
        <f aca="false">IF(AND(D66&gt;E66,$A66&gt;=dev_start),(D66-E66)*dev_share,0)</f>
        <v>99.3198576435825</v>
      </c>
      <c r="J66" s="56" t="n">
        <f aca="false">IF($A66&gt;=dev_start,MAX(0,S65-F66-reserve_buffer*Economy!O66),0)</f>
        <v>0</v>
      </c>
      <c r="K66" s="56" t="n">
        <f aca="false">IF(D66&gt;E66,MIN((D66-E66-I66)*repay_share,R65-C66),0)</f>
        <v>34.0525226206569</v>
      </c>
      <c r="L66" s="56" t="n">
        <f aca="false">IF(D66&gt;E66,D66-E66-I66-K66,0)</f>
        <v>8.51313065516421</v>
      </c>
      <c r="M66" s="56" t="n">
        <f aca="false">D66+F66+G66-I66-K66-L66</f>
        <v>181.103082990675</v>
      </c>
      <c r="N66" s="56" t="n">
        <f aca="false">I66+J66+Q66*issue_price*dev_bonds+SUMPRODUCT((Events!$B$6:$B$174&lt;=$A66)*(Events!$C$6:$C$174&gt;=$A66)*(Events!$E$6:$E$174="Investment")*Events!$H$6:$H$174)</f>
        <v>172.859882158612</v>
      </c>
      <c r="O66" s="56" t="n">
        <f aca="false">O65*(1-dev_dep)+N66</f>
        <v>1113.13871450272</v>
      </c>
      <c r="P66" s="56" t="n">
        <f aca="false">SUMPRODUCT((Events!$B$6:$B$174&lt;=$A66)*(Events!$C$6:$C$174&gt;=$A66)*(Events!$E$6:$E$174="Debt assumed")*Events!$H$6:$H$174)</f>
        <v>0</v>
      </c>
      <c r="Q66" s="56" t="n">
        <f aca="false">IF($A66&lt;1887,0,MAX(0,debt_floor*Economy!O66-(R65+P66+H66-C66-K66)))</f>
        <v>74.577344860855</v>
      </c>
      <c r="R66" s="56" t="n">
        <f aca="false">R65+P66+H66-C66-K66+Q66</f>
        <v>352.934873055752</v>
      </c>
      <c r="S66" s="56" t="n">
        <f aca="false">S65+L66-F66-J66+Q66*issue_price*(1-dev_bonds)</f>
        <v>44.1008816764546</v>
      </c>
      <c r="T66" s="72" t="n">
        <f aca="false">Loans!X66</f>
        <v>182.266803752264</v>
      </c>
      <c r="U66" s="56" t="n">
        <f aca="false">R66-M66-S66-T66</f>
        <v>-54.5358953636419</v>
      </c>
      <c r="V66" s="66" t="n">
        <f aca="false">R66/Economy!O66</f>
        <v>0.05</v>
      </c>
      <c r="W66" s="66" t="n">
        <f aca="false">Budget!X66/Budget!M66</f>
        <v>0.0180865156626842</v>
      </c>
      <c r="X66" s="66" t="n">
        <f aca="false">S66/Economy!O66</f>
        <v>0.00624773648670985</v>
      </c>
      <c r="Y66" s="56" t="n">
        <f aca="false">MAX(0,H66+Q66-'Gold &amp; money'!G66)</f>
        <v>74.577344860855</v>
      </c>
    </row>
    <row r="67" customFormat="false" ht="14.25" hidden="false" customHeight="false" outlineLevel="0" collapsed="false">
      <c r="A67" s="61" t="n">
        <v>1907</v>
      </c>
      <c r="B67" s="56" t="n">
        <f aca="false">Loans!V67-Loans!W67</f>
        <v>-7.27196078047279</v>
      </c>
      <c r="C67" s="56" t="n">
        <f aca="false">R66*debt_amort</f>
        <v>7.05869746111504</v>
      </c>
      <c r="D67" s="56" t="n">
        <f aca="false">M66+Budget!Z67-B67-C67</f>
        <v>352.003756923409</v>
      </c>
      <c r="E67" s="56" t="n">
        <f aca="false">MAX(0.1,Budget!M67*cash_target)</f>
        <v>196.419659471183</v>
      </c>
      <c r="F67" s="56" t="n">
        <f aca="false">IF(D67&lt;E67,MIN(E67-D67,S66),0)</f>
        <v>0</v>
      </c>
      <c r="G67" s="56" t="n">
        <f aca="false">MAX(0,E67-D67-F67)</f>
        <v>0</v>
      </c>
      <c r="H67" s="56" t="n">
        <f aca="false">G67/issue_price</f>
        <v>0</v>
      </c>
      <c r="I67" s="56" t="n">
        <f aca="false">IF(AND(D67&gt;E67,$A67&gt;=dev_start),(D67-E67)*dev_share,0)</f>
        <v>108.908868216558</v>
      </c>
      <c r="J67" s="56" t="n">
        <f aca="false">IF($A67&gt;=dev_start,MAX(0,S66-F67-reserve_buffer*Economy!O67),0)</f>
        <v>0</v>
      </c>
      <c r="K67" s="56" t="n">
        <f aca="false">IF(D67&gt;E67,MIN((D67-E67-I67)*repay_share,R66-C67),0)</f>
        <v>37.3401833885342</v>
      </c>
      <c r="L67" s="56" t="n">
        <f aca="false">IF(D67&gt;E67,D67-E67-I67-K67,0)</f>
        <v>9.33504584713355</v>
      </c>
      <c r="M67" s="56" t="n">
        <f aca="false">D67+F67+G67-I67-K67-L67</f>
        <v>196.419659471183</v>
      </c>
      <c r="N67" s="56" t="n">
        <f aca="false">I67+J67+Q67*issue_price*dev_bonds+SUMPRODUCT((Events!$B$6:$B$174&lt;=$A67)*(Events!$C$6:$C$174&gt;=$A67)*(Events!$E$6:$E$174="Investment")*Events!$H$6:$H$174)</f>
        <v>183.738757941574</v>
      </c>
      <c r="O67" s="56" t="n">
        <f aca="false">O66*(1-dev_dep)+N67</f>
        <v>1263.48331100921</v>
      </c>
      <c r="P67" s="56" t="n">
        <f aca="false">SUMPRODUCT((Events!$B$6:$B$174&lt;=$A67)*(Events!$C$6:$C$174&gt;=$A67)*(Events!$E$6:$E$174="Debt assumed")*Events!$H$6:$H$174)</f>
        <v>0</v>
      </c>
      <c r="Q67" s="56" t="n">
        <f aca="false">IF($A67&lt;1887,0,MAX(0,debt_floor*Economy!O67-(R66+P67+H67-C67-K67)))</f>
        <v>75.9071028092944</v>
      </c>
      <c r="R67" s="56" t="n">
        <f aca="false">R66+P67+H67-C67-K67+Q67</f>
        <v>384.443095015397</v>
      </c>
      <c r="S67" s="56" t="n">
        <f aca="false">S66+L67-F67-J67+Q67*issue_price*(1-dev_bonds)</f>
        <v>53.4359275235882</v>
      </c>
      <c r="T67" s="72" t="n">
        <f aca="false">Loans!X67</f>
        <v>174.994842971792</v>
      </c>
      <c r="U67" s="56" t="n">
        <f aca="false">R67-M67-S67-T67</f>
        <v>-40.4073349511659</v>
      </c>
      <c r="V67" s="66" t="n">
        <f aca="false">R67/Economy!O67</f>
        <v>0.05</v>
      </c>
      <c r="W67" s="66" t="n">
        <f aca="false">Budget!X67/Budget!M67</f>
        <v>0.0189566712454486</v>
      </c>
      <c r="X67" s="66" t="n">
        <f aca="false">S67/Economy!O67</f>
        <v>0.00694978375427032</v>
      </c>
      <c r="Y67" s="56" t="n">
        <f aca="false">MAX(0,H67+Q67-'Gold &amp; money'!G67)</f>
        <v>75.9071028092944</v>
      </c>
    </row>
    <row r="68" customFormat="false" ht="14.25" hidden="false" customHeight="false" outlineLevel="0" collapsed="false">
      <c r="A68" s="61" t="n">
        <v>1908</v>
      </c>
      <c r="B68" s="56" t="n">
        <f aca="false">Loans!V68-Loans!W68</f>
        <v>-6.98164369034241</v>
      </c>
      <c r="C68" s="56" t="n">
        <f aca="false">R67*debt_amort</f>
        <v>7.68886190030794</v>
      </c>
      <c r="D68" s="56" t="n">
        <f aca="false">M67+Budget!Z68-B68-C68</f>
        <v>371.441692969481</v>
      </c>
      <c r="E68" s="56" t="n">
        <f aca="false">MAX(0.1,Budget!M68*cash_target)</f>
        <v>207.06608102</v>
      </c>
      <c r="F68" s="56" t="n">
        <f aca="false">IF(D68&lt;E68,MIN(E68-D68,S67),0)</f>
        <v>0</v>
      </c>
      <c r="G68" s="56" t="n">
        <f aca="false">MAX(0,E68-D68-F68)</f>
        <v>0</v>
      </c>
      <c r="H68" s="56" t="n">
        <f aca="false">G68/issue_price</f>
        <v>0</v>
      </c>
      <c r="I68" s="56" t="n">
        <f aca="false">IF(AND(D68&gt;E68,$A68&gt;=dev_start),(D68-E68)*dev_share,0)</f>
        <v>115.062928364637</v>
      </c>
      <c r="J68" s="56" t="n">
        <f aca="false">IF($A68&gt;=dev_start,MAX(0,S67-F68-reserve_buffer*Economy!O68),0)</f>
        <v>0</v>
      </c>
      <c r="K68" s="56" t="n">
        <f aca="false">IF(D68&gt;E68,MIN((D68-E68-I68)*repay_share,R67-C68),0)</f>
        <v>39.4501468678756</v>
      </c>
      <c r="L68" s="56" t="n">
        <f aca="false">IF(D68&gt;E68,D68-E68-I68-K68,0)</f>
        <v>9.8625367169689</v>
      </c>
      <c r="M68" s="56" t="n">
        <f aca="false">D68+F68+G68-I68-K68-L68</f>
        <v>207.06608102</v>
      </c>
      <c r="N68" s="56" t="n">
        <f aca="false">I68+J68+Q68*issue_price*dev_bonds+SUMPRODUCT((Events!$B$6:$B$174&lt;=$A68)*(Events!$C$6:$C$174&gt;=$A68)*(Events!$E$6:$E$174="Investment")*Events!$H$6:$H$174)</f>
        <v>184.38893349053</v>
      </c>
      <c r="O68" s="56" t="n">
        <f aca="false">O67*(1-dev_dep)+N68</f>
        <v>1409.96774516947</v>
      </c>
      <c r="P68" s="56" t="n">
        <f aca="false">SUMPRODUCT((Events!$B$6:$B$174&lt;=$A68)*(Events!$C$6:$C$174&gt;=$A68)*(Events!$E$6:$E$174="Debt assumed")*Events!$H$6:$H$174)</f>
        <v>0</v>
      </c>
      <c r="Q68" s="56" t="n">
        <f aca="false">IF($A68&lt;1887,0,MAX(0,debt_floor*Economy!O68-(R67+P68+H68-C68-K68)))</f>
        <v>70.2329949751469</v>
      </c>
      <c r="R68" s="56" t="n">
        <f aca="false">R67+P68+H68-C68-K68+Q68</f>
        <v>407.53708122236</v>
      </c>
      <c r="S68" s="56" t="n">
        <f aca="false">S67+L68-F68-J68+Q68*issue_price*(1-dev_bonds)</f>
        <v>63.2984642405571</v>
      </c>
      <c r="T68" s="72" t="n">
        <f aca="false">Loans!X68</f>
        <v>168.013199281449</v>
      </c>
      <c r="U68" s="56" t="n">
        <f aca="false">R68-M68-S68-T68</f>
        <v>-30.8406633196454</v>
      </c>
      <c r="V68" s="66" t="n">
        <f aca="false">R68/Economy!O68</f>
        <v>0.05</v>
      </c>
      <c r="W68" s="66" t="n">
        <f aca="false">Budget!X68/Budget!M68</f>
        <v>0.020097915037759</v>
      </c>
      <c r="X68" s="66" t="n">
        <f aca="false">S68/Economy!O68</f>
        <v>0.00776597604943097</v>
      </c>
      <c r="Y68" s="56" t="n">
        <f aca="false">MAX(0,H68+Q68-'Gold &amp; money'!G68)</f>
        <v>70.2329949751469</v>
      </c>
    </row>
    <row r="69" customFormat="false" ht="14.25" hidden="false" customHeight="false" outlineLevel="0" collapsed="false">
      <c r="A69" s="61" t="n">
        <v>1909</v>
      </c>
      <c r="B69" s="56" t="n">
        <f aca="false">Loans!V69-Loans!W69</f>
        <v>-6.7029224435846</v>
      </c>
      <c r="C69" s="56" t="n">
        <f aca="false">R68*debt_amort</f>
        <v>8.15074162444721</v>
      </c>
      <c r="D69" s="56" t="n">
        <f aca="false">M68+Budget!Z69-B69-C69</f>
        <v>406.78184891829</v>
      </c>
      <c r="E69" s="56" t="n">
        <f aca="false">MAX(0.1,Budget!M69*cash_target)</f>
        <v>237.846388495248</v>
      </c>
      <c r="F69" s="56" t="n">
        <f aca="false">IF(D69&lt;E69,MIN(E69-D69,S68),0)</f>
        <v>0</v>
      </c>
      <c r="G69" s="56" t="n">
        <f aca="false">MAX(0,E69-D69-F69)</f>
        <v>0</v>
      </c>
      <c r="H69" s="56" t="n">
        <f aca="false">G69/issue_price</f>
        <v>0</v>
      </c>
      <c r="I69" s="56" t="n">
        <f aca="false">IF(AND(D69&gt;E69,$A69&gt;=dev_start),(D69-E69)*dev_share,0)</f>
        <v>118.254822296129</v>
      </c>
      <c r="J69" s="56" t="n">
        <f aca="false">IF($A69&gt;=dev_start,MAX(0,S68-F69-reserve_buffer*Economy!O69),0)</f>
        <v>0</v>
      </c>
      <c r="K69" s="56" t="n">
        <f aca="false">IF(D69&gt;E69,MIN((D69-E69-I69)*repay_share,R68-C69),0)</f>
        <v>40.54451050153</v>
      </c>
      <c r="L69" s="56" t="n">
        <f aca="false">IF(D69&gt;E69,D69-E69-I69-K69,0)</f>
        <v>10.1361276253825</v>
      </c>
      <c r="M69" s="56" t="n">
        <f aca="false">D69+F69+G69-I69-K69-L69</f>
        <v>237.846388495248</v>
      </c>
      <c r="N69" s="56" t="n">
        <f aca="false">I69+J69+Q69*issue_price*dev_bonds+SUMPRODUCT((Events!$B$6:$B$174&lt;=$A69)*(Events!$C$6:$C$174&gt;=$A69)*(Events!$E$6:$E$174="Investment")*Events!$H$6:$H$174)</f>
        <v>227.040560406612</v>
      </c>
      <c r="O69" s="56" t="n">
        <f aca="false">O68*(1-dev_dep)+N69</f>
        <v>1594.70927322099</v>
      </c>
      <c r="P69" s="56" t="n">
        <f aca="false">SUMPRODUCT((Events!$B$6:$B$174&lt;=$A69)*(Events!$C$6:$C$174&gt;=$A69)*(Events!$E$6:$E$174="Debt assumed")*Events!$H$6:$H$174)</f>
        <v>0</v>
      </c>
      <c r="Q69" s="56" t="n">
        <f aca="false">IF($A69&lt;1887,0,MAX(0,debt_floor*Economy!O69-(R68+P69+H69-C69-K69)))</f>
        <v>110.913132072662</v>
      </c>
      <c r="R69" s="56" t="n">
        <f aca="false">R68+P69+H69-C69-K69+Q69</f>
        <v>469.754961169045</v>
      </c>
      <c r="S69" s="56" t="n">
        <f aca="false">S68+L69-F69-J69+Q69*issue_price*(1-dev_bonds)</f>
        <v>73.4345918659396</v>
      </c>
      <c r="T69" s="72" t="n">
        <f aca="false">Loans!X69</f>
        <v>161.310276837865</v>
      </c>
      <c r="U69" s="56" t="n">
        <f aca="false">R69-M69-S69-T69</f>
        <v>-2.83629603000708</v>
      </c>
      <c r="V69" s="66" t="n">
        <f aca="false">R69/Economy!O69</f>
        <v>0.05</v>
      </c>
      <c r="W69" s="66" t="n">
        <f aca="false">Budget!X69/Budget!M69</f>
        <v>0.0190192570515258</v>
      </c>
      <c r="X69" s="66" t="n">
        <f aca="false">S69/Economy!O69</f>
        <v>0.00781626570618735</v>
      </c>
      <c r="Y69" s="56" t="n">
        <f aca="false">MAX(0,H69+Q69-'Gold &amp; money'!G69)</f>
        <v>110.913132072662</v>
      </c>
    </row>
    <row r="70" customFormat="false" ht="14.25" hidden="false" customHeight="false" outlineLevel="0" collapsed="false">
      <c r="A70" s="61" t="n">
        <v>1910</v>
      </c>
      <c r="B70" s="56" t="n">
        <f aca="false">Loans!V70-Loans!W70</f>
        <v>-6.43533371167141</v>
      </c>
      <c r="C70" s="56" t="n">
        <f aca="false">R69*debt_amort</f>
        <v>9.39509922338091</v>
      </c>
      <c r="D70" s="56" t="n">
        <f aca="false">M69+Budget!Z70-B70-C70</f>
        <v>450.251752588278</v>
      </c>
      <c r="E70" s="56" t="n">
        <f aca="false">MAX(0.1,Budget!M70*cash_target)</f>
        <v>259.968082171001</v>
      </c>
      <c r="F70" s="56" t="n">
        <f aca="false">IF(D70&lt;E70,MIN(E70-D70,S69),0)</f>
        <v>0</v>
      </c>
      <c r="G70" s="56" t="n">
        <f aca="false">MAX(0,E70-D70-F70)</f>
        <v>0</v>
      </c>
      <c r="H70" s="56" t="n">
        <f aca="false">G70/issue_price</f>
        <v>0</v>
      </c>
      <c r="I70" s="56" t="n">
        <f aca="false">IF(AND(D70&gt;E70,$A70&gt;=dev_start),(D70-E70)*dev_share,0)</f>
        <v>133.198569292094</v>
      </c>
      <c r="J70" s="56" t="n">
        <f aca="false">IF($A70&gt;=dev_start,MAX(0,S69-F70-reserve_buffer*Economy!O70),0)</f>
        <v>0</v>
      </c>
      <c r="K70" s="56" t="n">
        <f aca="false">IF(D70&gt;E70,MIN((D70-E70-I70)*repay_share,R69-C70),0)</f>
        <v>45.6680809001464</v>
      </c>
      <c r="L70" s="56" t="n">
        <f aca="false">IF(D70&gt;E70,D70-E70-I70-K70,0)</f>
        <v>11.4170202250366</v>
      </c>
      <c r="M70" s="56" t="n">
        <f aca="false">D70+F70+G70-I70-K70-L70</f>
        <v>259.968082171001</v>
      </c>
      <c r="N70" s="56" t="n">
        <f aca="false">I70+J70+Q70*issue_price*dev_bonds+SUMPRODUCT((Events!$B$6:$B$174&lt;=$A70)*(Events!$C$6:$C$174&gt;=$A70)*(Events!$E$6:$E$174="Investment")*Events!$H$6:$H$174)</f>
        <v>231.179137033731</v>
      </c>
      <c r="O70" s="56" t="n">
        <f aca="false">O69*(1-dev_dep)+N70</f>
        <v>1778.04713205809</v>
      </c>
      <c r="P70" s="56" t="n">
        <f aca="false">SUMPRODUCT((Events!$B$6:$B$174&lt;=$A70)*(Events!$C$6:$C$174&gt;=$A70)*(Events!$E$6:$E$174="Debt assumed")*Events!$H$6:$H$174)</f>
        <v>0</v>
      </c>
      <c r="Q70" s="56" t="n">
        <f aca="false">IF($A70&lt;1887,0,MAX(0,debt_floor*Economy!O70-(R69+P70+H70-C70-K70)))</f>
        <v>99.773781176946</v>
      </c>
      <c r="R70" s="56" t="n">
        <f aca="false">R69+P70+H70-C70-K70+Q70</f>
        <v>514.465562222464</v>
      </c>
      <c r="S70" s="56" t="n">
        <f aca="false">S69+L70-F70-J70+Q70*issue_price*(1-dev_bonds)</f>
        <v>84.8516120909762</v>
      </c>
      <c r="T70" s="72" t="n">
        <f aca="false">Loans!X70</f>
        <v>154.874943126193</v>
      </c>
      <c r="U70" s="56" t="n">
        <f aca="false">R70-M70-S70-T70</f>
        <v>14.7709248342932</v>
      </c>
      <c r="V70" s="66" t="n">
        <f aca="false">R70/Economy!O70</f>
        <v>0.05</v>
      </c>
      <c r="W70" s="66" t="n">
        <f aca="false">Budget!X70/Budget!M70</f>
        <v>0.020599477107365</v>
      </c>
      <c r="X70" s="66" t="n">
        <f aca="false">S70/Economy!O70</f>
        <v>0.00824657842251109</v>
      </c>
      <c r="Y70" s="56" t="n">
        <f aca="false">MAX(0,H70+Q70-'Gold &amp; money'!G70)</f>
        <v>99.773781176946</v>
      </c>
    </row>
    <row r="71" customFormat="false" ht="14.25" hidden="false" customHeight="false" outlineLevel="0" collapsed="false">
      <c r="A71" s="61" t="n">
        <v>1911</v>
      </c>
      <c r="B71" s="56" t="n">
        <f aca="false">Loans!V71-Loans!W71</f>
        <v>-6.17843268405985</v>
      </c>
      <c r="C71" s="56" t="n">
        <f aca="false">R70*debt_amort</f>
        <v>10.2893112444493</v>
      </c>
      <c r="D71" s="56" t="n">
        <f aca="false">M70+Budget!Z71-B71-C71</f>
        <v>480.618390175106</v>
      </c>
      <c r="E71" s="56" t="n">
        <f aca="false">MAX(0.1,Budget!M71*cash_target)</f>
        <v>282.743501919854</v>
      </c>
      <c r="F71" s="56" t="n">
        <f aca="false">IF(D71&lt;E71,MIN(E71-D71,S70),0)</f>
        <v>0</v>
      </c>
      <c r="G71" s="56" t="n">
        <f aca="false">MAX(0,E71-D71-F71)</f>
        <v>0</v>
      </c>
      <c r="H71" s="56" t="n">
        <f aca="false">G71/issue_price</f>
        <v>0</v>
      </c>
      <c r="I71" s="56" t="n">
        <f aca="false">IF(AND(D71&gt;E71,$A71&gt;=dev_start),(D71-E71)*dev_share,0)</f>
        <v>138.512421778677</v>
      </c>
      <c r="J71" s="56" t="n">
        <f aca="false">IF($A71&gt;=dev_start,MAX(0,S70-F71-reserve_buffer*Economy!O71),0)</f>
        <v>0</v>
      </c>
      <c r="K71" s="56" t="n">
        <f aca="false">IF(D71&gt;E71,MIN((D71-E71-I71)*repay_share,R70-C71),0)</f>
        <v>47.4899731812607</v>
      </c>
      <c r="L71" s="56" t="n">
        <f aca="false">IF(D71&gt;E71,D71-E71-I71-K71,0)</f>
        <v>11.8724932953152</v>
      </c>
      <c r="M71" s="56" t="n">
        <f aca="false">D71+F71+G71-I71-K71-L71</f>
        <v>282.743501919854</v>
      </c>
      <c r="N71" s="56" t="n">
        <f aca="false">I71+J71+Q71*issue_price*dev_bonds+SUMPRODUCT((Events!$B$6:$B$174&lt;=$A71)*(Events!$C$6:$C$174&gt;=$A71)*(Events!$E$6:$E$174="Investment")*Events!$H$6:$H$174)</f>
        <v>240.617046271642</v>
      </c>
      <c r="O71" s="56" t="n">
        <f aca="false">O70*(1-dev_dep)+N71</f>
        <v>1965.32276436799</v>
      </c>
      <c r="P71" s="56" t="n">
        <f aca="false">SUMPRODUCT((Events!$B$6:$B$174&lt;=$A71)*(Events!$C$6:$C$174&gt;=$A71)*(Events!$E$6:$E$174="Debt assumed")*Events!$H$6:$H$174)</f>
        <v>0</v>
      </c>
      <c r="Q71" s="56" t="n">
        <f aca="false">IF($A71&lt;1887,0,MAX(0,debt_floor*Economy!O71-(R70+P71+H71-C71-K71)))</f>
        <v>104.025386075222</v>
      </c>
      <c r="R71" s="56" t="n">
        <f aca="false">R70+P71+H71-C71-K71+Q71</f>
        <v>560.711663871976</v>
      </c>
      <c r="S71" s="56" t="n">
        <f aca="false">S70+L71-F71-J71+Q71*issue_price*(1-dev_bonds)</f>
        <v>96.7241053862913</v>
      </c>
      <c r="T71" s="72" t="n">
        <f aca="false">Loans!X71</f>
        <v>148.696510442133</v>
      </c>
      <c r="U71" s="56" t="n">
        <f aca="false">R71-M71-S71-T71</f>
        <v>32.5475461236977</v>
      </c>
      <c r="V71" s="66" t="n">
        <f aca="false">R71/Economy!O71</f>
        <v>0.05</v>
      </c>
      <c r="W71" s="66" t="n">
        <f aca="false">Budget!X71/Budget!M71</f>
        <v>0.0212432306955363</v>
      </c>
      <c r="X71" s="66" t="n">
        <f aca="false">S71/Economy!O71</f>
        <v>0.00862511979137069</v>
      </c>
      <c r="Y71" s="56" t="n">
        <f aca="false">MAX(0,H71+Q71-'Gold &amp; money'!G71)</f>
        <v>104.025386075222</v>
      </c>
    </row>
    <row r="72" customFormat="false" ht="14.25" hidden="false" customHeight="false" outlineLevel="0" collapsed="false">
      <c r="A72" s="61" t="n">
        <v>1912</v>
      </c>
      <c r="B72" s="56" t="n">
        <f aca="false">Loans!V72-Loans!W72</f>
        <v>-5.93179232792709</v>
      </c>
      <c r="C72" s="56" t="n">
        <f aca="false">R71*debt_amort</f>
        <v>11.2142332774395</v>
      </c>
      <c r="D72" s="56" t="n">
        <f aca="false">M71+Budget!Z72-B72-C72</f>
        <v>519.889955116012</v>
      </c>
      <c r="E72" s="56" t="n">
        <f aca="false">MAX(0.1,Budget!M72*cash_target)</f>
        <v>307.545673572216</v>
      </c>
      <c r="F72" s="56" t="n">
        <f aca="false">IF(D72&lt;E72,MIN(E72-D72,S71),0)</f>
        <v>0</v>
      </c>
      <c r="G72" s="56" t="n">
        <f aca="false">MAX(0,E72-D72-F72)</f>
        <v>0</v>
      </c>
      <c r="H72" s="56" t="n">
        <f aca="false">G72/issue_price</f>
        <v>0</v>
      </c>
      <c r="I72" s="56" t="n">
        <f aca="false">IF(AND(D72&gt;E72,$A72&gt;=dev_start),(D72-E72)*dev_share,0)</f>
        <v>148.640997080657</v>
      </c>
      <c r="J72" s="56" t="n">
        <f aca="false">IF($A72&gt;=dev_start,MAX(0,S71-F72-reserve_buffer*Economy!O72),0)</f>
        <v>0</v>
      </c>
      <c r="K72" s="56" t="n">
        <f aca="false">IF(D72&gt;E72,MIN((D72-E72-I72)*repay_share,R71-C72),0)</f>
        <v>50.962627570511</v>
      </c>
      <c r="L72" s="56" t="n">
        <f aca="false">IF(D72&gt;E72,D72-E72-I72-K72,0)</f>
        <v>12.7406568926277</v>
      </c>
      <c r="M72" s="56" t="n">
        <f aca="false">D72+F72+G72-I72-K72-L72</f>
        <v>307.545673572216</v>
      </c>
      <c r="N72" s="56" t="n">
        <f aca="false">I72+J72+Q72*issue_price*dev_bonds+SUMPRODUCT((Events!$B$6:$B$174&lt;=$A72)*(Events!$C$6:$C$174&gt;=$A72)*(Events!$E$6:$E$174="Investment")*Events!$H$6:$H$174)</f>
        <v>259.46661676363</v>
      </c>
      <c r="O72" s="56" t="n">
        <f aca="false">O71*(1-dev_dep)+N72</f>
        <v>2165.82969820058</v>
      </c>
      <c r="P72" s="56" t="n">
        <f aca="false">SUMPRODUCT((Events!$B$6:$B$174&lt;=$A72)*(Events!$C$6:$C$174&gt;=$A72)*(Events!$E$6:$E$174="Debt assumed")*Events!$H$6:$H$174)</f>
        <v>0</v>
      </c>
      <c r="Q72" s="56" t="n">
        <f aca="false">IF($A72&lt;1887,0,MAX(0,debt_floor*Economy!O72-(R71+P72+H72-C72-K72)))</f>
        <v>113.016102765951</v>
      </c>
      <c r="R72" s="56" t="n">
        <f aca="false">R71+P72+H72-C72-K72+Q72</f>
        <v>611.550905789976</v>
      </c>
      <c r="S72" s="56" t="n">
        <f aca="false">S71+L72-F72-J72+Q72*issue_price*(1-dev_bonds)</f>
        <v>109.464762278919</v>
      </c>
      <c r="T72" s="72" t="n">
        <f aca="false">Loans!X72</f>
        <v>142.764718114206</v>
      </c>
      <c r="U72" s="56" t="n">
        <f aca="false">R72-M72-S72-T72</f>
        <v>51.7757518246349</v>
      </c>
      <c r="V72" s="66" t="n">
        <f aca="false">R72/Economy!O72</f>
        <v>0.05</v>
      </c>
      <c r="W72" s="66" t="n">
        <f aca="false">Budget!X72/Budget!M72</f>
        <v>0.0217870220882712</v>
      </c>
      <c r="X72" s="66" t="n">
        <f aca="false">S72/Economy!O72</f>
        <v>0.0089497669975255</v>
      </c>
      <c r="Y72" s="56" t="n">
        <f aca="false">MAX(0,H72+Q72-'Gold &amp; money'!G72)</f>
        <v>113.016102765951</v>
      </c>
    </row>
    <row r="73" customFormat="false" ht="14.25" hidden="false" customHeight="false" outlineLevel="0" collapsed="false">
      <c r="A73" s="61" t="n">
        <v>1913</v>
      </c>
      <c r="B73" s="56" t="n">
        <f aca="false">Loans!V73-Loans!W73</f>
        <v>-5.69500267750276</v>
      </c>
      <c r="C73" s="56" t="n">
        <f aca="false">R72*debt_amort</f>
        <v>12.2310181157995</v>
      </c>
      <c r="D73" s="56" t="n">
        <f aca="false">M72+Budget!Z73-B73-C73</f>
        <v>557.819328676704</v>
      </c>
      <c r="E73" s="56" t="n">
        <f aca="false">MAX(0.1,Budget!M73*cash_target)</f>
        <v>334.045171070678</v>
      </c>
      <c r="F73" s="56" t="n">
        <f aca="false">IF(D73&lt;E73,MIN(E73-D73,S72),0)</f>
        <v>0</v>
      </c>
      <c r="G73" s="56" t="n">
        <f aca="false">MAX(0,E73-D73-F73)</f>
        <v>0</v>
      </c>
      <c r="H73" s="56" t="n">
        <f aca="false">G73/issue_price</f>
        <v>0</v>
      </c>
      <c r="I73" s="56" t="n">
        <f aca="false">IF(AND(D73&gt;E73,$A73&gt;=dev_start),(D73-E73)*dev_share,0)</f>
        <v>156.641910324218</v>
      </c>
      <c r="J73" s="56" t="n">
        <f aca="false">IF($A73&gt;=dev_start,MAX(0,S72-F73-reserve_buffer*Economy!O73),0)</f>
        <v>0</v>
      </c>
      <c r="K73" s="56" t="n">
        <f aca="false">IF(D73&gt;E73,MIN((D73-E73-I73)*repay_share,R72-C73),0)</f>
        <v>53.7057978254461</v>
      </c>
      <c r="L73" s="56" t="n">
        <f aca="false">IF(D73&gt;E73,D73-E73-I73-K73,0)</f>
        <v>13.4264494563615</v>
      </c>
      <c r="M73" s="56" t="n">
        <f aca="false">D73+F73+G73-I73-K73-L73</f>
        <v>334.045171070678</v>
      </c>
      <c r="N73" s="56" t="n">
        <f aca="false">I73+J73+Q73*issue_price*dev_bonds+SUMPRODUCT((Events!$B$6:$B$174&lt;=$A73)*(Events!$C$6:$C$174&gt;=$A73)*(Events!$E$6:$E$174="Investment")*Events!$H$6:$H$174)</f>
        <v>274.333787539696</v>
      </c>
      <c r="O73" s="56" t="n">
        <f aca="false">O72*(1-dev_dep)+N73</f>
        <v>2375.18859479426</v>
      </c>
      <c r="P73" s="56" t="n">
        <f aca="false">SUMPRODUCT((Events!$B$6:$B$174&lt;=$A73)*(Events!$C$6:$C$174&gt;=$A73)*(Events!$E$6:$E$174="Debt assumed")*Events!$H$6:$H$174)</f>
        <v>0</v>
      </c>
      <c r="Q73" s="56" t="n">
        <f aca="false">IF($A73&lt;1887,0,MAX(0,debt_floor*Economy!O73-(R72+P73+H73-C73-K73)))</f>
        <v>120.094718778844</v>
      </c>
      <c r="R73" s="56" t="n">
        <f aca="false">R72+P73+H73-C73-K73+Q73</f>
        <v>665.708808627575</v>
      </c>
      <c r="S73" s="56" t="n">
        <f aca="false">S72+L73-F73-J73+Q73*issue_price*(1-dev_bonds)</f>
        <v>122.891211735281</v>
      </c>
      <c r="T73" s="72" t="n">
        <f aca="false">Loans!X73</f>
        <v>137.069715436704</v>
      </c>
      <c r="U73" s="56" t="n">
        <f aca="false">R73-M73-S73-T73</f>
        <v>71.7027103849121</v>
      </c>
      <c r="V73" s="66" t="n">
        <f aca="false">R73/Economy!O73</f>
        <v>0.05</v>
      </c>
      <c r="W73" s="66" t="n">
        <f aca="false">Budget!X73/Budget!M73</f>
        <v>0.0223808349012195</v>
      </c>
      <c r="X73" s="66" t="n">
        <f aca="false">S73/Economy!O73</f>
        <v>0.0092301025720715</v>
      </c>
      <c r="Y73" s="56" t="n">
        <f aca="false">MAX(0,H73+Q73-'Gold &amp; money'!G73)</f>
        <v>120.094718778844</v>
      </c>
    </row>
    <row r="74" customFormat="false" ht="14.25" hidden="false" customHeight="false" outlineLevel="0" collapsed="false">
      <c r="A74" s="64" t="n">
        <v>1914</v>
      </c>
      <c r="B74" s="56" t="n">
        <f aca="false">Loans!V74-Loans!W74</f>
        <v>79.577685245146</v>
      </c>
      <c r="C74" s="56" t="n">
        <f aca="false">R73*debt_amort</f>
        <v>13.3141761725515</v>
      </c>
      <c r="D74" s="56" t="n">
        <f aca="false">M73+Budget!Z74-B74-C74</f>
        <v>469.293049672058</v>
      </c>
      <c r="E74" s="56" t="n">
        <f aca="false">MAX(0.1,Budget!M74*cash_target)</f>
        <v>347.554413844976</v>
      </c>
      <c r="F74" s="56" t="n">
        <f aca="false">IF(D74&lt;E74,MIN(E74-D74,S73),0)</f>
        <v>0</v>
      </c>
      <c r="G74" s="56" t="n">
        <f aca="false">MAX(0,E74-D74-F74)</f>
        <v>0</v>
      </c>
      <c r="H74" s="56" t="n">
        <f aca="false">G74/issue_price</f>
        <v>0</v>
      </c>
      <c r="I74" s="56" t="n">
        <f aca="false">IF(AND(D74&gt;E74,$A74&gt;=dev_start),(D74-E74)*dev_share,0)</f>
        <v>85.2170450789573</v>
      </c>
      <c r="J74" s="56" t="n">
        <f aca="false">IF($A74&gt;=dev_start,MAX(0,S73-F74-reserve_buffer*Economy!O74),0)</f>
        <v>0</v>
      </c>
      <c r="K74" s="56" t="n">
        <f aca="false">IF(D74&gt;E74,MIN((D74-E74-I74)*repay_share,R73-C74),0)</f>
        <v>29.2172725984997</v>
      </c>
      <c r="L74" s="56" t="n">
        <f aca="false">IF(D74&gt;E74,D74-E74-I74-K74,0)</f>
        <v>7.30431814962492</v>
      </c>
      <c r="M74" s="56" t="n">
        <f aca="false">D74+F74+G74-I74-K74-L74</f>
        <v>347.554413844976</v>
      </c>
      <c r="N74" s="56" t="n">
        <f aca="false">I74+J74+Q74*issue_price*dev_bonds+SUMPRODUCT((Events!$B$6:$B$174&lt;=$A74)*(Events!$C$6:$C$174&gt;=$A74)*(Events!$E$6:$E$174="Investment")*Events!$H$6:$H$174)</f>
        <v>145.670162198493</v>
      </c>
      <c r="O74" s="56" t="n">
        <f aca="false">O73*(1-dev_dep)+N74</f>
        <v>2449.60309914893</v>
      </c>
      <c r="P74" s="56" t="n">
        <f aca="false">SUMPRODUCT((Events!$B$6:$B$174&lt;=$A74)*(Events!$C$6:$C$174&gt;=$A74)*(Events!$E$6:$E$174="Debt assumed")*Events!$H$6:$H$174)</f>
        <v>9.5</v>
      </c>
      <c r="Q74" s="56" t="n">
        <f aca="false">IF($A74&lt;1887,0,MAX(0,debt_floor*Economy!O74-(R73+P74+H74-C74-K74)))</f>
        <v>61.0856877520986</v>
      </c>
      <c r="R74" s="56" t="n">
        <f aca="false">R73+P74+H74-C74-K74+Q74</f>
        <v>693.763047608622</v>
      </c>
      <c r="S74" s="56" t="n">
        <f aca="false">S73+L74-F74-J74+Q74*issue_price*(1-dev_bonds)</f>
        <v>130.195529884906</v>
      </c>
      <c r="T74" s="72" t="n">
        <f aca="false">Loans!X74</f>
        <v>216.64740068185</v>
      </c>
      <c r="U74" s="56" t="n">
        <f aca="false">R74-M74-S74-T74</f>
        <v>-0.634296803109237</v>
      </c>
      <c r="V74" s="66" t="n">
        <f aca="false">R74/Economy!O74</f>
        <v>0.05</v>
      </c>
      <c r="W74" s="66" t="n">
        <f aca="false">Budget!X74/Budget!M74</f>
        <v>0.0239426109304322</v>
      </c>
      <c r="X74" s="66" t="n">
        <f aca="false">S74/Economy!O74</f>
        <v>0.00938328513846948</v>
      </c>
      <c r="Y74" s="56" t="n">
        <f aca="false">MAX(0,H74+Q74-'Gold &amp; money'!G74)</f>
        <v>61.0856877520986</v>
      </c>
    </row>
    <row r="75" customFormat="false" ht="14.25" hidden="false" customHeight="false" outlineLevel="0" collapsed="false">
      <c r="A75" s="64" t="n">
        <v>1915</v>
      </c>
      <c r="B75" s="56" t="n">
        <f aca="false">Loans!V75-Loans!W75</f>
        <v>221.40457783534</v>
      </c>
      <c r="C75" s="56" t="n">
        <f aca="false">R74*debt_amort</f>
        <v>13.8752609521724</v>
      </c>
      <c r="D75" s="56" t="n">
        <f aca="false">M74+Budget!Z75-B75-C75</f>
        <v>597.425656489832</v>
      </c>
      <c r="E75" s="56" t="n">
        <f aca="false">MAX(0.1,Budget!M75*cash_target)</f>
        <v>459.894213540569</v>
      </c>
      <c r="F75" s="56" t="n">
        <f aca="false">IF(D75&lt;E75,MIN(E75-D75,S74),0)</f>
        <v>0</v>
      </c>
      <c r="G75" s="56" t="n">
        <f aca="false">MAX(0,E75-D75-F75)</f>
        <v>0</v>
      </c>
      <c r="H75" s="56" t="n">
        <f aca="false">G75/issue_price</f>
        <v>0</v>
      </c>
      <c r="I75" s="56" t="n">
        <f aca="false">IF(AND(D75&gt;E75,$A75&gt;=dev_start),(D75-E75)*dev_share,0)</f>
        <v>96.2720100644841</v>
      </c>
      <c r="J75" s="56" t="n">
        <f aca="false">IF($A75&gt;=dev_start,MAX(0,S74-F75-reserve_buffer*Economy!O75),0)</f>
        <v>0</v>
      </c>
      <c r="K75" s="56" t="n">
        <f aca="false">IF(D75&gt;E75,MIN((D75-E75-I75)*repay_share,R74-C75),0)</f>
        <v>33.0075463078231</v>
      </c>
      <c r="L75" s="56" t="n">
        <f aca="false">IF(D75&gt;E75,D75-E75-I75-K75,0)</f>
        <v>8.25188657695578</v>
      </c>
      <c r="M75" s="56" t="n">
        <f aca="false">D75+F75+G75-I75-K75-L75</f>
        <v>459.894213540569</v>
      </c>
      <c r="N75" s="56" t="n">
        <f aca="false">I75+J75+Q75*issue_price*dev_bonds+SUMPRODUCT((Events!$B$6:$B$174&lt;=$A75)*(Events!$C$6:$C$174&gt;=$A75)*(Events!$E$6:$E$174="Investment")*Events!$H$6:$H$174)</f>
        <v>223.028327082464</v>
      </c>
      <c r="O75" s="56" t="n">
        <f aca="false">O74*(1-dev_dep)+N75</f>
        <v>2599.14333325692</v>
      </c>
      <c r="P75" s="56" t="n">
        <f aca="false">SUMPRODUCT((Events!$B$6:$B$174&lt;=$A75)*(Events!$C$6:$C$174&gt;=$A75)*(Events!$E$6:$E$174="Debt assumed")*Events!$H$6:$H$174)</f>
        <v>0</v>
      </c>
      <c r="Q75" s="56" t="n">
        <f aca="false">IF($A75&lt;1887,0,MAX(0,debt_floor*Economy!O75-(R74+P75+H75-C75-K75)))</f>
        <v>129.439502080391</v>
      </c>
      <c r="R75" s="56" t="n">
        <f aca="false">R74+P75+H75-C75-K75+Q75</f>
        <v>776.319742429018</v>
      </c>
      <c r="S75" s="56" t="n">
        <f aca="false">S74+L75-F75-J75+Q75*issue_price*(1-dev_bonds)</f>
        <v>138.447416461861</v>
      </c>
      <c r="T75" s="72" t="n">
        <f aca="false">Loans!X75</f>
        <v>438.05197851719</v>
      </c>
      <c r="U75" s="56" t="n">
        <f aca="false">R75-M75-S75-T75</f>
        <v>-260.073866090602</v>
      </c>
      <c r="V75" s="66" t="n">
        <f aca="false">R75/Economy!O75</f>
        <v>0.05</v>
      </c>
      <c r="W75" s="66" t="n">
        <f aca="false">Budget!X75/Budget!M75</f>
        <v>0.0187811668171063</v>
      </c>
      <c r="X75" s="66" t="n">
        <f aca="false">S75/Economy!O75</f>
        <v>0.00891690684231956</v>
      </c>
      <c r="Y75" s="56" t="n">
        <f aca="false">MAX(0,H75+Q75-'Gold &amp; money'!G75)</f>
        <v>129.439502080391</v>
      </c>
    </row>
    <row r="76" customFormat="false" ht="14.25" hidden="false" customHeight="false" outlineLevel="0" collapsed="false">
      <c r="A76" s="64" t="n">
        <v>1916</v>
      </c>
      <c r="B76" s="56" t="n">
        <f aca="false">Loans!V76-Loans!W76</f>
        <v>391.612794721927</v>
      </c>
      <c r="C76" s="56" t="n">
        <f aca="false">R75*debt_amort</f>
        <v>15.5263948485804</v>
      </c>
      <c r="D76" s="56" t="n">
        <f aca="false">M75+Budget!Z76-B76-C76</f>
        <v>643.973512928354</v>
      </c>
      <c r="E76" s="56" t="n">
        <f aca="false">MAX(0.1,Budget!M76*cash_target)</f>
        <v>546.488768372106</v>
      </c>
      <c r="F76" s="56" t="n">
        <f aca="false">IF(D76&lt;E76,MIN(E76-D76,S75),0)</f>
        <v>0</v>
      </c>
      <c r="G76" s="56" t="n">
        <f aca="false">MAX(0,E76-D76-F76)</f>
        <v>0</v>
      </c>
      <c r="H76" s="56" t="n">
        <f aca="false">G76/issue_price</f>
        <v>0</v>
      </c>
      <c r="I76" s="56" t="n">
        <f aca="false">IF(AND(D76&gt;E76,$A76&gt;=dev_start),(D76-E76)*dev_share,0)</f>
        <v>68.2393211893736</v>
      </c>
      <c r="J76" s="56" t="n">
        <f aca="false">IF($A76&gt;=dev_start,MAX(0,S75-F76-reserve_buffer*Economy!O76),0)</f>
        <v>0</v>
      </c>
      <c r="K76" s="56" t="n">
        <f aca="false">IF(D76&gt;E76,MIN((D76-E76-I76)*repay_share,R75-C76),0)</f>
        <v>23.3963386934995</v>
      </c>
      <c r="L76" s="56" t="n">
        <f aca="false">IF(D76&gt;E76,D76-E76-I76-K76,0)</f>
        <v>5.84908467337488</v>
      </c>
      <c r="M76" s="56" t="n">
        <f aca="false">D76+F76+G76-I76-K76-L76</f>
        <v>546.488768372106</v>
      </c>
      <c r="N76" s="56" t="n">
        <f aca="false">I76+J76+Q76*issue_price*dev_bonds+SUMPRODUCT((Events!$B$6:$B$174&lt;=$A76)*(Events!$C$6:$C$174&gt;=$A76)*(Events!$E$6:$E$174="Investment")*Events!$H$6:$H$174)</f>
        <v>247.406689771928</v>
      </c>
      <c r="O76" s="56" t="n">
        <f aca="false">O75*(1-dev_dep)+N76</f>
        <v>2768.57572303114</v>
      </c>
      <c r="P76" s="56" t="n">
        <f aca="false">SUMPRODUCT((Events!$B$6:$B$174&lt;=$A76)*(Events!$C$6:$C$174&gt;=$A76)*(Events!$E$6:$E$174="Debt assumed")*Events!$H$6:$H$174)</f>
        <v>0</v>
      </c>
      <c r="Q76" s="56" t="n">
        <f aca="false">IF($A76&lt;1887,0,MAX(0,debt_floor*Economy!O76-(R75+P76+H76-C76-K76)))</f>
        <v>183.471514002633</v>
      </c>
      <c r="R76" s="56" t="n">
        <f aca="false">R75+P76+H76-C76-K76+Q76</f>
        <v>920.868522889571</v>
      </c>
      <c r="S76" s="56" t="n">
        <f aca="false">S75+L76-F76-J76+Q76*issue_price*(1-dev_bonds)</f>
        <v>144.296501135236</v>
      </c>
      <c r="T76" s="72" t="n">
        <f aca="false">Loans!X76</f>
        <v>829.664773239116</v>
      </c>
      <c r="U76" s="56" t="n">
        <f aca="false">R76-M76-S76-T76</f>
        <v>-599.581519856887</v>
      </c>
      <c r="V76" s="66" t="n">
        <f aca="false">R76/Economy!O76</f>
        <v>0.05</v>
      </c>
      <c r="W76" s="66" t="n">
        <f aca="false">Budget!X76/Budget!M76</f>
        <v>0.017614936231526</v>
      </c>
      <c r="X76" s="66" t="n">
        <f aca="false">S76/Economy!O76</f>
        <v>0.00783480472773962</v>
      </c>
      <c r="Y76" s="56" t="n">
        <f aca="false">MAX(0,H76+Q76-'Gold &amp; money'!G76)</f>
        <v>183.471514002633</v>
      </c>
    </row>
    <row r="77" customFormat="false" ht="14.25" hidden="false" customHeight="false" outlineLevel="0" collapsed="false">
      <c r="A77" s="64" t="n">
        <v>1917</v>
      </c>
      <c r="B77" s="56" t="n">
        <f aca="false">Loans!V77-Loans!W77</f>
        <v>505.202682933049</v>
      </c>
      <c r="C77" s="56" t="n">
        <f aca="false">R76*debt_amort</f>
        <v>18.4173704577914</v>
      </c>
      <c r="D77" s="56" t="n">
        <f aca="false">M76+Budget!Z77-B77-C77</f>
        <v>799.181175124305</v>
      </c>
      <c r="E77" s="56" t="n">
        <f aca="false">MAX(0.1,Budget!M77*cash_target)</f>
        <v>687.586263909054</v>
      </c>
      <c r="F77" s="56" t="n">
        <f aca="false">IF(D77&lt;E77,MIN(E77-D77,S76),0)</f>
        <v>0</v>
      </c>
      <c r="G77" s="56" t="n">
        <f aca="false">MAX(0,E77-D77-F77)</f>
        <v>0</v>
      </c>
      <c r="H77" s="56" t="n">
        <f aca="false">G77/issue_price</f>
        <v>0</v>
      </c>
      <c r="I77" s="56" t="n">
        <f aca="false">IF(AND(D77&gt;E77,$A77&gt;=dev_start),(D77-E77)*dev_share,0)</f>
        <v>78.1164378506758</v>
      </c>
      <c r="J77" s="56" t="n">
        <f aca="false">IF($A77&gt;=dev_start,MAX(0,S76-F77-reserve_buffer*Economy!O77),0)</f>
        <v>0</v>
      </c>
      <c r="K77" s="56" t="n">
        <f aca="false">IF(D77&gt;E77,MIN((D77-E77-I77)*repay_share,R76-C77),0)</f>
        <v>26.7827786916603</v>
      </c>
      <c r="L77" s="56" t="n">
        <f aca="false">IF(D77&gt;E77,D77-E77-I77-K77,0)</f>
        <v>6.69569467291507</v>
      </c>
      <c r="M77" s="56" t="n">
        <f aca="false">D77+F77+G77-I77-K77-L77</f>
        <v>687.586263909054</v>
      </c>
      <c r="N77" s="56" t="n">
        <f aca="false">I77+J77+Q77*issue_price*dev_bonds+SUMPRODUCT((Events!$B$6:$B$174&lt;=$A77)*(Events!$C$6:$C$174&gt;=$A77)*(Events!$E$6:$E$174="Investment")*Events!$H$6:$H$174)</f>
        <v>353.434348161942</v>
      </c>
      <c r="O77" s="56" t="n">
        <f aca="false">O76*(1-dev_dep)+N77</f>
        <v>3038.95279950215</v>
      </c>
      <c r="P77" s="56" t="n">
        <f aca="false">SUMPRODUCT((Events!$B$6:$B$174&lt;=$A77)*(Events!$C$6:$C$174&gt;=$A77)*(Events!$E$6:$E$174="Debt assumed")*Events!$H$6:$H$174)</f>
        <v>0</v>
      </c>
      <c r="Q77" s="56" t="n">
        <f aca="false">IF($A77&lt;1887,0,MAX(0,debt_floor*Economy!O77-(R76+P77+H77-C77-K77)))</f>
        <v>282.595783826047</v>
      </c>
      <c r="R77" s="56" t="n">
        <f aca="false">R76+P77+H77-C77-K77+Q77</f>
        <v>1158.26415756617</v>
      </c>
      <c r="S77" s="56" t="n">
        <f aca="false">S76+L77-F77-J77+Q77*issue_price*(1-dev_bonds)</f>
        <v>150.992195808151</v>
      </c>
      <c r="T77" s="72" t="n">
        <f aca="false">Loans!X77</f>
        <v>1334.86745617217</v>
      </c>
      <c r="U77" s="56" t="n">
        <f aca="false">R77-M77-S77-T77</f>
        <v>-1015.1817583232</v>
      </c>
      <c r="V77" s="66" t="n">
        <f aca="false">R77/Economy!O77</f>
        <v>0.05</v>
      </c>
      <c r="W77" s="66" t="n">
        <f aca="false">Budget!X77/Budget!M77</f>
        <v>0.0165065899951067</v>
      </c>
      <c r="X77" s="66" t="n">
        <f aca="false">S77/Economy!O77</f>
        <v>0.00651803799771494</v>
      </c>
      <c r="Y77" s="56" t="n">
        <f aca="false">MAX(0,H77+Q77-'Gold &amp; money'!G77)</f>
        <v>282.595783826047</v>
      </c>
    </row>
    <row r="78" customFormat="false" ht="14.25" hidden="false" customHeight="false" outlineLevel="0" collapsed="false">
      <c r="A78" s="64" t="n">
        <v>1918</v>
      </c>
      <c r="B78" s="56" t="n">
        <f aca="false">Loans!V78-Loans!W78</f>
        <v>494.174575615727</v>
      </c>
      <c r="C78" s="56" t="n">
        <f aca="false">R77*debt_amort</f>
        <v>23.1652831513233</v>
      </c>
      <c r="D78" s="56" t="n">
        <f aca="false">M77+Budget!Z78-B78-C78</f>
        <v>1021.88244861283</v>
      </c>
      <c r="E78" s="56" t="n">
        <f aca="false">MAX(0.1,Budget!M78*cash_target)</f>
        <v>829.544863030067</v>
      </c>
      <c r="F78" s="56" t="n">
        <f aca="false">IF(D78&lt;E78,MIN(E78-D78,S77),0)</f>
        <v>0</v>
      </c>
      <c r="G78" s="56" t="n">
        <f aca="false">MAX(0,E78-D78-F78)</f>
        <v>0</v>
      </c>
      <c r="H78" s="56" t="n">
        <f aca="false">G78/issue_price</f>
        <v>0</v>
      </c>
      <c r="I78" s="56" t="n">
        <f aca="false">IF(AND(D78&gt;E78,$A78&gt;=dev_start),(D78-E78)*dev_share,0)</f>
        <v>134.636309907934</v>
      </c>
      <c r="J78" s="56" t="n">
        <f aca="false">IF($A78&gt;=dev_start,MAX(0,S77-F78-reserve_buffer*Economy!O78),0)</f>
        <v>0</v>
      </c>
      <c r="K78" s="56" t="n">
        <f aca="false">IF(D78&gt;E78,MIN((D78-E78-I78)*repay_share,R77-C78),0)</f>
        <v>46.1610205398632</v>
      </c>
      <c r="L78" s="56" t="n">
        <f aca="false">IF(D78&gt;E78,D78-E78-I78-K78,0)</f>
        <v>11.5402551349658</v>
      </c>
      <c r="M78" s="56" t="n">
        <f aca="false">D78+F78+G78-I78-K78-L78</f>
        <v>829.544863030067</v>
      </c>
      <c r="N78" s="56" t="n">
        <f aca="false">I78+J78+Q78*issue_price*dev_bonds+SUMPRODUCT((Events!$B$6:$B$174&lt;=$A78)*(Events!$C$6:$C$174&gt;=$A78)*(Events!$E$6:$E$174="Investment")*Events!$H$6:$H$174)</f>
        <v>431.124962428323</v>
      </c>
      <c r="O78" s="56" t="n">
        <f aca="false">O77*(1-dev_dep)+N78</f>
        <v>3378.90917794541</v>
      </c>
      <c r="P78" s="56" t="n">
        <f aca="false">SUMPRODUCT((Events!$B$6:$B$174&lt;=$A78)*(Events!$C$6:$C$174&gt;=$A78)*(Events!$E$6:$E$174="Debt assumed")*Events!$H$6:$H$174)</f>
        <v>0</v>
      </c>
      <c r="Q78" s="56" t="n">
        <f aca="false">IF($A78&lt;1887,0,MAX(0,debt_floor*Economy!O78-(R77+P78+H78-C78-K78)))</f>
        <v>304.421291258132</v>
      </c>
      <c r="R78" s="56" t="n">
        <f aca="false">R77+P78+H78-C78-K78+Q78</f>
        <v>1393.35914513311</v>
      </c>
      <c r="S78" s="56" t="n">
        <f aca="false">S77+L78-F78-J78+Q78*issue_price*(1-dev_bonds)</f>
        <v>162.532450943117</v>
      </c>
      <c r="T78" s="72" t="n">
        <f aca="false">Loans!X78</f>
        <v>1624.86061020005</v>
      </c>
      <c r="U78" s="56" t="n">
        <f aca="false">R78-M78-S78-T78</f>
        <v>-1223.57877904012</v>
      </c>
      <c r="V78" s="66" t="n">
        <f aca="false">R78/Economy!O78</f>
        <v>0.05</v>
      </c>
      <c r="W78" s="66" t="n">
        <f aca="false">Budget!X78/Budget!M78</f>
        <v>0.0171391484267553</v>
      </c>
      <c r="X78" s="66" t="n">
        <f aca="false">S78/Economy!O78</f>
        <v>0.00583239617405281</v>
      </c>
      <c r="Y78" s="56" t="n">
        <f aca="false">MAX(0,H78+Q78-'Gold &amp; money'!G78)</f>
        <v>304.421291258132</v>
      </c>
    </row>
    <row r="79" customFormat="false" ht="14.25" hidden="false" customHeight="false" outlineLevel="0" collapsed="false">
      <c r="A79" s="64" t="n">
        <v>1919</v>
      </c>
      <c r="B79" s="56" t="n">
        <f aca="false">Loans!V79-Loans!W79</f>
        <v>11.8987925910984</v>
      </c>
      <c r="C79" s="56" t="n">
        <f aca="false">R78*debt_amort</f>
        <v>27.8671829026622</v>
      </c>
      <c r="D79" s="56" t="n">
        <f aca="false">M78+Budget!Z79-B79-C79</f>
        <v>1595.34286984822</v>
      </c>
      <c r="E79" s="56" t="n">
        <f aca="false">MAX(0.1,Budget!M79*cash_target)</f>
        <v>942.717485964169</v>
      </c>
      <c r="F79" s="56" t="n">
        <f aca="false">IF(D79&lt;E79,MIN(E79-D79,S78),0)</f>
        <v>0</v>
      </c>
      <c r="G79" s="56" t="n">
        <f aca="false">MAX(0,E79-D79-F79)</f>
        <v>0</v>
      </c>
      <c r="H79" s="56" t="n">
        <f aca="false">G79/issue_price</f>
        <v>0</v>
      </c>
      <c r="I79" s="56" t="n">
        <f aca="false">IF(AND(D79&gt;E79,$A79&gt;=dev_start),(D79-E79)*dev_share,0)</f>
        <v>456.837768718837</v>
      </c>
      <c r="J79" s="56" t="n">
        <f aca="false">IF($A79&gt;=dev_start,MAX(0,S78-F79-reserve_buffer*Economy!O79),0)</f>
        <v>0</v>
      </c>
      <c r="K79" s="56" t="n">
        <f aca="false">IF(D79&gt;E79,MIN((D79-E79-I79)*repay_share,R78-C79),0)</f>
        <v>156.630092132173</v>
      </c>
      <c r="L79" s="56" t="n">
        <f aca="false">IF(D79&gt;E79,D79-E79-I79-K79,0)</f>
        <v>39.1575230330432</v>
      </c>
      <c r="M79" s="56" t="n">
        <f aca="false">D79+F79+G79-I79-K79-L79</f>
        <v>942.717485964169</v>
      </c>
      <c r="N79" s="56" t="n">
        <f aca="false">I79+J79+Q79*issue_price*dev_bonds+SUMPRODUCT((Events!$B$6:$B$174&lt;=$A79)*(Events!$C$6:$C$174&gt;=$A79)*(Events!$E$6:$E$174="Investment")*Events!$H$6:$H$174)</f>
        <v>821.004689875975</v>
      </c>
      <c r="O79" s="56" t="n">
        <f aca="false">O78*(1-dev_dep)+N79</f>
        <v>4098.54659248302</v>
      </c>
      <c r="P79" s="56" t="n">
        <f aca="false">SUMPRODUCT((Events!$B$6:$B$174&lt;=$A79)*(Events!$C$6:$C$174&gt;=$A79)*(Events!$E$6:$E$174="Debt assumed")*Events!$H$6:$H$174)</f>
        <v>0</v>
      </c>
      <c r="Q79" s="56" t="n">
        <f aca="false">IF($A79&lt;1887,0,MAX(0,debt_floor*Economy!O79-(R78+P79+H79-C79-K79)))</f>
        <v>374.192702223853</v>
      </c>
      <c r="R79" s="56" t="n">
        <f aca="false">R78+P79+H79-C79-K79+Q79</f>
        <v>1583.05457232213</v>
      </c>
      <c r="S79" s="56" t="n">
        <f aca="false">S78+L79-F79-J79+Q79*issue_price*(1-dev_bonds)</f>
        <v>201.68997397616</v>
      </c>
      <c r="T79" s="72" t="n">
        <f aca="false">Loans!X79</f>
        <v>1636.75940279115</v>
      </c>
      <c r="U79" s="56" t="n">
        <f aca="false">R79-M79-S79-T79</f>
        <v>-1198.11229040935</v>
      </c>
      <c r="V79" s="66" t="n">
        <f aca="false">R79/Economy!O79</f>
        <v>0.05</v>
      </c>
      <c r="W79" s="66" t="n">
        <f aca="false">Budget!X79/Budget!M79</f>
        <v>0.0180688443811254</v>
      </c>
      <c r="X79" s="66" t="n">
        <f aca="false">S79/Economy!O79</f>
        <v>0.00637027862154834</v>
      </c>
      <c r="Y79" s="56" t="n">
        <f aca="false">MAX(0,H79+Q79-'Gold &amp; money'!G79)</f>
        <v>374.192702223853</v>
      </c>
    </row>
    <row r="80" customFormat="false" ht="14.25" hidden="false" customHeight="false" outlineLevel="0" collapsed="false">
      <c r="A80" s="64" t="n">
        <v>1920</v>
      </c>
      <c r="B80" s="56" t="n">
        <f aca="false">Loans!V80-Loans!W80</f>
        <v>11.4228408874545</v>
      </c>
      <c r="C80" s="56" t="n">
        <f aca="false">R79*debt_amort</f>
        <v>31.6610914464426</v>
      </c>
      <c r="D80" s="56" t="n">
        <f aca="false">M79+Budget!Z80-B80-C80</f>
        <v>2008.4395867259</v>
      </c>
      <c r="E80" s="56" t="n">
        <f aca="false">MAX(0.1,Budget!M80*cash_target)</f>
        <v>1096.64252237502</v>
      </c>
      <c r="F80" s="56" t="n">
        <f aca="false">IF(D80&lt;E80,MIN(E80-D80,S79),0)</f>
        <v>0</v>
      </c>
      <c r="G80" s="56" t="n">
        <f aca="false">MAX(0,E80-D80-F80)</f>
        <v>0</v>
      </c>
      <c r="H80" s="56" t="n">
        <f aca="false">G80/issue_price</f>
        <v>0</v>
      </c>
      <c r="I80" s="56" t="n">
        <f aca="false">IF(AND(D80&gt;E80,$A80&gt;=dev_start),(D80-E80)*dev_share,0)</f>
        <v>638.257945045615</v>
      </c>
      <c r="J80" s="56" t="n">
        <f aca="false">IF($A80&gt;=dev_start,MAX(0,S79-F80-reserve_buffer*Economy!O80),0)</f>
        <v>0</v>
      </c>
      <c r="K80" s="56" t="n">
        <f aca="false">IF(D80&gt;E80,MIN((D80-E80-I80)*repay_share,R79-C80),0)</f>
        <v>218.831295444211</v>
      </c>
      <c r="L80" s="56" t="n">
        <f aca="false">IF(D80&gt;E80,D80-E80-I80-K80,0)</f>
        <v>54.7078238610527</v>
      </c>
      <c r="M80" s="56" t="n">
        <f aca="false">D80+F80+G80-I80-K80-L80</f>
        <v>1096.64252237502</v>
      </c>
      <c r="N80" s="56" t="n">
        <f aca="false">I80+J80+Q80*issue_price*dev_bonds+SUMPRODUCT((Events!$B$6:$B$174&lt;=$A80)*(Events!$C$6:$C$174&gt;=$A80)*(Events!$E$6:$E$174="Investment")*Events!$H$6:$H$174)</f>
        <v>1145.58285680856</v>
      </c>
      <c r="O80" s="56" t="n">
        <f aca="false">O79*(1-dev_dep)+N80</f>
        <v>5121.17305151709</v>
      </c>
      <c r="P80" s="56" t="n">
        <f aca="false">SUMPRODUCT((Events!$B$6:$B$174&lt;=$A80)*(Events!$C$6:$C$174&gt;=$A80)*(Events!$E$6:$E$174="Debt assumed")*Events!$H$6:$H$174)</f>
        <v>0</v>
      </c>
      <c r="Q80" s="56" t="n">
        <f aca="false">IF($A80&lt;1887,0,MAX(0,debt_floor*Economy!O80-(R79+P80+H80-C80-K80)))</f>
        <v>521.778259549425</v>
      </c>
      <c r="R80" s="56" t="n">
        <f aca="false">R79+P80+H80-C80-K80+Q80</f>
        <v>1854.3404449809</v>
      </c>
      <c r="S80" s="56" t="n">
        <f aca="false">S79+L80-F80-J80+Q80*issue_price*(1-dev_bonds)</f>
        <v>256.397797837213</v>
      </c>
      <c r="T80" s="72" t="n">
        <f aca="false">Loans!X80</f>
        <v>1648.1822436786</v>
      </c>
      <c r="U80" s="56" t="n">
        <f aca="false">R80-M80-S80-T80</f>
        <v>-1146.88211890993</v>
      </c>
      <c r="V80" s="66" t="n">
        <f aca="false">R80/Economy!O80</f>
        <v>0.05</v>
      </c>
      <c r="W80" s="66" t="n">
        <f aca="false">Budget!X80/Budget!M80</f>
        <v>0.0175751797188026</v>
      </c>
      <c r="X80" s="66" t="n">
        <f aca="false">S80/Economy!O80</f>
        <v>0.00691344996899568</v>
      </c>
      <c r="Y80" s="56" t="n">
        <f aca="false">MAX(0,H80+Q80-'Gold &amp; money'!G80)</f>
        <v>521.778259549425</v>
      </c>
    </row>
    <row r="81" customFormat="false" ht="14.25" hidden="false" customHeight="false" outlineLevel="0" collapsed="false">
      <c r="A81" s="64" t="n">
        <v>1921</v>
      </c>
      <c r="B81" s="56" t="n">
        <f aca="false">Loans!V81-Loans!W81</f>
        <v>10.9659272519563</v>
      </c>
      <c r="C81" s="56" t="n">
        <f aca="false">R80*debt_amort</f>
        <v>37.086808899618</v>
      </c>
      <c r="D81" s="56" t="n">
        <f aca="false">M80+Budget!Z81-B81-C81</f>
        <v>1617.74014233412</v>
      </c>
      <c r="E81" s="56" t="n">
        <f aca="false">MAX(0.1,Budget!M81*cash_target)</f>
        <v>808.678383389185</v>
      </c>
      <c r="F81" s="56" t="n">
        <f aca="false">IF(D81&lt;E81,MIN(E81-D81,S80),0)</f>
        <v>0</v>
      </c>
      <c r="G81" s="56" t="n">
        <f aca="false">MAX(0,E81-D81-F81)</f>
        <v>0</v>
      </c>
      <c r="H81" s="56" t="n">
        <f aca="false">G81/issue_price</f>
        <v>0</v>
      </c>
      <c r="I81" s="56" t="n">
        <f aca="false">IF(AND(D81&gt;E81,$A81&gt;=dev_start),(D81-E81)*dev_share,0)</f>
        <v>566.343231261453</v>
      </c>
      <c r="J81" s="56" t="n">
        <f aca="false">IF($A81&gt;=dev_start,MAX(0,S80-F81-reserve_buffer*Economy!O81),0)</f>
        <v>0</v>
      </c>
      <c r="K81" s="56" t="n">
        <f aca="false">IF(D81&gt;E81,MIN((D81-E81-I81)*repay_share,R80-C81),0)</f>
        <v>194.174822146784</v>
      </c>
      <c r="L81" s="56" t="n">
        <f aca="false">IF(D81&gt;E81,D81-E81-I81-K81,0)</f>
        <v>48.543705536696</v>
      </c>
      <c r="M81" s="56" t="n">
        <f aca="false">D81+F81+G81-I81-K81-L81</f>
        <v>808.678383389185</v>
      </c>
      <c r="N81" s="56" t="n">
        <f aca="false">I81+J81+Q81*issue_price*dev_bonds+SUMPRODUCT((Events!$B$6:$B$174&lt;=$A81)*(Events!$C$6:$C$174&gt;=$A81)*(Events!$E$6:$E$174="Investment")*Events!$H$6:$H$174)</f>
        <v>567.543231261454</v>
      </c>
      <c r="O81" s="56" t="n">
        <f aca="false">O80*(1-dev_dep)+N81</f>
        <v>5535.08109123303</v>
      </c>
      <c r="P81" s="56" t="n">
        <f aca="false">SUMPRODUCT((Events!$B$6:$B$174&lt;=$A81)*(Events!$C$6:$C$174&gt;=$A81)*(Events!$E$6:$E$174="Debt assumed")*Events!$H$6:$H$174)</f>
        <v>0</v>
      </c>
      <c r="Q81" s="56" t="n">
        <f aca="false">IF($A81&lt;1887,0,MAX(0,debt_floor*Economy!O81-(R80+P81+H81-C81-K81)))</f>
        <v>0</v>
      </c>
      <c r="R81" s="56" t="n">
        <f aca="false">R80+P81+H81-C81-K81+Q81</f>
        <v>1623.0788139345</v>
      </c>
      <c r="S81" s="56" t="n">
        <f aca="false">S80+L81-F81-J81+Q81*issue_price*(1-dev_bonds)</f>
        <v>304.941503373909</v>
      </c>
      <c r="T81" s="72" t="n">
        <f aca="false">Loans!X81</f>
        <v>1659.14817093056</v>
      </c>
      <c r="U81" s="56" t="n">
        <f aca="false">R81-M81-S81-T81</f>
        <v>-1149.68924375915</v>
      </c>
      <c r="V81" s="66" t="n">
        <f aca="false">R81/Economy!O81</f>
        <v>0.0535444241652694</v>
      </c>
      <c r="W81" s="66" t="n">
        <f aca="false">Budget!X81/Budget!M81</f>
        <v>0.0277459121514203</v>
      </c>
      <c r="X81" s="66" t="n">
        <f aca="false">S81/Economy!O81</f>
        <v>0.010059842480888</v>
      </c>
      <c r="Y81" s="56" t="n">
        <f aca="false">MAX(0,H81+Q81-'Gold &amp; money'!G81)</f>
        <v>0</v>
      </c>
    </row>
    <row r="82" customFormat="false" ht="14.25" hidden="false" customHeight="false" outlineLevel="0" collapsed="false">
      <c r="A82" s="64" t="n">
        <v>1922</v>
      </c>
      <c r="B82" s="56" t="n">
        <f aca="false">Loans!V82-Loans!W82</f>
        <v>10.527290161878</v>
      </c>
      <c r="C82" s="56" t="n">
        <f aca="false">R81*debt_amort</f>
        <v>32.46157627869</v>
      </c>
      <c r="D82" s="56" t="n">
        <f aca="false">M81+Budget!Z82-B82-C82</f>
        <v>1472.90582673994</v>
      </c>
      <c r="E82" s="56" t="n">
        <f aca="false">MAX(0.1,Budget!M82*cash_target)</f>
        <v>841.159615267423</v>
      </c>
      <c r="F82" s="56" t="n">
        <f aca="false">IF(D82&lt;E82,MIN(E82-D82,S81),0)</f>
        <v>0</v>
      </c>
      <c r="G82" s="56" t="n">
        <f aca="false">MAX(0,E82-D82-F82)</f>
        <v>0</v>
      </c>
      <c r="H82" s="56" t="n">
        <f aca="false">G82/issue_price</f>
        <v>0</v>
      </c>
      <c r="I82" s="56" t="n">
        <f aca="false">IF(AND(D82&gt;E82,$A82&gt;=dev_start),(D82-E82)*dev_share,0)</f>
        <v>442.22234803076</v>
      </c>
      <c r="J82" s="56" t="n">
        <f aca="false">IF($A82&gt;=dev_start,MAX(0,S81-F82-reserve_buffer*Economy!O82),0)</f>
        <v>0</v>
      </c>
      <c r="K82" s="56" t="n">
        <f aca="false">IF(D82&gt;E82,MIN((D82-E82-I82)*repay_share,R81-C82),0)</f>
        <v>151.619090753404</v>
      </c>
      <c r="L82" s="56" t="n">
        <f aca="false">IF(D82&gt;E82,D82-E82-I82-K82,0)</f>
        <v>37.9047726883509</v>
      </c>
      <c r="M82" s="56" t="n">
        <f aca="false">D82+F82+G82-I82-K82-L82</f>
        <v>841.159615267423</v>
      </c>
      <c r="N82" s="56" t="n">
        <f aca="false">I82+J82+Q82*issue_price*dev_bonds+SUMPRODUCT((Events!$B$6:$B$174&lt;=$A82)*(Events!$C$6:$C$174&gt;=$A82)*(Events!$E$6:$E$174="Investment")*Events!$H$6:$H$174)</f>
        <v>572.831446516582</v>
      </c>
      <c r="O82" s="56" t="n">
        <f aca="false">O81*(1-dev_dep)+N82</f>
        <v>5941.86010501262</v>
      </c>
      <c r="P82" s="56" t="n">
        <f aca="false">SUMPRODUCT((Events!$B$6:$B$174&lt;=$A82)*(Events!$C$6:$C$174&gt;=$A82)*(Events!$E$6:$E$174="Debt assumed")*Events!$H$6:$H$174)</f>
        <v>0</v>
      </c>
      <c r="Q82" s="56" t="n">
        <f aca="false">IF($A82&lt;1887,0,MAX(0,debt_floor*Economy!O82-(R81+P82+H82-C82-K82)))</f>
        <v>133.41144173796</v>
      </c>
      <c r="R82" s="56" t="n">
        <f aca="false">R81+P82+H82-C82-K82+Q82</f>
        <v>1572.40958864037</v>
      </c>
      <c r="S82" s="56" t="n">
        <f aca="false">S81+L82-F82-J82+Q82*issue_price*(1-dev_bonds)</f>
        <v>342.84627606226</v>
      </c>
      <c r="T82" s="72" t="n">
        <f aca="false">Loans!X82</f>
        <v>1669.67546109244</v>
      </c>
      <c r="U82" s="56" t="n">
        <f aca="false">R82-M82-S82-T82</f>
        <v>-1281.27176378176</v>
      </c>
      <c r="V82" s="66" t="n">
        <f aca="false">R82/Economy!O82</f>
        <v>0.05</v>
      </c>
      <c r="W82" s="66" t="n">
        <f aca="false">Budget!X82/Budget!M82</f>
        <v>0.0232513536704835</v>
      </c>
      <c r="X82" s="66" t="n">
        <f aca="false">S82/Economy!O82</f>
        <v>0.0109019392446822</v>
      </c>
      <c r="Y82" s="56" t="n">
        <f aca="false">MAX(0,H82+Q82-'Gold &amp; money'!G82)</f>
        <v>133.41144173796</v>
      </c>
    </row>
    <row r="83" customFormat="false" ht="14.25" hidden="false" customHeight="false" outlineLevel="0" collapsed="false">
      <c r="A83" s="61" t="n">
        <v>1923</v>
      </c>
      <c r="B83" s="56" t="n">
        <f aca="false">Loans!V83-Loans!W83</f>
        <v>19.1489117557627</v>
      </c>
      <c r="C83" s="56" t="n">
        <f aca="false">R82*debt_amort</f>
        <v>31.4481917728073</v>
      </c>
      <c r="D83" s="56" t="n">
        <f aca="false">M82+Budget!Z83-B83-C83</f>
        <v>1651.53874212572</v>
      </c>
      <c r="E83" s="56" t="n">
        <f aca="false">MAX(0.1,Budget!M83*cash_target)</f>
        <v>943.330752784722</v>
      </c>
      <c r="F83" s="56" t="n">
        <f aca="false">IF(D83&lt;E83,MIN(E83-D83,S82),0)</f>
        <v>0</v>
      </c>
      <c r="G83" s="56" t="n">
        <f aca="false">MAX(0,E83-D83-F83)</f>
        <v>0</v>
      </c>
      <c r="H83" s="56" t="n">
        <f aca="false">G83/issue_price</f>
        <v>0</v>
      </c>
      <c r="I83" s="56" t="n">
        <f aca="false">IF(AND(D83&gt;E83,$A83&gt;=dev_start),(D83-E83)*dev_share,0)</f>
        <v>495.745592538697</v>
      </c>
      <c r="J83" s="56" t="n">
        <f aca="false">IF($A83&gt;=dev_start,MAX(0,S82-F83-reserve_buffer*Economy!O83),0)</f>
        <v>0</v>
      </c>
      <c r="K83" s="56" t="n">
        <f aca="false">IF(D83&gt;E83,MIN((D83-E83-I83)*repay_share,R82-C83),0)</f>
        <v>169.969917441839</v>
      </c>
      <c r="L83" s="56" t="n">
        <f aca="false">IF(D83&gt;E83,D83-E83-I83-K83,0)</f>
        <v>42.4924793604597</v>
      </c>
      <c r="M83" s="56" t="n">
        <f aca="false">D83+F83+G83-I83-K83-L83</f>
        <v>943.330752784722</v>
      </c>
      <c r="N83" s="56" t="n">
        <f aca="false">I83+J83+Q83*issue_price*dev_bonds+SUMPRODUCT((Events!$B$6:$B$174&lt;=$A83)*(Events!$C$6:$C$174&gt;=$A83)*(Events!$E$6:$E$174="Investment")*Events!$H$6:$H$174)</f>
        <v>892.757623607948</v>
      </c>
      <c r="O83" s="56" t="n">
        <f aca="false">O82*(1-dev_dep)+N83</f>
        <v>6656.36192547019</v>
      </c>
      <c r="P83" s="56" t="n">
        <f aca="false">SUMPRODUCT((Events!$B$6:$B$174&lt;=$A83)*(Events!$C$6:$C$174&gt;=$A83)*(Events!$E$6:$E$174="Debt assumed")*Events!$H$6:$H$174)</f>
        <v>0</v>
      </c>
      <c r="Q83" s="56" t="n">
        <f aca="false">IF($A83&lt;1887,0,MAX(0,debt_floor*Economy!O83-(R82+P83+H83-C83-K83)))</f>
        <v>408.053640277578</v>
      </c>
      <c r="R83" s="56" t="n">
        <f aca="false">R82+P83+H83-C83-K83+Q83</f>
        <v>1779.0451197033</v>
      </c>
      <c r="S83" s="56" t="n">
        <f aca="false">S82+L83-F83-J83+Q83*issue_price*(1-dev_bonds)</f>
        <v>385.33875542272</v>
      </c>
      <c r="T83" s="72" t="n">
        <f aca="false">Loans!X83</f>
        <v>1688.8243728482</v>
      </c>
      <c r="U83" s="56" t="n">
        <f aca="false">R83-M83-S83-T83</f>
        <v>-1238.44876135234</v>
      </c>
      <c r="V83" s="66" t="n">
        <f aca="false">R83/Economy!O83</f>
        <v>0.05</v>
      </c>
      <c r="W83" s="66" t="n">
        <f aca="false">Budget!X83/Budget!M83</f>
        <v>0.0200024381776839</v>
      </c>
      <c r="X83" s="66" t="n">
        <f aca="false">S83/Economy!O83</f>
        <v>0.0108299320561073</v>
      </c>
      <c r="Y83" s="56" t="n">
        <f aca="false">MAX(0,H83+Q83-'Gold &amp; money'!G83)</f>
        <v>408.053640277578</v>
      </c>
    </row>
    <row r="84" customFormat="false" ht="14.25" hidden="false" customHeight="false" outlineLevel="0" collapsed="false">
      <c r="A84" s="61" t="n">
        <v>1924</v>
      </c>
      <c r="B84" s="56" t="n">
        <f aca="false">Loans!V84-Loans!W84</f>
        <v>-32.1920195976591</v>
      </c>
      <c r="C84" s="56" t="n">
        <f aca="false">R83*debt_amort</f>
        <v>35.580902394066</v>
      </c>
      <c r="D84" s="56" t="n">
        <f aca="false">M83+Budget!Z84-B84-C84</f>
        <v>1852.98407687199</v>
      </c>
      <c r="E84" s="56" t="n">
        <f aca="false">MAX(0.1,Budget!M84*cash_target)</f>
        <v>1011.47671006767</v>
      </c>
      <c r="F84" s="56" t="n">
        <f aca="false">IF(D84&lt;E84,MIN(E84-D84,S83),0)</f>
        <v>0</v>
      </c>
      <c r="G84" s="56" t="n">
        <f aca="false">MAX(0,E84-D84-F84)</f>
        <v>0</v>
      </c>
      <c r="H84" s="56" t="n">
        <f aca="false">G84/issue_price</f>
        <v>0</v>
      </c>
      <c r="I84" s="56" t="n">
        <f aca="false">IF(AND(D84&gt;E84,$A84&gt;=dev_start),(D84-E84)*dev_share,0)</f>
        <v>589.055156763025</v>
      </c>
      <c r="J84" s="56" t="n">
        <f aca="false">IF($A84&gt;=dev_start,MAX(0,S83-F84-reserve_buffer*Economy!O84),0)</f>
        <v>0</v>
      </c>
      <c r="K84" s="56" t="n">
        <f aca="false">IF(D84&gt;E84,MIN((D84-E84-I84)*repay_share,R83-C84),0)</f>
        <v>201.961768033037</v>
      </c>
      <c r="L84" s="56" t="n">
        <f aca="false">IF(D84&gt;E84,D84-E84-I84-K84,0)</f>
        <v>50.4904420082592</v>
      </c>
      <c r="M84" s="56" t="n">
        <f aca="false">D84+F84+G84-I84-K84-L84</f>
        <v>1011.47671006767</v>
      </c>
      <c r="N84" s="56" t="n">
        <f aca="false">I84+J84+Q84*issue_price*dev_bonds+SUMPRODUCT((Events!$B$6:$B$174&lt;=$A84)*(Events!$C$6:$C$174&gt;=$A84)*(Events!$E$6:$E$174="Investment")*Events!$H$6:$H$174)</f>
        <v>940.336744620503</v>
      </c>
      <c r="O84" s="56" t="n">
        <f aca="false">O83*(1-dev_dep)+N84</f>
        <v>7397.00781232658</v>
      </c>
      <c r="P84" s="56" t="n">
        <f aca="false">SUMPRODUCT((Events!$B$6:$B$174&lt;=$A84)*(Events!$C$6:$C$174&gt;=$A84)*(Events!$E$6:$E$174="Debt assumed")*Events!$H$6:$H$174)</f>
        <v>0</v>
      </c>
      <c r="Q84" s="56" t="n">
        <f aca="false">IF($A84&lt;1887,0,MAX(0,debt_floor*Economy!O84-(R83+P84+H84-C84-K84)))</f>
        <v>360.908853461318</v>
      </c>
      <c r="R84" s="56" t="n">
        <f aca="false">R83+P84+H84-C84-K84+Q84</f>
        <v>1902.41130273751</v>
      </c>
      <c r="S84" s="56" t="n">
        <f aca="false">S83+L84-F84-J84+Q84*issue_price*(1-dev_bonds)</f>
        <v>435.829197430979</v>
      </c>
      <c r="T84" s="72" t="n">
        <f aca="false">Loans!X84</f>
        <v>1656.63235325054</v>
      </c>
      <c r="U84" s="56" t="n">
        <f aca="false">R84-M84-S84-T84</f>
        <v>-1201.52695801168</v>
      </c>
      <c r="V84" s="66" t="n">
        <f aca="false">R84/Economy!O84</f>
        <v>0.05</v>
      </c>
      <c r="W84" s="66" t="n">
        <f aca="false">Budget!X84/Budget!M84</f>
        <v>0.0211942533911537</v>
      </c>
      <c r="X84" s="66" t="n">
        <f aca="false">S84/Economy!O84</f>
        <v>0.0114546522301417</v>
      </c>
      <c r="Y84" s="56" t="n">
        <f aca="false">MAX(0,H84+Q84-'Gold &amp; money'!G84)</f>
        <v>360.908853461318</v>
      </c>
    </row>
    <row r="85" customFormat="false" ht="14.25" hidden="false" customHeight="false" outlineLevel="0" collapsed="false">
      <c r="A85" s="61" t="n">
        <v>1925</v>
      </c>
      <c r="B85" s="56" t="n">
        <f aca="false">Loans!V85-Loans!W85</f>
        <v>-31.4701140988131</v>
      </c>
      <c r="C85" s="56" t="n">
        <f aca="false">R84*debt_amort</f>
        <v>38.0482260547503</v>
      </c>
      <c r="D85" s="56" t="n">
        <f aca="false">M84+Budget!Z85-B85-C85</f>
        <v>1988.73347091246</v>
      </c>
      <c r="E85" s="56" t="n">
        <f aca="false">MAX(0.1,Budget!M85*cash_target)</f>
        <v>1093.80856095879</v>
      </c>
      <c r="F85" s="56" t="n">
        <f aca="false">IF(D85&lt;E85,MIN(E85-D85,S84),0)</f>
        <v>0</v>
      </c>
      <c r="G85" s="56" t="n">
        <f aca="false">MAX(0,E85-D85-F85)</f>
        <v>0</v>
      </c>
      <c r="H85" s="56" t="n">
        <f aca="false">G85/issue_price</f>
        <v>0</v>
      </c>
      <c r="I85" s="56" t="n">
        <f aca="false">IF(AND(D85&gt;E85,$A85&gt;=dev_start),(D85-E85)*dev_share,0)</f>
        <v>626.447436967571</v>
      </c>
      <c r="J85" s="56" t="n">
        <f aca="false">IF($A85&gt;=dev_start,MAX(0,S84-F85-reserve_buffer*Economy!O85),0)</f>
        <v>0</v>
      </c>
      <c r="K85" s="56" t="n">
        <f aca="false">IF(D85&gt;E85,MIN((D85-E85-I85)*repay_share,R84-C85),0)</f>
        <v>214.781978388882</v>
      </c>
      <c r="L85" s="56" t="n">
        <f aca="false">IF(D85&gt;E85,D85-E85-I85-K85,0)</f>
        <v>53.6954945972204</v>
      </c>
      <c r="M85" s="56" t="n">
        <f aca="false">D85+F85+G85-I85-K85-L85</f>
        <v>1093.80856095879</v>
      </c>
      <c r="N85" s="56" t="n">
        <f aca="false">I85+J85+Q85*issue_price*dev_bonds+SUMPRODUCT((Events!$B$6:$B$174&lt;=$A85)*(Events!$C$6:$C$174&gt;=$A85)*(Events!$E$6:$E$174="Investment")*Events!$H$6:$H$174)</f>
        <v>1024.00101653395</v>
      </c>
      <c r="O85" s="56" t="n">
        <f aca="false">O84*(1-dev_dep)+N85</f>
        <v>8199.09859449074</v>
      </c>
      <c r="P85" s="56" t="n">
        <f aca="false">SUMPRODUCT((Events!$B$6:$B$174&lt;=$A85)*(Events!$C$6:$C$174&gt;=$A85)*(Events!$E$6:$E$174="Debt assumed")*Events!$H$6:$H$174)</f>
        <v>0</v>
      </c>
      <c r="Q85" s="56" t="n">
        <f aca="false">IF($A85&lt;1887,0,MAX(0,debt_floor*Economy!O85-(R84+P85+H85-C85-K85)))</f>
        <v>408.611937697302</v>
      </c>
      <c r="R85" s="56" t="n">
        <f aca="false">R84+P85+H85-C85-K85+Q85</f>
        <v>2058.19303599118</v>
      </c>
      <c r="S85" s="56" t="n">
        <f aca="false">S84+L85-F85-J85+Q85*issue_price*(1-dev_bonds)</f>
        <v>489.524692028199</v>
      </c>
      <c r="T85" s="72" t="n">
        <f aca="false">Loans!X85</f>
        <v>1625.16223915173</v>
      </c>
      <c r="U85" s="56" t="n">
        <f aca="false">R85-M85-S85-T85</f>
        <v>-1150.30245614753</v>
      </c>
      <c r="V85" s="66" t="n">
        <f aca="false">R85/Economy!O85</f>
        <v>0.05</v>
      </c>
      <c r="W85" s="66" t="n">
        <f aca="false">Budget!X85/Budget!M85</f>
        <v>0.0210449776905625</v>
      </c>
      <c r="X85" s="66" t="n">
        <f aca="false">S85/Economy!O85</f>
        <v>0.0118920986386599</v>
      </c>
      <c r="Y85" s="56" t="n">
        <f aca="false">MAX(0,H85+Q85-'Gold &amp; money'!G85)</f>
        <v>408.611937697302</v>
      </c>
    </row>
    <row r="86" customFormat="false" ht="14.25" hidden="false" customHeight="false" outlineLevel="0" collapsed="false">
      <c r="A86" s="61" t="n">
        <v>1926</v>
      </c>
      <c r="B86" s="56" t="n">
        <f aca="false">Loans!V86-Loans!W86</f>
        <v>-30.7680324153599</v>
      </c>
      <c r="C86" s="56" t="n">
        <f aca="false">R85*debt_amort</f>
        <v>41.1638607198236</v>
      </c>
      <c r="D86" s="56" t="n">
        <f aca="false">M85+Budget!Z86-B86-C86</f>
        <v>2129.041327603</v>
      </c>
      <c r="E86" s="56" t="n">
        <f aca="false">MAX(0.1,Budget!M86*cash_target)</f>
        <v>1143.76377039274</v>
      </c>
      <c r="F86" s="56" t="n">
        <f aca="false">IF(D86&lt;E86,MIN(E86-D86,S85),0)</f>
        <v>0</v>
      </c>
      <c r="G86" s="56" t="n">
        <f aca="false">MAX(0,E86-D86-F86)</f>
        <v>0</v>
      </c>
      <c r="H86" s="56" t="n">
        <f aca="false">G86/issue_price</f>
        <v>0</v>
      </c>
      <c r="I86" s="56" t="n">
        <f aca="false">IF(AND(D86&gt;E86,$A86&gt;=dev_start),(D86-E86)*dev_share,0)</f>
        <v>689.694290047178</v>
      </c>
      <c r="J86" s="56" t="n">
        <f aca="false">IF($A86&gt;=dev_start,MAX(0,S85-F86-reserve_buffer*Economy!O86),0)</f>
        <v>0</v>
      </c>
      <c r="K86" s="56" t="n">
        <f aca="false">IF(D86&gt;E86,MIN((D86-E86-I86)*repay_share,R85-C86),0)</f>
        <v>236.466613730461</v>
      </c>
      <c r="L86" s="56" t="n">
        <f aca="false">IF(D86&gt;E86,D86-E86-I86-K86,0)</f>
        <v>59.1166534326153</v>
      </c>
      <c r="M86" s="56" t="n">
        <f aca="false">D86+F86+G86-I86-K86-L86</f>
        <v>1143.76377039274</v>
      </c>
      <c r="N86" s="56" t="n">
        <f aca="false">I86+J86+Q86*issue_price*dev_bonds+SUMPRODUCT((Events!$B$6:$B$174&lt;=$A86)*(Events!$C$6:$C$174&gt;=$A86)*(Events!$E$6:$E$174="Investment")*Events!$H$6:$H$174)</f>
        <v>1048.22653158915</v>
      </c>
      <c r="O86" s="56" t="n">
        <f aca="false">O85*(1-dev_dep)+N86</f>
        <v>9001.35216824517</v>
      </c>
      <c r="P86" s="56" t="n">
        <f aca="false">SUMPRODUCT((Events!$B$6:$B$174&lt;=$A86)*(Events!$C$6:$C$174&gt;=$A86)*(Events!$E$6:$E$174="Debt assumed")*Events!$H$6:$H$174)</f>
        <v>0</v>
      </c>
      <c r="Q86" s="56" t="n">
        <f aca="false">IF($A86&lt;1887,0,MAX(0,debt_floor*Economy!O86-(R85+P86+H86-C86-K86)))</f>
        <v>368.383754166982</v>
      </c>
      <c r="R86" s="56" t="n">
        <f aca="false">R85+P86+H86-C86-K86+Q86</f>
        <v>2148.94631570788</v>
      </c>
      <c r="S86" s="56" t="n">
        <f aca="false">S85+L86-F86-J86+Q86*issue_price*(1-dev_bonds)</f>
        <v>548.641345460814</v>
      </c>
      <c r="T86" s="72" t="n">
        <f aca="false">Loans!X86</f>
        <v>1594.39420673637</v>
      </c>
      <c r="U86" s="56" t="n">
        <f aca="false">R86-M86-S86-T86</f>
        <v>-1137.85300688205</v>
      </c>
      <c r="V86" s="66" t="n">
        <f aca="false">R86/Economy!O86</f>
        <v>0.05</v>
      </c>
      <c r="W86" s="66" t="n">
        <f aca="false">Budget!X86/Budget!M86</f>
        <v>0.021908807449451</v>
      </c>
      <c r="X86" s="66" t="n">
        <f aca="false">S86/Economy!O86</f>
        <v>0.0127653571764562</v>
      </c>
      <c r="Y86" s="56" t="n">
        <f aca="false">MAX(0,H86+Q86-'Gold &amp; money'!G86)</f>
        <v>368.383754166982</v>
      </c>
    </row>
    <row r="87" customFormat="false" ht="14.25" hidden="false" customHeight="false" outlineLevel="0" collapsed="false">
      <c r="A87" s="61" t="n">
        <v>1927</v>
      </c>
      <c r="B87" s="56" t="n">
        <f aca="false">Loans!V87-Loans!W87</f>
        <v>135.535285072825</v>
      </c>
      <c r="C87" s="56" t="n">
        <f aca="false">R86*debt_amort</f>
        <v>42.9789263141576</v>
      </c>
      <c r="D87" s="56" t="n">
        <f aca="false">M86+Budget!Z87-B87-C87</f>
        <v>2217.66573309463</v>
      </c>
      <c r="E87" s="56" t="n">
        <f aca="false">MAX(0.1,Budget!M87*cash_target)</f>
        <v>1239.69902551534</v>
      </c>
      <c r="F87" s="56" t="n">
        <f aca="false">IF(D87&lt;E87,MIN(E87-D87,S86),0)</f>
        <v>0</v>
      </c>
      <c r="G87" s="56" t="n">
        <f aca="false">MAX(0,E87-D87-F87)</f>
        <v>0</v>
      </c>
      <c r="H87" s="56" t="n">
        <f aca="false">G87/issue_price</f>
        <v>0</v>
      </c>
      <c r="I87" s="56" t="n">
        <f aca="false">IF(AND(D87&gt;E87,$A87&gt;=dev_start),(D87-E87)*dev_share,0)</f>
        <v>684.576695305498</v>
      </c>
      <c r="J87" s="56" t="n">
        <f aca="false">IF($A87&gt;=dev_start,MAX(0,S86-F87-reserve_buffer*Economy!O87),0)</f>
        <v>0</v>
      </c>
      <c r="K87" s="56" t="n">
        <f aca="false">IF(D87&gt;E87,MIN((D87-E87-I87)*repay_share,R86-C87),0)</f>
        <v>234.712009819028</v>
      </c>
      <c r="L87" s="56" t="n">
        <f aca="false">IF(D87&gt;E87,D87-E87-I87-K87,0)</f>
        <v>58.678002454757</v>
      </c>
      <c r="M87" s="56" t="n">
        <f aca="false">D87+F87+G87-I87-K87-L87</f>
        <v>1239.69902551534</v>
      </c>
      <c r="N87" s="56" t="n">
        <f aca="false">I87+J87+Q87*issue_price*dev_bonds+SUMPRODUCT((Events!$B$6:$B$174&lt;=$A87)*(Events!$C$6:$C$174&gt;=$A87)*(Events!$E$6:$E$174="Investment")*Events!$H$6:$H$174)</f>
        <v>1033.38591396457</v>
      </c>
      <c r="O87" s="56" t="n">
        <f aca="false">O86*(1-dev_dep)+N87</f>
        <v>9764.69751716239</v>
      </c>
      <c r="P87" s="56" t="n">
        <f aca="false">SUMPRODUCT((Events!$B$6:$B$174&lt;=$A87)*(Events!$C$6:$C$174&gt;=$A87)*(Events!$E$6:$E$174="Debt assumed")*Events!$H$6:$H$174)</f>
        <v>0</v>
      </c>
      <c r="Q87" s="56" t="n">
        <f aca="false">IF($A87&lt;1887,0,MAX(0,debt_floor*Economy!O87-(R86+P87+H87-C87-K87)))</f>
        <v>358.360019236161</v>
      </c>
      <c r="R87" s="56" t="n">
        <f aca="false">R86+P87+H87-C87-K87+Q87</f>
        <v>2229.61539881085</v>
      </c>
      <c r="S87" s="56" t="n">
        <f aca="false">S86+L87-F87-J87+Q87*issue_price*(1-dev_bonds)</f>
        <v>607.319347915571</v>
      </c>
      <c r="T87" s="72" t="n">
        <f aca="false">Loans!X87</f>
        <v>1729.92949180919</v>
      </c>
      <c r="U87" s="56" t="n">
        <f aca="false">R87-M87-S87-T87</f>
        <v>-1347.33246642925</v>
      </c>
      <c r="V87" s="66" t="n">
        <f aca="false">R87/Economy!O87</f>
        <v>0.05</v>
      </c>
      <c r="W87" s="66" t="n">
        <f aca="false">Budget!X87/Budget!M87</f>
        <v>0.0211913280310985</v>
      </c>
      <c r="X87" s="66" t="n">
        <f aca="false">S87/Economy!O87</f>
        <v>0.0136193746293527</v>
      </c>
      <c r="Y87" s="56" t="n">
        <f aca="false">MAX(0,H87+Q87-'Gold &amp; money'!G87)</f>
        <v>358.360019236161</v>
      </c>
    </row>
    <row r="88" customFormat="false" ht="14.25" hidden="false" customHeight="false" outlineLevel="0" collapsed="false">
      <c r="A88" s="61" t="n">
        <v>1928</v>
      </c>
      <c r="B88" s="56" t="n">
        <f aca="false">Loans!V88-Loans!W88</f>
        <v>-29.4207716452113</v>
      </c>
      <c r="C88" s="56" t="n">
        <f aca="false">R87*debt_amort</f>
        <v>44.5923079762171</v>
      </c>
      <c r="D88" s="56" t="n">
        <f aca="false">M87+Budget!Z88-B88-C88</f>
        <v>2563.89269785005</v>
      </c>
      <c r="E88" s="56" t="n">
        <f aca="false">MAX(0.1,Budget!M88*cash_target)</f>
        <v>1332.98457810231</v>
      </c>
      <c r="F88" s="56" t="n">
        <f aca="false">IF(D88&lt;E88,MIN(E88-D88,S87),0)</f>
        <v>0</v>
      </c>
      <c r="G88" s="56" t="n">
        <f aca="false">MAX(0,E88-D88-F88)</f>
        <v>0</v>
      </c>
      <c r="H88" s="56" t="n">
        <f aca="false">G88/issue_price</f>
        <v>0</v>
      </c>
      <c r="I88" s="56" t="n">
        <f aca="false">IF(AND(D88&gt;E88,$A88&gt;=dev_start),(D88-E88)*dev_share,0)</f>
        <v>861.63568382342</v>
      </c>
      <c r="J88" s="56" t="n">
        <f aca="false">IF($A88&gt;=dev_start,MAX(0,S87-F88-reserve_buffer*Economy!O88),0)</f>
        <v>0</v>
      </c>
      <c r="K88" s="56" t="n">
        <f aca="false">IF(D88&gt;E88,MIN((D88-E88-I88)*repay_share,R87-C88),0)</f>
        <v>295.417948739458</v>
      </c>
      <c r="L88" s="56" t="n">
        <f aca="false">IF(D88&gt;E88,D88-E88-I88-K88,0)</f>
        <v>73.8544871848646</v>
      </c>
      <c r="M88" s="56" t="n">
        <f aca="false">D88+F88+G88-I88-K88-L88</f>
        <v>1332.98457810231</v>
      </c>
      <c r="N88" s="56" t="n">
        <f aca="false">I88+J88+Q88*issue_price*dev_bonds+SUMPRODUCT((Events!$B$6:$B$174&lt;=$A88)*(Events!$C$6:$C$174&gt;=$A88)*(Events!$E$6:$E$174="Investment")*Events!$H$6:$H$174)</f>
        <v>1350.97880399313</v>
      </c>
      <c r="O88" s="56" t="n">
        <f aca="false">O87*(1-dev_dep)+N88</f>
        <v>10822.7353956406</v>
      </c>
      <c r="P88" s="56" t="n">
        <f aca="false">SUMPRODUCT((Events!$B$6:$B$174&lt;=$A88)*(Events!$C$6:$C$174&gt;=$A88)*(Events!$E$6:$E$174="Debt assumed")*Events!$H$6:$H$174)</f>
        <v>0</v>
      </c>
      <c r="Q88" s="56" t="n">
        <f aca="false">IF($A88&lt;1887,0,MAX(0,debt_floor*Economy!O88-(R87+P88+H88-C88-K88)))</f>
        <v>503.240330071864</v>
      </c>
      <c r="R88" s="56" t="n">
        <f aca="false">R87+P88+H88-C88-K88+Q88</f>
        <v>2392.84547216704</v>
      </c>
      <c r="S88" s="56" t="n">
        <f aca="false">S87+L88-F88-J88+Q88*issue_price*(1-dev_bonds)</f>
        <v>681.173835100436</v>
      </c>
      <c r="T88" s="72" t="n">
        <f aca="false">Loans!X88</f>
        <v>1700.50872016398</v>
      </c>
      <c r="U88" s="56" t="n">
        <f aca="false">R88-M88-S88-T88</f>
        <v>-1321.82166119969</v>
      </c>
      <c r="V88" s="66" t="n">
        <f aca="false">R88/Economy!O88</f>
        <v>0.05</v>
      </c>
      <c r="W88" s="66" t="n">
        <f aca="false">Budget!X88/Budget!M88</f>
        <v>0.0205317671862087</v>
      </c>
      <c r="X88" s="66" t="n">
        <f aca="false">S88/Economy!O88</f>
        <v>0.0142335525428548</v>
      </c>
      <c r="Y88" s="56" t="n">
        <f aca="false">MAX(0,H88+Q88-'Gold &amp; money'!G88)</f>
        <v>503.240330071864</v>
      </c>
    </row>
    <row r="89" customFormat="false" ht="14.25" hidden="false" customHeight="false" outlineLevel="0" collapsed="false">
      <c r="A89" s="61" t="n">
        <v>1929</v>
      </c>
      <c r="B89" s="56" t="n">
        <f aca="false">Loans!V89-Loans!W89</f>
        <v>-61.89844854567</v>
      </c>
      <c r="C89" s="56" t="n">
        <f aca="false">R88*debt_amort</f>
        <v>47.8569094433409</v>
      </c>
      <c r="D89" s="56" t="n">
        <f aca="false">M88+Budget!Z89-B89-C89</f>
        <v>2776.62826970127</v>
      </c>
      <c r="E89" s="56" t="n">
        <f aca="false">MAX(0.1,Budget!M89*cash_target)</f>
        <v>1414.77261043406</v>
      </c>
      <c r="F89" s="56" t="n">
        <f aca="false">IF(D89&lt;E89,MIN(E89-D89,S88),0)</f>
        <v>0</v>
      </c>
      <c r="G89" s="56" t="n">
        <f aca="false">MAX(0,E89-D89-F89)</f>
        <v>0</v>
      </c>
      <c r="H89" s="56" t="n">
        <f aca="false">G89/issue_price</f>
        <v>0</v>
      </c>
      <c r="I89" s="56" t="n">
        <f aca="false">IF(AND(D89&gt;E89,$A89&gt;=dev_start),(D89-E89)*dev_share,0)</f>
        <v>953.298961487041</v>
      </c>
      <c r="J89" s="56" t="n">
        <f aca="false">IF($A89&gt;=dev_start,MAX(0,S88-F89-reserve_buffer*Economy!O89),0)</f>
        <v>0</v>
      </c>
      <c r="K89" s="56" t="n">
        <f aca="false">IF(D89&gt;E89,MIN((D89-E89-I89)*repay_share,R88-C89),0)</f>
        <v>326.845358224128</v>
      </c>
      <c r="L89" s="56" t="n">
        <f aca="false">IF(D89&gt;E89,D89-E89-I89-K89,0)</f>
        <v>81.7113395560321</v>
      </c>
      <c r="M89" s="56" t="n">
        <f aca="false">D89+F89+G89-I89-K89-L89</f>
        <v>1414.77261043406</v>
      </c>
      <c r="N89" s="56" t="n">
        <f aca="false">I89+J89+Q89*issue_price*dev_bonds+SUMPRODUCT((Events!$B$6:$B$174&lt;=$A89)*(Events!$C$6:$C$174&gt;=$A89)*(Events!$E$6:$E$174="Investment")*Events!$H$6:$H$174)</f>
        <v>1459.79449744807</v>
      </c>
      <c r="O89" s="56" t="n">
        <f aca="false">O88*(1-dev_dep)+N89</f>
        <v>11957.8478312195</v>
      </c>
      <c r="P89" s="56" t="n">
        <f aca="false">SUMPRODUCT((Events!$B$6:$B$174&lt;=$A89)*(Events!$C$6:$C$174&gt;=$A89)*(Events!$E$6:$E$174="Debt assumed")*Events!$H$6:$H$174)</f>
        <v>0</v>
      </c>
      <c r="Q89" s="56" t="n">
        <f aca="false">IF($A89&lt;1887,0,MAX(0,debt_floor*Economy!O89-(R88+P89+H89-C89-K89)))</f>
        <v>520.923232949511</v>
      </c>
      <c r="R89" s="56" t="n">
        <f aca="false">R88+P89+H89-C89-K89+Q89</f>
        <v>2539.06643744908</v>
      </c>
      <c r="S89" s="56" t="n">
        <f aca="false">S88+L89-F89-J89+Q89*issue_price*(1-dev_bonds)</f>
        <v>762.885174656468</v>
      </c>
      <c r="T89" s="72" t="n">
        <f aca="false">Loans!X89</f>
        <v>1638.61027161831</v>
      </c>
      <c r="U89" s="56" t="n">
        <f aca="false">R89-M89-S89-T89</f>
        <v>-1277.20161925976</v>
      </c>
      <c r="V89" s="66" t="n">
        <f aca="false">R89/Economy!O89</f>
        <v>0.05</v>
      </c>
      <c r="W89" s="66" t="n">
        <f aca="false">Budget!X89/Budget!M89</f>
        <v>0.020845625810787</v>
      </c>
      <c r="X89" s="66" t="n">
        <f aca="false">S89/Economy!O89</f>
        <v>0.0150229462964134</v>
      </c>
      <c r="Y89" s="56" t="n">
        <f aca="false">MAX(0,H89+Q89-'Gold &amp; money'!G89)</f>
        <v>520.923232949511</v>
      </c>
    </row>
    <row r="90" customFormat="false" ht="14.25" hidden="false" customHeight="false" outlineLevel="0" collapsed="false">
      <c r="A90" s="61" t="n">
        <v>1930</v>
      </c>
      <c r="B90" s="56" t="n">
        <f aca="false">Loans!V90-Loans!W90</f>
        <v>-61.2694125535206</v>
      </c>
      <c r="C90" s="56" t="n">
        <f aca="false">R89*debt_amort</f>
        <v>50.7813287489817</v>
      </c>
      <c r="D90" s="56" t="n">
        <f aca="false">M89+Budget!Z90-B90-C90</f>
        <v>2445.50271163001</v>
      </c>
      <c r="E90" s="56" t="n">
        <f aca="false">MAX(0.1,Budget!M90*cash_target)</f>
        <v>1307.5515188021</v>
      </c>
      <c r="F90" s="56" t="n">
        <f aca="false">IF(D90&lt;E90,MIN(E90-D90,S89),0)</f>
        <v>0</v>
      </c>
      <c r="G90" s="56" t="n">
        <f aca="false">MAX(0,E90-D90-F90)</f>
        <v>0</v>
      </c>
      <c r="H90" s="56" t="n">
        <f aca="false">G90/issue_price</f>
        <v>0</v>
      </c>
      <c r="I90" s="56" t="n">
        <f aca="false">IF(AND(D90&gt;E90,$A90&gt;=dev_start),(D90-E90)*dev_share,0)</f>
        <v>796.565834979535</v>
      </c>
      <c r="J90" s="56" t="n">
        <f aca="false">IF($A90&gt;=dev_start,MAX(0,S89-F90-reserve_buffer*Economy!O90),0)</f>
        <v>0</v>
      </c>
      <c r="K90" s="56" t="n">
        <f aca="false">IF(D90&gt;E90,MIN((D90-E90-I90)*repay_share,R89-C90),0)</f>
        <v>273.108286278698</v>
      </c>
      <c r="L90" s="56" t="n">
        <f aca="false">IF(D90&gt;E90,D90-E90-I90-K90,0)</f>
        <v>68.2770715696744</v>
      </c>
      <c r="M90" s="56" t="n">
        <f aca="false">D90+F90+G90-I90-K90-L90</f>
        <v>1307.5515188021</v>
      </c>
      <c r="N90" s="56" t="n">
        <f aca="false">I90+J90+Q90*issue_price*dev_bonds+SUMPRODUCT((Events!$B$6:$B$174&lt;=$A90)*(Events!$C$6:$C$174&gt;=$A90)*(Events!$E$6:$E$174="Investment")*Events!$H$6:$H$174)</f>
        <v>958.28516014282</v>
      </c>
      <c r="O90" s="56" t="n">
        <f aca="false">O89*(1-dev_dep)+N90</f>
        <v>12557.3975564257</v>
      </c>
      <c r="P90" s="56" t="n">
        <f aca="false">SUMPRODUCT((Events!$B$6:$B$174&lt;=$A90)*(Events!$C$6:$C$174&gt;=$A90)*(Events!$E$6:$E$174="Debt assumed")*Events!$H$6:$H$174)</f>
        <v>0</v>
      </c>
      <c r="Q90" s="56" t="n">
        <f aca="false">IF($A90&lt;1887,0,MAX(0,debt_floor*Economy!O90-(R89+P90+H90-C90-K90)))</f>
        <v>165.483840374521</v>
      </c>
      <c r="R90" s="56" t="n">
        <f aca="false">R89+P90+H90-C90-K90+Q90</f>
        <v>2380.66066279593</v>
      </c>
      <c r="S90" s="56" t="n">
        <f aca="false">S89+L90-F90-J90+Q90*issue_price*(1-dev_bonds)</f>
        <v>831.162246226143</v>
      </c>
      <c r="T90" s="72" t="n">
        <f aca="false">Loans!X90</f>
        <v>1577.34085906479</v>
      </c>
      <c r="U90" s="56" t="n">
        <f aca="false">R90-M90-S90-T90</f>
        <v>-1335.39396129711</v>
      </c>
      <c r="V90" s="66" t="n">
        <f aca="false">R90/Economy!O90</f>
        <v>0.05</v>
      </c>
      <c r="W90" s="66" t="n">
        <f aca="false">Budget!X90/Budget!M90</f>
        <v>0.0240789164875222</v>
      </c>
      <c r="X90" s="66" t="n">
        <f aca="false">S90/Economy!O90</f>
        <v>0.0174565459751412</v>
      </c>
      <c r="Y90" s="56" t="n">
        <f aca="false">MAX(0,H90+Q90-'Gold &amp; money'!G90)</f>
        <v>165.483840374521</v>
      </c>
    </row>
    <row r="91" customFormat="false" ht="14.25" hidden="false" customHeight="false" outlineLevel="0" collapsed="false">
      <c r="A91" s="61" t="n">
        <v>1931</v>
      </c>
      <c r="B91" s="56" t="n">
        <f aca="false">Loans!V91-Loans!W91</f>
        <v>200.399906220871</v>
      </c>
      <c r="C91" s="56" t="n">
        <f aca="false">R90*debt_amort</f>
        <v>47.6132132559185</v>
      </c>
      <c r="D91" s="56" t="n">
        <f aca="false">M90+Budget!Z91-B91-C91</f>
        <v>1455.42468539885</v>
      </c>
      <c r="E91" s="56" t="n">
        <f aca="false">MAX(0.1,Budget!M91*cash_target)</f>
        <v>1103.79859212309</v>
      </c>
      <c r="F91" s="56" t="n">
        <f aca="false">IF(D91&lt;E91,MIN(E91-D91,S90),0)</f>
        <v>0</v>
      </c>
      <c r="G91" s="56" t="n">
        <f aca="false">MAX(0,E91-D91-F91)</f>
        <v>0</v>
      </c>
      <c r="H91" s="56" t="n">
        <f aca="false">G91/issue_price</f>
        <v>0</v>
      </c>
      <c r="I91" s="56" t="n">
        <f aca="false">IF(AND(D91&gt;E91,$A91&gt;=dev_start),(D91-E91)*dev_share,0)</f>
        <v>246.138265293035</v>
      </c>
      <c r="J91" s="56" t="n">
        <f aca="false">IF($A91&gt;=dev_start,MAX(0,S90-F91-reserve_buffer*Economy!O91),0)</f>
        <v>0</v>
      </c>
      <c r="K91" s="56" t="n">
        <f aca="false">IF(D91&gt;E91,MIN((D91-E91-I91)*repay_share,R90-C91),0)</f>
        <v>84.3902623861833</v>
      </c>
      <c r="L91" s="56" t="n">
        <f aca="false">IF(D91&gt;E91,D91-E91-I91-K91,0)</f>
        <v>21.0975655965458</v>
      </c>
      <c r="M91" s="56" t="n">
        <f aca="false">D91+F91+G91-I91-K91-L91</f>
        <v>1103.79859212309</v>
      </c>
      <c r="N91" s="56" t="n">
        <f aca="false">I91+J91+Q91*issue_price*dev_bonds+SUMPRODUCT((Events!$B$6:$B$174&lt;=$A91)*(Events!$C$6:$C$174&gt;=$A91)*(Events!$E$6:$E$174="Investment")*Events!$H$6:$H$174)</f>
        <v>247.338265293035</v>
      </c>
      <c r="O91" s="56" t="n">
        <f aca="false">O90*(1-dev_dep)+N91</f>
        <v>12428.013895026</v>
      </c>
      <c r="P91" s="56" t="n">
        <f aca="false">SUMPRODUCT((Events!$B$6:$B$174&lt;=$A91)*(Events!$C$6:$C$174&gt;=$A91)*(Events!$E$6:$E$174="Debt assumed")*Events!$H$6:$H$174)</f>
        <v>0</v>
      </c>
      <c r="Q91" s="56" t="n">
        <f aca="false">IF($A91&lt;1887,0,MAX(0,debt_floor*Economy!O91-(R90+P91+H91-C91-K91)))</f>
        <v>0</v>
      </c>
      <c r="R91" s="56" t="n">
        <f aca="false">R90+P91+H91-C91-K91+Q91</f>
        <v>2248.65718715382</v>
      </c>
      <c r="S91" s="56" t="n">
        <f aca="false">S90+L91-F91-J91+Q91*issue_price*(1-dev_bonds)</f>
        <v>852.259811822688</v>
      </c>
      <c r="T91" s="72" t="n">
        <f aca="false">Loans!X91</f>
        <v>1777.74076528566</v>
      </c>
      <c r="U91" s="56" t="n">
        <f aca="false">R91-M91-S91-T91</f>
        <v>-1485.14198207762</v>
      </c>
      <c r="V91" s="66" t="n">
        <f aca="false">R91/Economy!O91</f>
        <v>0.0523502901878641</v>
      </c>
      <c r="W91" s="66" t="n">
        <f aca="false">Budget!X91/Budget!M91</f>
        <v>0.0268520230622871</v>
      </c>
      <c r="X91" s="66" t="n">
        <f aca="false">S91/Economy!O91</f>
        <v>0.0198411962122353</v>
      </c>
      <c r="Y91" s="56" t="n">
        <f aca="false">MAX(0,H91+Q91-'Gold &amp; money'!G91)</f>
        <v>0</v>
      </c>
    </row>
    <row r="92" customFormat="false" ht="14.25" hidden="false" customHeight="false" outlineLevel="0" collapsed="false">
      <c r="A92" s="61" t="n">
        <v>1932</v>
      </c>
      <c r="B92" s="56" t="n">
        <f aca="false">Loans!V92-Loans!W92</f>
        <v>120.658946679989</v>
      </c>
      <c r="C92" s="56" t="n">
        <f aca="false">R91*debt_amort</f>
        <v>44.9731437430765</v>
      </c>
      <c r="D92" s="56" t="n">
        <f aca="false">M91+Budget!Z92-B92-C92</f>
        <v>1122.12486735925</v>
      </c>
      <c r="E92" s="56" t="n">
        <f aca="false">MAX(0.1,Budget!M92*cash_target)</f>
        <v>979.036513106775</v>
      </c>
      <c r="F92" s="56" t="n">
        <f aca="false">IF(D92&lt;E92,MIN(E92-D92,S91),0)</f>
        <v>0</v>
      </c>
      <c r="G92" s="56" t="n">
        <f aca="false">MAX(0,E92-D92-F92)</f>
        <v>0</v>
      </c>
      <c r="H92" s="56" t="n">
        <f aca="false">G92/issue_price</f>
        <v>0</v>
      </c>
      <c r="I92" s="56" t="n">
        <f aca="false">IF(AND(D92&gt;E92,$A92&gt;=dev_start),(D92-E92)*dev_share,0)</f>
        <v>100.161847976735</v>
      </c>
      <c r="J92" s="56" t="n">
        <f aca="false">IF($A92&gt;=dev_start,MAX(0,S91-F92-reserve_buffer*Economy!O92),0)</f>
        <v>0</v>
      </c>
      <c r="K92" s="56" t="n">
        <f aca="false">IF(D92&gt;E92,MIN((D92-E92-I92)*repay_share,R91-C92),0)</f>
        <v>34.3412050205947</v>
      </c>
      <c r="L92" s="56" t="n">
        <f aca="false">IF(D92&gt;E92,D92-E92-I92-K92,0)</f>
        <v>8.58530125514868</v>
      </c>
      <c r="M92" s="56" t="n">
        <f aca="false">D92+F92+G92-I92-K92-L92</f>
        <v>979.036513106775</v>
      </c>
      <c r="N92" s="56" t="n">
        <f aca="false">I92+J92+Q92*issue_price*dev_bonds+SUMPRODUCT((Events!$B$6:$B$174&lt;=$A92)*(Events!$C$6:$C$174&gt;=$A92)*(Events!$E$6:$E$174="Investment")*Events!$H$6:$H$174)</f>
        <v>101.361847976735</v>
      </c>
      <c r="O92" s="56" t="n">
        <f aca="false">O91*(1-dev_dep)+N92</f>
        <v>12156.5353261519</v>
      </c>
      <c r="P92" s="56" t="n">
        <f aca="false">SUMPRODUCT((Events!$B$6:$B$174&lt;=$A92)*(Events!$C$6:$C$174&gt;=$A92)*(Events!$E$6:$E$174="Debt assumed")*Events!$H$6:$H$174)</f>
        <v>0</v>
      </c>
      <c r="Q92" s="56" t="n">
        <f aca="false">IF($A92&lt;1887,0,MAX(0,debt_floor*Economy!O92-(R91+P92+H92-C92-K92)))</f>
        <v>0</v>
      </c>
      <c r="R92" s="56" t="n">
        <f aca="false">R91+P92+H92-C92-K92+Q92</f>
        <v>2169.34283839015</v>
      </c>
      <c r="S92" s="56" t="n">
        <f aca="false">S91+L92-F92-J92+Q92*issue_price*(1-dev_bonds)</f>
        <v>860.845113077837</v>
      </c>
      <c r="T92" s="72" t="n">
        <f aca="false">Loans!X92</f>
        <v>1898.39971196565</v>
      </c>
      <c r="U92" s="56" t="n">
        <f aca="false">R92-M92-S92-T92</f>
        <v>-1568.93849976011</v>
      </c>
      <c r="V92" s="66" t="n">
        <f aca="false">R92/Economy!O92</f>
        <v>0.0549265609919733</v>
      </c>
      <c r="W92" s="66" t="n">
        <f aca="false">Budget!X92/Budget!M92</f>
        <v>0.0287100781872037</v>
      </c>
      <c r="X92" s="66" t="n">
        <f aca="false">S92/Economy!O92</f>
        <v>0.0217961222040867</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55" hidden="false" customHeight="false" outlineLevel="0" collapsed="false">
      <c r="A1" s="19" t="s">
        <v>1326</v>
      </c>
    </row>
    <row r="2" customFormat="false" ht="14.25" hidden="false" customHeight="false" outlineLevel="0" collapsed="false">
      <c r="A2" s="3" t="s">
        <v>1327</v>
      </c>
    </row>
    <row r="3" customFormat="false" ht="14.25" hidden="false" customHeight="false" outlineLevel="0" collapsed="false">
      <c r="A3" s="20" t="s">
        <v>1166</v>
      </c>
    </row>
    <row r="4" customFormat="false" ht="14.25" hidden="false" customHeight="false" outlineLevel="0" collapsed="false">
      <c r="B4" s="58" t="s">
        <v>685</v>
      </c>
      <c r="C4" s="58"/>
      <c r="D4" s="58"/>
      <c r="E4" s="58"/>
      <c r="F4" s="58"/>
      <c r="G4" s="58" t="s">
        <v>696</v>
      </c>
      <c r="H4" s="58"/>
      <c r="I4" s="58"/>
      <c r="J4" s="58"/>
      <c r="K4" s="58"/>
      <c r="L4" s="58" t="s">
        <v>719</v>
      </c>
      <c r="M4" s="58"/>
      <c r="N4" s="58"/>
      <c r="O4" s="58"/>
      <c r="P4" s="58"/>
      <c r="Q4" s="58" t="s">
        <v>920</v>
      </c>
      <c r="R4" s="58"/>
      <c r="S4" s="58"/>
      <c r="T4" s="58"/>
      <c r="U4" s="58"/>
      <c r="V4" s="58" t="s">
        <v>1328</v>
      </c>
      <c r="W4" s="58"/>
      <c r="X4" s="58"/>
      <c r="Y4" s="58"/>
    </row>
    <row r="5" customFormat="false" ht="54" hidden="false" customHeight="true" outlineLevel="0" collapsed="false">
      <c r="A5" s="60" t="s">
        <v>103</v>
      </c>
      <c r="B5" s="7" t="s">
        <v>1329</v>
      </c>
      <c r="C5" s="7" t="s">
        <v>1330</v>
      </c>
      <c r="D5" s="7" t="s">
        <v>1331</v>
      </c>
      <c r="E5" s="7" t="s">
        <v>1332</v>
      </c>
      <c r="F5" s="7" t="s">
        <v>1333</v>
      </c>
      <c r="G5" s="7" t="s">
        <v>1334</v>
      </c>
      <c r="H5" s="7" t="s">
        <v>1335</v>
      </c>
      <c r="I5" s="7" t="s">
        <v>1336</v>
      </c>
      <c r="J5" s="7" t="s">
        <v>1337</v>
      </c>
      <c r="K5" s="7" t="s">
        <v>1338</v>
      </c>
      <c r="L5" s="7" t="s">
        <v>1339</v>
      </c>
      <c r="M5" s="7" t="s">
        <v>1340</v>
      </c>
      <c r="N5" s="7" t="s">
        <v>1341</v>
      </c>
      <c r="O5" s="7" t="s">
        <v>1342</v>
      </c>
      <c r="P5" s="7" t="s">
        <v>1343</v>
      </c>
      <c r="Q5" s="7" t="s">
        <v>1344</v>
      </c>
      <c r="R5" s="7" t="s">
        <v>1345</v>
      </c>
      <c r="S5" s="7" t="s">
        <v>1346</v>
      </c>
      <c r="T5" s="7" t="s">
        <v>1347</v>
      </c>
      <c r="U5" s="7" t="s">
        <v>1348</v>
      </c>
      <c r="V5" s="7" t="s">
        <v>1349</v>
      </c>
      <c r="W5" s="7" t="s">
        <v>1350</v>
      </c>
      <c r="X5" s="7" t="s">
        <v>1351</v>
      </c>
      <c r="Y5" s="7" t="s">
        <v>1352</v>
      </c>
    </row>
    <row r="6" customFormat="false" ht="14.25" hidden="false" customHeight="false" outlineLevel="0" collapsed="false">
      <c r="A6" s="61" t="n">
        <v>1846</v>
      </c>
      <c r="B6" s="56" t="n">
        <f aca="false">SUMPRODUCT((Events!$B$6:$B$174&lt;=$A6)*(Events!$C$6:$C$174&gt;=$A6)*(Events!$E$6:$E$174="Loan")*(Events!$F$6:$F$174="Continental")*Events!$H$6:$H$174)</f>
        <v>0</v>
      </c>
      <c r="C6" s="56" t="n">
        <f aca="false">0</f>
        <v>0</v>
      </c>
      <c r="D6" s="56" t="n">
        <f aca="false">0</f>
        <v>0</v>
      </c>
      <c r="E6" s="56" t="n">
        <f aca="false">B6</f>
        <v>0</v>
      </c>
      <c r="F6" s="56" t="n">
        <f aca="false">0</f>
        <v>0</v>
      </c>
      <c r="G6" s="56" t="n">
        <f aca="false">SUMPRODUCT((Events!$B$6:$B$174&lt;=$A6)*(Events!$C$6:$C$174&gt;=$A6)*(Events!$E$6:$E$174="Loan")*(Events!$F$6:$F$174="Asia")*Events!$H$6:$H$174)</f>
        <v>0</v>
      </c>
      <c r="H6" s="56" t="n">
        <f aca="false">0</f>
        <v>0</v>
      </c>
      <c r="I6" s="56" t="n">
        <f aca="false">0</f>
        <v>0</v>
      </c>
      <c r="J6" s="56" t="n">
        <f aca="false">G6</f>
        <v>0</v>
      </c>
      <c r="K6" s="56" t="n">
        <f aca="false">0</f>
        <v>0</v>
      </c>
      <c r="L6" s="56" t="n">
        <f aca="false">SUMPRODUCT((Events!$B$6:$B$174&lt;=$A6)*(Events!$C$6:$C$174&gt;=$A6)*(Events!$E$6:$E$174="Loan")*(Events!$F$6:$F$174="Europe")*Events!$H$6:$H$174)</f>
        <v>0</v>
      </c>
      <c r="M6" s="56" t="n">
        <f aca="false">0</f>
        <v>0</v>
      </c>
      <c r="N6" s="56" t="n">
        <f aca="false">0</f>
        <v>0</v>
      </c>
      <c r="O6" s="56" t="n">
        <f aca="false">L6</f>
        <v>0</v>
      </c>
      <c r="P6" s="56" t="n">
        <f aca="false">0</f>
        <v>0</v>
      </c>
      <c r="Q6" s="56" t="n">
        <f aca="false">SUMPRODUCT((Events!$B$6:$B$174&lt;=$A6)*(Events!$C$6:$C$174&gt;=$A6)*(Events!$E$6:$E$174="Loan")*(Events!$F$6:$F$174="Rescue")*Events!$H$6:$H$174)</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false" outlineLevel="0" collapsed="false">
      <c r="A7" s="61" t="n">
        <v>1847</v>
      </c>
      <c r="B7" s="56" t="n">
        <f aca="false">SUMPRODUCT((Events!$B$6:$B$174&lt;=$A7)*(Events!$C$6:$C$174&gt;=$A7)*(Events!$E$6:$E$174="Loan")*(Events!$F$6:$F$174="Continental")*Events!$H$6:$H$174)</f>
        <v>0</v>
      </c>
      <c r="C7" s="56" t="n">
        <f aca="false">E6*cont_repay</f>
        <v>0</v>
      </c>
      <c r="D7" s="56" t="n">
        <f aca="false">0</f>
        <v>0</v>
      </c>
      <c r="E7" s="56" t="n">
        <f aca="false">E6+B7-C7-D7</f>
        <v>0</v>
      </c>
      <c r="F7" s="56" t="n">
        <f aca="false">E6*cont_coupon</f>
        <v>0</v>
      </c>
      <c r="G7" s="56" t="n">
        <f aca="false">SUMPRODUCT((Events!$B$6:$B$174&lt;=$A7)*(Events!$C$6:$C$174&gt;=$A7)*(Events!$E$6:$E$174="Loan")*(Events!$F$6:$F$174="Asia")*Events!$H$6:$H$174)</f>
        <v>0</v>
      </c>
      <c r="H7" s="56" t="n">
        <f aca="false">J6*asia_repay</f>
        <v>0</v>
      </c>
      <c r="I7" s="56" t="n">
        <f aca="false">0</f>
        <v>0</v>
      </c>
      <c r="J7" s="56" t="n">
        <f aca="false">J6+G7-H7-I7</f>
        <v>0</v>
      </c>
      <c r="K7" s="56" t="n">
        <f aca="false">J6*asia_coupon</f>
        <v>0</v>
      </c>
      <c r="L7" s="56" t="n">
        <f aca="false">SUMPRODUCT((Events!$B$6:$B$174&lt;=$A7)*(Events!$C$6:$C$174&gt;=$A7)*(Events!$E$6:$E$174="Loan")*(Events!$F$6:$F$174="Europe")*Events!$H$6:$H$174)</f>
        <v>0</v>
      </c>
      <c r="M7" s="56" t="n">
        <f aca="false">O6*Paths!AA7</f>
        <v>0</v>
      </c>
      <c r="N7" s="56" t="n">
        <f aca="false">IF($A7=1918,russia_writeoff*(O6+L7),0)</f>
        <v>0</v>
      </c>
      <c r="O7" s="56" t="n">
        <f aca="false">O6+L7-M7-N7</f>
        <v>0</v>
      </c>
      <c r="P7" s="56" t="n">
        <f aca="false">O6*Paths!Z7*Paths!AB7</f>
        <v>0</v>
      </c>
      <c r="Q7" s="56" t="n">
        <f aca="false">SUMPRODUCT((Events!$B$6:$B$174&lt;=$A7)*(Events!$C$6:$C$174&gt;=$A7)*(Events!$E$6:$E$174="Loan")*(Events!$F$6:$F$174="Rescue")*Events!$H$6:$H$174)</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false" outlineLevel="0" collapsed="false">
      <c r="A8" s="61" t="n">
        <v>1848</v>
      </c>
      <c r="B8" s="56" t="n">
        <f aca="false">SUMPRODUCT((Events!$B$6:$B$174&lt;=$A8)*(Events!$C$6:$C$174&gt;=$A8)*(Events!$E$6:$E$174="Loan")*(Events!$F$6:$F$174="Continental")*Events!$H$6:$H$174)</f>
        <v>0</v>
      </c>
      <c r="C8" s="56" t="n">
        <f aca="false">E7*cont_repay</f>
        <v>0</v>
      </c>
      <c r="D8" s="56" t="n">
        <f aca="false">0</f>
        <v>0</v>
      </c>
      <c r="E8" s="56" t="n">
        <f aca="false">E7+B8-C8-D8</f>
        <v>0</v>
      </c>
      <c r="F8" s="56" t="n">
        <f aca="false">E7*cont_coupon</f>
        <v>0</v>
      </c>
      <c r="G8" s="56" t="n">
        <f aca="false">SUMPRODUCT((Events!$B$6:$B$174&lt;=$A8)*(Events!$C$6:$C$174&gt;=$A8)*(Events!$E$6:$E$174="Loan")*(Events!$F$6:$F$174="Asia")*Events!$H$6:$H$174)</f>
        <v>0</v>
      </c>
      <c r="H8" s="56" t="n">
        <f aca="false">J7*asia_repay</f>
        <v>0</v>
      </c>
      <c r="I8" s="56" t="n">
        <f aca="false">0</f>
        <v>0</v>
      </c>
      <c r="J8" s="56" t="n">
        <f aca="false">J7+G8-H8-I8</f>
        <v>0</v>
      </c>
      <c r="K8" s="56" t="n">
        <f aca="false">J7*asia_coupon</f>
        <v>0</v>
      </c>
      <c r="L8" s="56" t="n">
        <f aca="false">SUMPRODUCT((Events!$B$6:$B$174&lt;=$A8)*(Events!$C$6:$C$174&gt;=$A8)*(Events!$E$6:$E$174="Loan")*(Events!$F$6:$F$174="Europe")*Events!$H$6:$H$174)</f>
        <v>0</v>
      </c>
      <c r="M8" s="56" t="n">
        <f aca="false">O7*Paths!AA8</f>
        <v>0</v>
      </c>
      <c r="N8" s="56" t="n">
        <f aca="false">IF($A8=1918,russia_writeoff*(O7+L8),0)</f>
        <v>0</v>
      </c>
      <c r="O8" s="56" t="n">
        <f aca="false">O7+L8-M8-N8</f>
        <v>0</v>
      </c>
      <c r="P8" s="56" t="n">
        <f aca="false">O7*Paths!Z8*Paths!AB8</f>
        <v>0</v>
      </c>
      <c r="Q8" s="56" t="n">
        <f aca="false">SUMPRODUCT((Events!$B$6:$B$174&lt;=$A8)*(Events!$C$6:$C$174&gt;=$A8)*(Events!$E$6:$E$174="Loan")*(Events!$F$6:$F$174="Rescue")*Events!$H$6:$H$174)</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false" outlineLevel="0" collapsed="false">
      <c r="A9" s="61" t="n">
        <v>1849</v>
      </c>
      <c r="B9" s="56" t="n">
        <f aca="false">SUMPRODUCT((Events!$B$6:$B$174&lt;=$A9)*(Events!$C$6:$C$174&gt;=$A9)*(Events!$E$6:$E$174="Loan")*(Events!$F$6:$F$174="Continental")*Events!$H$6:$H$174)</f>
        <v>0</v>
      </c>
      <c r="C9" s="56" t="n">
        <f aca="false">E8*cont_repay</f>
        <v>0</v>
      </c>
      <c r="D9" s="56" t="n">
        <f aca="false">0</f>
        <v>0</v>
      </c>
      <c r="E9" s="56" t="n">
        <f aca="false">E8+B9-C9-D9</f>
        <v>0</v>
      </c>
      <c r="F9" s="56" t="n">
        <f aca="false">E8*cont_coupon</f>
        <v>0</v>
      </c>
      <c r="G9" s="56" t="n">
        <f aca="false">SUMPRODUCT((Events!$B$6:$B$174&lt;=$A9)*(Events!$C$6:$C$174&gt;=$A9)*(Events!$E$6:$E$174="Loan")*(Events!$F$6:$F$174="Asia")*Events!$H$6:$H$174)</f>
        <v>0</v>
      </c>
      <c r="H9" s="56" t="n">
        <f aca="false">J8*asia_repay</f>
        <v>0</v>
      </c>
      <c r="I9" s="56" t="n">
        <f aca="false">0</f>
        <v>0</v>
      </c>
      <c r="J9" s="56" t="n">
        <f aca="false">J8+G9-H9-I9</f>
        <v>0</v>
      </c>
      <c r="K9" s="56" t="n">
        <f aca="false">J8*asia_coupon</f>
        <v>0</v>
      </c>
      <c r="L9" s="56" t="n">
        <f aca="false">SUMPRODUCT((Events!$B$6:$B$174&lt;=$A9)*(Events!$C$6:$C$174&gt;=$A9)*(Events!$E$6:$E$174="Loan")*(Events!$F$6:$F$174="Europe")*Events!$H$6:$H$174)</f>
        <v>0</v>
      </c>
      <c r="M9" s="56" t="n">
        <f aca="false">O8*Paths!AA9</f>
        <v>0</v>
      </c>
      <c r="N9" s="56" t="n">
        <f aca="false">IF($A9=1918,russia_writeoff*(O8+L9),0)</f>
        <v>0</v>
      </c>
      <c r="O9" s="56" t="n">
        <f aca="false">O8+L9-M9-N9</f>
        <v>0</v>
      </c>
      <c r="P9" s="56" t="n">
        <f aca="false">O8*Paths!Z9*Paths!AB9</f>
        <v>0</v>
      </c>
      <c r="Q9" s="56" t="n">
        <f aca="false">SUMPRODUCT((Events!$B$6:$B$174&lt;=$A9)*(Events!$C$6:$C$174&gt;=$A9)*(Events!$E$6:$E$174="Loan")*(Events!$F$6:$F$174="Rescue")*Events!$H$6:$H$174)</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false" outlineLevel="0" collapsed="false">
      <c r="A10" s="61" t="n">
        <v>1850</v>
      </c>
      <c r="B10" s="56" t="n">
        <f aca="false">SUMPRODUCT((Events!$B$6:$B$174&lt;=$A10)*(Events!$C$6:$C$174&gt;=$A10)*(Events!$E$6:$E$174="Loan")*(Events!$F$6:$F$174="Continental")*Events!$H$6:$H$174)</f>
        <v>0</v>
      </c>
      <c r="C10" s="56" t="n">
        <f aca="false">E9*cont_repay</f>
        <v>0</v>
      </c>
      <c r="D10" s="56" t="n">
        <f aca="false">0</f>
        <v>0</v>
      </c>
      <c r="E10" s="56" t="n">
        <f aca="false">E9+B10-C10-D10</f>
        <v>0</v>
      </c>
      <c r="F10" s="56" t="n">
        <f aca="false">E9*cont_coupon</f>
        <v>0</v>
      </c>
      <c r="G10" s="56" t="n">
        <f aca="false">SUMPRODUCT((Events!$B$6:$B$174&lt;=$A10)*(Events!$C$6:$C$174&gt;=$A10)*(Events!$E$6:$E$174="Loan")*(Events!$F$6:$F$174="Asia")*Events!$H$6:$H$174)</f>
        <v>0</v>
      </c>
      <c r="H10" s="56" t="n">
        <f aca="false">J9*asia_repay</f>
        <v>0</v>
      </c>
      <c r="I10" s="56" t="n">
        <f aca="false">0</f>
        <v>0</v>
      </c>
      <c r="J10" s="56" t="n">
        <f aca="false">J9+G10-H10-I10</f>
        <v>0</v>
      </c>
      <c r="K10" s="56" t="n">
        <f aca="false">J9*asia_coupon</f>
        <v>0</v>
      </c>
      <c r="L10" s="56" t="n">
        <f aca="false">SUMPRODUCT((Events!$B$6:$B$174&lt;=$A10)*(Events!$C$6:$C$174&gt;=$A10)*(Events!$E$6:$E$174="Loan")*(Events!$F$6:$F$174="Europe")*Events!$H$6:$H$174)</f>
        <v>0</v>
      </c>
      <c r="M10" s="56" t="n">
        <f aca="false">O9*Paths!AA10</f>
        <v>0</v>
      </c>
      <c r="N10" s="56" t="n">
        <f aca="false">IF($A10=1918,russia_writeoff*(O9+L10),0)</f>
        <v>0</v>
      </c>
      <c r="O10" s="56" t="n">
        <f aca="false">O9+L10-M10-N10</f>
        <v>0</v>
      </c>
      <c r="P10" s="56" t="n">
        <f aca="false">O9*Paths!Z10*Paths!AB10</f>
        <v>0</v>
      </c>
      <c r="Q10" s="56" t="n">
        <f aca="false">SUMPRODUCT((Events!$B$6:$B$174&lt;=$A10)*(Events!$C$6:$C$174&gt;=$A10)*(Events!$E$6:$E$174="Loan")*(Events!$F$6:$F$174="Rescue")*Events!$H$6:$H$174)</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false" outlineLevel="0" collapsed="false">
      <c r="A11" s="61" t="n">
        <v>1851</v>
      </c>
      <c r="B11" s="56" t="n">
        <f aca="false">SUMPRODUCT((Events!$B$6:$B$174&lt;=$A11)*(Events!$C$6:$C$174&gt;=$A11)*(Events!$E$6:$E$174="Loan")*(Events!$F$6:$F$174="Continental")*Events!$H$6:$H$174)</f>
        <v>0</v>
      </c>
      <c r="C11" s="56" t="n">
        <f aca="false">E10*cont_repay</f>
        <v>0</v>
      </c>
      <c r="D11" s="56" t="n">
        <f aca="false">0</f>
        <v>0</v>
      </c>
      <c r="E11" s="56" t="n">
        <f aca="false">E10+B11-C11-D11</f>
        <v>0</v>
      </c>
      <c r="F11" s="56" t="n">
        <f aca="false">E10*cont_coupon</f>
        <v>0</v>
      </c>
      <c r="G11" s="56" t="n">
        <f aca="false">SUMPRODUCT((Events!$B$6:$B$174&lt;=$A11)*(Events!$C$6:$C$174&gt;=$A11)*(Events!$E$6:$E$174="Loan")*(Events!$F$6:$F$174="Asia")*Events!$H$6:$H$174)</f>
        <v>0</v>
      </c>
      <c r="H11" s="56" t="n">
        <f aca="false">J10*asia_repay</f>
        <v>0</v>
      </c>
      <c r="I11" s="56" t="n">
        <f aca="false">0</f>
        <v>0</v>
      </c>
      <c r="J11" s="56" t="n">
        <f aca="false">J10+G11-H11-I11</f>
        <v>0</v>
      </c>
      <c r="K11" s="56" t="n">
        <f aca="false">J10*asia_coupon</f>
        <v>0</v>
      </c>
      <c r="L11" s="56" t="n">
        <f aca="false">SUMPRODUCT((Events!$B$6:$B$174&lt;=$A11)*(Events!$C$6:$C$174&gt;=$A11)*(Events!$E$6:$E$174="Loan")*(Events!$F$6:$F$174="Europe")*Events!$H$6:$H$174)</f>
        <v>0</v>
      </c>
      <c r="M11" s="56" t="n">
        <f aca="false">O10*Paths!AA11</f>
        <v>0</v>
      </c>
      <c r="N11" s="56" t="n">
        <f aca="false">IF($A11=1918,russia_writeoff*(O10+L11),0)</f>
        <v>0</v>
      </c>
      <c r="O11" s="56" t="n">
        <f aca="false">O10+L11-M11-N11</f>
        <v>0</v>
      </c>
      <c r="P11" s="56" t="n">
        <f aca="false">O10*Paths!Z11*Paths!AB11</f>
        <v>0</v>
      </c>
      <c r="Q11" s="56" t="n">
        <f aca="false">SUMPRODUCT((Events!$B$6:$B$174&lt;=$A11)*(Events!$C$6:$C$174&gt;=$A11)*(Events!$E$6:$E$174="Loan")*(Events!$F$6:$F$174="Rescue")*Events!$H$6:$H$174)</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false" outlineLevel="0" collapsed="false">
      <c r="A12" s="61" t="n">
        <v>1852</v>
      </c>
      <c r="B12" s="56" t="n">
        <f aca="false">SUMPRODUCT((Events!$B$6:$B$174&lt;=$A12)*(Events!$C$6:$C$174&gt;=$A12)*(Events!$E$6:$E$174="Loan")*(Events!$F$6:$F$174="Continental")*Events!$H$6:$H$174)</f>
        <v>0</v>
      </c>
      <c r="C12" s="56" t="n">
        <f aca="false">E11*cont_repay</f>
        <v>0</v>
      </c>
      <c r="D12" s="56" t="n">
        <f aca="false">0</f>
        <v>0</v>
      </c>
      <c r="E12" s="56" t="n">
        <f aca="false">E11+B12-C12-D12</f>
        <v>0</v>
      </c>
      <c r="F12" s="56" t="n">
        <f aca="false">E11*cont_coupon</f>
        <v>0</v>
      </c>
      <c r="G12" s="56" t="n">
        <f aca="false">SUMPRODUCT((Events!$B$6:$B$174&lt;=$A12)*(Events!$C$6:$C$174&gt;=$A12)*(Events!$E$6:$E$174="Loan")*(Events!$F$6:$F$174="Asia")*Events!$H$6:$H$174)</f>
        <v>0</v>
      </c>
      <c r="H12" s="56" t="n">
        <f aca="false">J11*asia_repay</f>
        <v>0</v>
      </c>
      <c r="I12" s="56" t="n">
        <f aca="false">0</f>
        <v>0</v>
      </c>
      <c r="J12" s="56" t="n">
        <f aca="false">J11+G12-H12-I12</f>
        <v>0</v>
      </c>
      <c r="K12" s="56" t="n">
        <f aca="false">J11*asia_coupon</f>
        <v>0</v>
      </c>
      <c r="L12" s="56" t="n">
        <f aca="false">SUMPRODUCT((Events!$B$6:$B$174&lt;=$A12)*(Events!$C$6:$C$174&gt;=$A12)*(Events!$E$6:$E$174="Loan")*(Events!$F$6:$F$174="Europe")*Events!$H$6:$H$174)</f>
        <v>0</v>
      </c>
      <c r="M12" s="56" t="n">
        <f aca="false">O11*Paths!AA12</f>
        <v>0</v>
      </c>
      <c r="N12" s="56" t="n">
        <f aca="false">IF($A12=1918,russia_writeoff*(O11+L12),0)</f>
        <v>0</v>
      </c>
      <c r="O12" s="56" t="n">
        <f aca="false">O11+L12-M12-N12</f>
        <v>0</v>
      </c>
      <c r="P12" s="56" t="n">
        <f aca="false">O11*Paths!Z12*Paths!AB12</f>
        <v>0</v>
      </c>
      <c r="Q12" s="56" t="n">
        <f aca="false">SUMPRODUCT((Events!$B$6:$B$174&lt;=$A12)*(Events!$C$6:$C$174&gt;=$A12)*(Events!$E$6:$E$174="Loan")*(Events!$F$6:$F$174="Rescue")*Events!$H$6:$H$174)</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false" outlineLevel="0" collapsed="false">
      <c r="A13" s="61" t="n">
        <v>1853</v>
      </c>
      <c r="B13" s="56" t="n">
        <f aca="false">SUMPRODUCT((Events!$B$6:$B$174&lt;=$A13)*(Events!$C$6:$C$174&gt;=$A13)*(Events!$E$6:$E$174="Loan")*(Events!$F$6:$F$174="Continental")*Events!$H$6:$H$174)</f>
        <v>0</v>
      </c>
      <c r="C13" s="56" t="n">
        <f aca="false">E12*cont_repay</f>
        <v>0</v>
      </c>
      <c r="D13" s="56" t="n">
        <f aca="false">0</f>
        <v>0</v>
      </c>
      <c r="E13" s="56" t="n">
        <f aca="false">E12+B13-C13-D13</f>
        <v>0</v>
      </c>
      <c r="F13" s="56" t="n">
        <f aca="false">E12*cont_coupon</f>
        <v>0</v>
      </c>
      <c r="G13" s="56" t="n">
        <f aca="false">SUMPRODUCT((Events!$B$6:$B$174&lt;=$A13)*(Events!$C$6:$C$174&gt;=$A13)*(Events!$E$6:$E$174="Loan")*(Events!$F$6:$F$174="Asia")*Events!$H$6:$H$174)</f>
        <v>0</v>
      </c>
      <c r="H13" s="56" t="n">
        <f aca="false">J12*asia_repay</f>
        <v>0</v>
      </c>
      <c r="I13" s="56" t="n">
        <f aca="false">0</f>
        <v>0</v>
      </c>
      <c r="J13" s="56" t="n">
        <f aca="false">J12+G13-H13-I13</f>
        <v>0</v>
      </c>
      <c r="K13" s="56" t="n">
        <f aca="false">J12*asia_coupon</f>
        <v>0</v>
      </c>
      <c r="L13" s="56" t="n">
        <f aca="false">SUMPRODUCT((Events!$B$6:$B$174&lt;=$A13)*(Events!$C$6:$C$174&gt;=$A13)*(Events!$E$6:$E$174="Loan")*(Events!$F$6:$F$174="Europe")*Events!$H$6:$H$174)</f>
        <v>0</v>
      </c>
      <c r="M13" s="56" t="n">
        <f aca="false">O12*Paths!AA13</f>
        <v>0</v>
      </c>
      <c r="N13" s="56" t="n">
        <f aca="false">IF($A13=1918,russia_writeoff*(O12+L13),0)</f>
        <v>0</v>
      </c>
      <c r="O13" s="56" t="n">
        <f aca="false">O12+L13-M13-N13</f>
        <v>0</v>
      </c>
      <c r="P13" s="56" t="n">
        <f aca="false">O12*Paths!Z13*Paths!AB13</f>
        <v>0</v>
      </c>
      <c r="Q13" s="56" t="n">
        <f aca="false">SUMPRODUCT((Events!$B$6:$B$174&lt;=$A13)*(Events!$C$6:$C$174&gt;=$A13)*(Events!$E$6:$E$174="Loan")*(Events!$F$6:$F$174="Rescue")*Events!$H$6:$H$174)</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false" outlineLevel="0" collapsed="false">
      <c r="A14" s="61" t="n">
        <v>1854</v>
      </c>
      <c r="B14" s="56" t="n">
        <f aca="false">SUMPRODUCT((Events!$B$6:$B$174&lt;=$A14)*(Events!$C$6:$C$174&gt;=$A14)*(Events!$E$6:$E$174="Loan")*(Events!$F$6:$F$174="Continental")*Events!$H$6:$H$174)</f>
        <v>0</v>
      </c>
      <c r="C14" s="56" t="n">
        <f aca="false">E13*cont_repay</f>
        <v>0</v>
      </c>
      <c r="D14" s="56" t="n">
        <f aca="false">0</f>
        <v>0</v>
      </c>
      <c r="E14" s="56" t="n">
        <f aca="false">E13+B14-C14-D14</f>
        <v>0</v>
      </c>
      <c r="F14" s="56" t="n">
        <f aca="false">E13*cont_coupon</f>
        <v>0</v>
      </c>
      <c r="G14" s="56" t="n">
        <f aca="false">SUMPRODUCT((Events!$B$6:$B$174&lt;=$A14)*(Events!$C$6:$C$174&gt;=$A14)*(Events!$E$6:$E$174="Loan")*(Events!$F$6:$F$174="Asia")*Events!$H$6:$H$174)</f>
        <v>0</v>
      </c>
      <c r="H14" s="56" t="n">
        <f aca="false">J13*asia_repay</f>
        <v>0</v>
      </c>
      <c r="I14" s="56" t="n">
        <f aca="false">0</f>
        <v>0</v>
      </c>
      <c r="J14" s="56" t="n">
        <f aca="false">J13+G14-H14-I14</f>
        <v>0</v>
      </c>
      <c r="K14" s="56" t="n">
        <f aca="false">J13*asia_coupon</f>
        <v>0</v>
      </c>
      <c r="L14" s="56" t="n">
        <f aca="false">SUMPRODUCT((Events!$B$6:$B$174&lt;=$A14)*(Events!$C$6:$C$174&gt;=$A14)*(Events!$E$6:$E$174="Loan")*(Events!$F$6:$F$174="Europe")*Events!$H$6:$H$174)</f>
        <v>0</v>
      </c>
      <c r="M14" s="56" t="n">
        <f aca="false">O13*Paths!AA14</f>
        <v>0</v>
      </c>
      <c r="N14" s="56" t="n">
        <f aca="false">IF($A14=1918,russia_writeoff*(O13+L14),0)</f>
        <v>0</v>
      </c>
      <c r="O14" s="56" t="n">
        <f aca="false">O13+L14-M14-N14</f>
        <v>0</v>
      </c>
      <c r="P14" s="56" t="n">
        <f aca="false">O13*Paths!Z14*Paths!AB14</f>
        <v>0</v>
      </c>
      <c r="Q14" s="56" t="n">
        <f aca="false">SUMPRODUCT((Events!$B$6:$B$174&lt;=$A14)*(Events!$C$6:$C$174&gt;=$A14)*(Events!$E$6:$E$174="Loan")*(Events!$F$6:$F$174="Rescue")*Events!$H$6:$H$174)</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false" outlineLevel="0" collapsed="false">
      <c r="A15" s="61" t="n">
        <v>1855</v>
      </c>
      <c r="B15" s="56" t="n">
        <f aca="false">SUMPRODUCT((Events!$B$6:$B$174&lt;=$A15)*(Events!$C$6:$C$174&gt;=$A15)*(Events!$E$6:$E$174="Loan")*(Events!$F$6:$F$174="Continental")*Events!$H$6:$H$174)</f>
        <v>0</v>
      </c>
      <c r="C15" s="56" t="n">
        <f aca="false">E14*cont_repay</f>
        <v>0</v>
      </c>
      <c r="D15" s="56" t="n">
        <f aca="false">0</f>
        <v>0</v>
      </c>
      <c r="E15" s="56" t="n">
        <f aca="false">E14+B15-C15-D15</f>
        <v>0</v>
      </c>
      <c r="F15" s="56" t="n">
        <f aca="false">E14*cont_coupon</f>
        <v>0</v>
      </c>
      <c r="G15" s="56" t="n">
        <f aca="false">SUMPRODUCT((Events!$B$6:$B$174&lt;=$A15)*(Events!$C$6:$C$174&gt;=$A15)*(Events!$E$6:$E$174="Loan")*(Events!$F$6:$F$174="Asia")*Events!$H$6:$H$174)</f>
        <v>0</v>
      </c>
      <c r="H15" s="56" t="n">
        <f aca="false">J14*asia_repay</f>
        <v>0</v>
      </c>
      <c r="I15" s="56" t="n">
        <f aca="false">0</f>
        <v>0</v>
      </c>
      <c r="J15" s="56" t="n">
        <f aca="false">J14+G15-H15-I15</f>
        <v>0</v>
      </c>
      <c r="K15" s="56" t="n">
        <f aca="false">J14*asia_coupon</f>
        <v>0</v>
      </c>
      <c r="L15" s="56" t="n">
        <f aca="false">SUMPRODUCT((Events!$B$6:$B$174&lt;=$A15)*(Events!$C$6:$C$174&gt;=$A15)*(Events!$E$6:$E$174="Loan")*(Events!$F$6:$F$174="Europe")*Events!$H$6:$H$174)</f>
        <v>0</v>
      </c>
      <c r="M15" s="56" t="n">
        <f aca="false">O14*Paths!AA15</f>
        <v>0</v>
      </c>
      <c r="N15" s="56" t="n">
        <f aca="false">IF($A15=1918,russia_writeoff*(O14+L15),0)</f>
        <v>0</v>
      </c>
      <c r="O15" s="56" t="n">
        <f aca="false">O14+L15-M15-N15</f>
        <v>0</v>
      </c>
      <c r="P15" s="56" t="n">
        <f aca="false">O14*Paths!Z15*Paths!AB15</f>
        <v>0</v>
      </c>
      <c r="Q15" s="56" t="n">
        <f aca="false">SUMPRODUCT((Events!$B$6:$B$174&lt;=$A15)*(Events!$C$6:$C$174&gt;=$A15)*(Events!$E$6:$E$174="Loan")*(Events!$F$6:$F$174="Rescue")*Events!$H$6:$H$174)</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false" outlineLevel="0" collapsed="false">
      <c r="A16" s="61" t="n">
        <v>1856</v>
      </c>
      <c r="B16" s="56" t="n">
        <f aca="false">SUMPRODUCT((Events!$B$6:$B$174&lt;=$A16)*(Events!$C$6:$C$174&gt;=$A16)*(Events!$E$6:$E$174="Loan")*(Events!$F$6:$F$174="Continental")*Events!$H$6:$H$174)</f>
        <v>0</v>
      </c>
      <c r="C16" s="56" t="n">
        <f aca="false">E15*cont_repay</f>
        <v>0</v>
      </c>
      <c r="D16" s="56" t="n">
        <f aca="false">0</f>
        <v>0</v>
      </c>
      <c r="E16" s="56" t="n">
        <f aca="false">E15+B16-C16-D16</f>
        <v>0</v>
      </c>
      <c r="F16" s="56" t="n">
        <f aca="false">E15*cont_coupon</f>
        <v>0</v>
      </c>
      <c r="G16" s="56" t="n">
        <f aca="false">SUMPRODUCT((Events!$B$6:$B$174&lt;=$A16)*(Events!$C$6:$C$174&gt;=$A16)*(Events!$E$6:$E$174="Loan")*(Events!$F$6:$F$174="Asia")*Events!$H$6:$H$174)</f>
        <v>0</v>
      </c>
      <c r="H16" s="56" t="n">
        <f aca="false">J15*asia_repay</f>
        <v>0</v>
      </c>
      <c r="I16" s="56" t="n">
        <f aca="false">0</f>
        <v>0</v>
      </c>
      <c r="J16" s="56" t="n">
        <f aca="false">J15+G16-H16-I16</f>
        <v>0</v>
      </c>
      <c r="K16" s="56" t="n">
        <f aca="false">J15*asia_coupon</f>
        <v>0</v>
      </c>
      <c r="L16" s="56" t="n">
        <f aca="false">SUMPRODUCT((Events!$B$6:$B$174&lt;=$A16)*(Events!$C$6:$C$174&gt;=$A16)*(Events!$E$6:$E$174="Loan")*(Events!$F$6:$F$174="Europe")*Events!$H$6:$H$174)</f>
        <v>0</v>
      </c>
      <c r="M16" s="56" t="n">
        <f aca="false">O15*Paths!AA16</f>
        <v>0</v>
      </c>
      <c r="N16" s="56" t="n">
        <f aca="false">IF($A16=1918,russia_writeoff*(O15+L16),0)</f>
        <v>0</v>
      </c>
      <c r="O16" s="56" t="n">
        <f aca="false">O15+L16-M16-N16</f>
        <v>0</v>
      </c>
      <c r="P16" s="56" t="n">
        <f aca="false">O15*Paths!Z16*Paths!AB16</f>
        <v>0</v>
      </c>
      <c r="Q16" s="56" t="n">
        <f aca="false">SUMPRODUCT((Events!$B$6:$B$174&lt;=$A16)*(Events!$C$6:$C$174&gt;=$A16)*(Events!$E$6:$E$174="Loan")*(Events!$F$6:$F$174="Rescue")*Events!$H$6:$H$174)</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false" outlineLevel="0" collapsed="false">
      <c r="A17" s="61" t="n">
        <v>1857</v>
      </c>
      <c r="B17" s="56" t="n">
        <f aca="false">SUMPRODUCT((Events!$B$6:$B$174&lt;=$A17)*(Events!$C$6:$C$174&gt;=$A17)*(Events!$E$6:$E$174="Loan")*(Events!$F$6:$F$174="Continental")*Events!$H$6:$H$174)</f>
        <v>0</v>
      </c>
      <c r="C17" s="56" t="n">
        <f aca="false">E16*cont_repay</f>
        <v>0</v>
      </c>
      <c r="D17" s="56" t="n">
        <f aca="false">0</f>
        <v>0</v>
      </c>
      <c r="E17" s="56" t="n">
        <f aca="false">E16+B17-C17-D17</f>
        <v>0</v>
      </c>
      <c r="F17" s="56" t="n">
        <f aca="false">E16*cont_coupon</f>
        <v>0</v>
      </c>
      <c r="G17" s="56" t="n">
        <f aca="false">SUMPRODUCT((Events!$B$6:$B$174&lt;=$A17)*(Events!$C$6:$C$174&gt;=$A17)*(Events!$E$6:$E$174="Loan")*(Events!$F$6:$F$174="Asia")*Events!$H$6:$H$174)</f>
        <v>0</v>
      </c>
      <c r="H17" s="56" t="n">
        <f aca="false">J16*asia_repay</f>
        <v>0</v>
      </c>
      <c r="I17" s="56" t="n">
        <f aca="false">0</f>
        <v>0</v>
      </c>
      <c r="J17" s="56" t="n">
        <f aca="false">J16+G17-H17-I17</f>
        <v>0</v>
      </c>
      <c r="K17" s="56" t="n">
        <f aca="false">J16*asia_coupon</f>
        <v>0</v>
      </c>
      <c r="L17" s="56" t="n">
        <f aca="false">SUMPRODUCT((Events!$B$6:$B$174&lt;=$A17)*(Events!$C$6:$C$174&gt;=$A17)*(Events!$E$6:$E$174="Loan")*(Events!$F$6:$F$174="Europe")*Events!$H$6:$H$174)</f>
        <v>0</v>
      </c>
      <c r="M17" s="56" t="n">
        <f aca="false">O16*Paths!AA17</f>
        <v>0</v>
      </c>
      <c r="N17" s="56" t="n">
        <f aca="false">IF($A17=1918,russia_writeoff*(O16+L17),0)</f>
        <v>0</v>
      </c>
      <c r="O17" s="56" t="n">
        <f aca="false">O16+L17-M17-N17</f>
        <v>0</v>
      </c>
      <c r="P17" s="56" t="n">
        <f aca="false">O16*Paths!Z17*Paths!AB17</f>
        <v>0</v>
      </c>
      <c r="Q17" s="56" t="n">
        <f aca="false">SUMPRODUCT((Events!$B$6:$B$174&lt;=$A17)*(Events!$C$6:$C$174&gt;=$A17)*(Events!$E$6:$E$174="Loan")*(Events!$F$6:$F$174="Rescue")*Events!$H$6:$H$174)</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false" outlineLevel="0" collapsed="false">
      <c r="A18" s="61" t="n">
        <v>1858</v>
      </c>
      <c r="B18" s="56" t="n">
        <f aca="false">SUMPRODUCT((Events!$B$6:$B$174&lt;=$A18)*(Events!$C$6:$C$174&gt;=$A18)*(Events!$E$6:$E$174="Loan")*(Events!$F$6:$F$174="Continental")*Events!$H$6:$H$174)</f>
        <v>0</v>
      </c>
      <c r="C18" s="56" t="n">
        <f aca="false">E17*cont_repay</f>
        <v>0</v>
      </c>
      <c r="D18" s="56" t="n">
        <f aca="false">0</f>
        <v>0</v>
      </c>
      <c r="E18" s="56" t="n">
        <f aca="false">E17+B18-C18-D18</f>
        <v>0</v>
      </c>
      <c r="F18" s="56" t="n">
        <f aca="false">E17*cont_coupon</f>
        <v>0</v>
      </c>
      <c r="G18" s="56" t="n">
        <f aca="false">SUMPRODUCT((Events!$B$6:$B$174&lt;=$A18)*(Events!$C$6:$C$174&gt;=$A18)*(Events!$E$6:$E$174="Loan")*(Events!$F$6:$F$174="Asia")*Events!$H$6:$H$174)</f>
        <v>0</v>
      </c>
      <c r="H18" s="56" t="n">
        <f aca="false">J17*asia_repay</f>
        <v>0</v>
      </c>
      <c r="I18" s="56" t="n">
        <f aca="false">0</f>
        <v>0</v>
      </c>
      <c r="J18" s="56" t="n">
        <f aca="false">J17+G18-H18-I18</f>
        <v>0</v>
      </c>
      <c r="K18" s="56" t="n">
        <f aca="false">J17*asia_coupon</f>
        <v>0</v>
      </c>
      <c r="L18" s="56" t="n">
        <f aca="false">SUMPRODUCT((Events!$B$6:$B$174&lt;=$A18)*(Events!$C$6:$C$174&gt;=$A18)*(Events!$E$6:$E$174="Loan")*(Events!$F$6:$F$174="Europe")*Events!$H$6:$H$174)</f>
        <v>0</v>
      </c>
      <c r="M18" s="56" t="n">
        <f aca="false">O17*Paths!AA18</f>
        <v>0</v>
      </c>
      <c r="N18" s="56" t="n">
        <f aca="false">IF($A18=1918,russia_writeoff*(O17+L18),0)</f>
        <v>0</v>
      </c>
      <c r="O18" s="56" t="n">
        <f aca="false">O17+L18-M18-N18</f>
        <v>0</v>
      </c>
      <c r="P18" s="56" t="n">
        <f aca="false">O17*Paths!Z18*Paths!AB18</f>
        <v>0</v>
      </c>
      <c r="Q18" s="56" t="n">
        <f aca="false">SUMPRODUCT((Events!$B$6:$B$174&lt;=$A18)*(Events!$C$6:$C$174&gt;=$A18)*(Events!$E$6:$E$174="Loan")*(Events!$F$6:$F$174="Rescue")*Events!$H$6:$H$174)</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false" outlineLevel="0" collapsed="false">
      <c r="A19" s="61" t="n">
        <v>1859</v>
      </c>
      <c r="B19" s="56" t="n">
        <f aca="false">SUMPRODUCT((Events!$B$6:$B$174&lt;=$A19)*(Events!$C$6:$C$174&gt;=$A19)*(Events!$E$6:$E$174="Loan")*(Events!$F$6:$F$174="Continental")*Events!$H$6:$H$174)</f>
        <v>0</v>
      </c>
      <c r="C19" s="56" t="n">
        <f aca="false">E18*cont_repay</f>
        <v>0</v>
      </c>
      <c r="D19" s="56" t="n">
        <f aca="false">0</f>
        <v>0</v>
      </c>
      <c r="E19" s="56" t="n">
        <f aca="false">E18+B19-C19-D19</f>
        <v>0</v>
      </c>
      <c r="F19" s="56" t="n">
        <f aca="false">E18*cont_coupon</f>
        <v>0</v>
      </c>
      <c r="G19" s="56" t="n">
        <f aca="false">SUMPRODUCT((Events!$B$6:$B$174&lt;=$A19)*(Events!$C$6:$C$174&gt;=$A19)*(Events!$E$6:$E$174="Loan")*(Events!$F$6:$F$174="Asia")*Events!$H$6:$H$174)</f>
        <v>0</v>
      </c>
      <c r="H19" s="56" t="n">
        <f aca="false">J18*asia_repay</f>
        <v>0</v>
      </c>
      <c r="I19" s="56" t="n">
        <f aca="false">0</f>
        <v>0</v>
      </c>
      <c r="J19" s="56" t="n">
        <f aca="false">J18+G19-H19-I19</f>
        <v>0</v>
      </c>
      <c r="K19" s="56" t="n">
        <f aca="false">J18*asia_coupon</f>
        <v>0</v>
      </c>
      <c r="L19" s="56" t="n">
        <f aca="false">SUMPRODUCT((Events!$B$6:$B$174&lt;=$A19)*(Events!$C$6:$C$174&gt;=$A19)*(Events!$E$6:$E$174="Loan")*(Events!$F$6:$F$174="Europe")*Events!$H$6:$H$174)</f>
        <v>0</v>
      </c>
      <c r="M19" s="56" t="n">
        <f aca="false">O18*Paths!AA19</f>
        <v>0</v>
      </c>
      <c r="N19" s="56" t="n">
        <f aca="false">IF($A19=1918,russia_writeoff*(O18+L19),0)</f>
        <v>0</v>
      </c>
      <c r="O19" s="56" t="n">
        <f aca="false">O18+L19-M19-N19</f>
        <v>0</v>
      </c>
      <c r="P19" s="56" t="n">
        <f aca="false">O18*Paths!Z19*Paths!AB19</f>
        <v>0</v>
      </c>
      <c r="Q19" s="56" t="n">
        <f aca="false">SUMPRODUCT((Events!$B$6:$B$174&lt;=$A19)*(Events!$C$6:$C$174&gt;=$A19)*(Events!$E$6:$E$174="Loan")*(Events!$F$6:$F$174="Rescue")*Events!$H$6:$H$174)</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false" outlineLevel="0" collapsed="false">
      <c r="A20" s="61" t="n">
        <v>1860</v>
      </c>
      <c r="B20" s="56" t="n">
        <f aca="false">SUMPRODUCT((Events!$B$6:$B$174&lt;=$A20)*(Events!$C$6:$C$174&gt;=$A20)*(Events!$E$6:$E$174="Loan")*(Events!$F$6:$F$174="Continental")*Events!$H$6:$H$174)</f>
        <v>0</v>
      </c>
      <c r="C20" s="56" t="n">
        <f aca="false">E19*cont_repay</f>
        <v>0</v>
      </c>
      <c r="D20" s="56" t="n">
        <f aca="false">0</f>
        <v>0</v>
      </c>
      <c r="E20" s="56" t="n">
        <f aca="false">E19+B20-C20-D20</f>
        <v>0</v>
      </c>
      <c r="F20" s="56" t="n">
        <f aca="false">E19*cont_coupon</f>
        <v>0</v>
      </c>
      <c r="G20" s="56" t="n">
        <f aca="false">SUMPRODUCT((Events!$B$6:$B$174&lt;=$A20)*(Events!$C$6:$C$174&gt;=$A20)*(Events!$E$6:$E$174="Loan")*(Events!$F$6:$F$174="Asia")*Events!$H$6:$H$174)</f>
        <v>0</v>
      </c>
      <c r="H20" s="56" t="n">
        <f aca="false">J19*asia_repay</f>
        <v>0</v>
      </c>
      <c r="I20" s="56" t="n">
        <f aca="false">0</f>
        <v>0</v>
      </c>
      <c r="J20" s="56" t="n">
        <f aca="false">J19+G20-H20-I20</f>
        <v>0</v>
      </c>
      <c r="K20" s="56" t="n">
        <f aca="false">J19*asia_coupon</f>
        <v>0</v>
      </c>
      <c r="L20" s="56" t="n">
        <f aca="false">SUMPRODUCT((Events!$B$6:$B$174&lt;=$A20)*(Events!$C$6:$C$174&gt;=$A20)*(Events!$E$6:$E$174="Loan")*(Events!$F$6:$F$174="Europe")*Events!$H$6:$H$174)</f>
        <v>0</v>
      </c>
      <c r="M20" s="56" t="n">
        <f aca="false">O19*Paths!AA20</f>
        <v>0</v>
      </c>
      <c r="N20" s="56" t="n">
        <f aca="false">IF($A20=1918,russia_writeoff*(O19+L20),0)</f>
        <v>0</v>
      </c>
      <c r="O20" s="56" t="n">
        <f aca="false">O19+L20-M20-N20</f>
        <v>0</v>
      </c>
      <c r="P20" s="56" t="n">
        <f aca="false">O19*Paths!Z20*Paths!AB20</f>
        <v>0</v>
      </c>
      <c r="Q20" s="56" t="n">
        <f aca="false">SUMPRODUCT((Events!$B$6:$B$174&lt;=$A20)*(Events!$C$6:$C$174&gt;=$A20)*(Events!$E$6:$E$174="Loan")*(Events!$F$6:$F$174="Rescue")*Events!$H$6:$H$174)</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false" outlineLevel="0" collapsed="false">
      <c r="A21" s="64" t="n">
        <v>1861</v>
      </c>
      <c r="B21" s="56" t="n">
        <f aca="false">SUMPRODUCT((Events!$B$6:$B$174&lt;=$A21)*(Events!$C$6:$C$174&gt;=$A21)*(Events!$E$6:$E$174="Loan")*(Events!$F$6:$F$174="Continental")*Events!$H$6:$H$174)</f>
        <v>0</v>
      </c>
      <c r="C21" s="56" t="n">
        <f aca="false">E20*cont_repay</f>
        <v>0</v>
      </c>
      <c r="D21" s="56" t="n">
        <f aca="false">0</f>
        <v>0</v>
      </c>
      <c r="E21" s="56" t="n">
        <f aca="false">E20+B21-C21-D21</f>
        <v>0</v>
      </c>
      <c r="F21" s="56" t="n">
        <f aca="false">E20*cont_coupon</f>
        <v>0</v>
      </c>
      <c r="G21" s="56" t="n">
        <f aca="false">SUMPRODUCT((Events!$B$6:$B$174&lt;=$A21)*(Events!$C$6:$C$174&gt;=$A21)*(Events!$E$6:$E$174="Loan")*(Events!$F$6:$F$174="Asia")*Events!$H$6:$H$174)</f>
        <v>0</v>
      </c>
      <c r="H21" s="56" t="n">
        <f aca="false">J20*asia_repay</f>
        <v>0</v>
      </c>
      <c r="I21" s="56" t="n">
        <f aca="false">0</f>
        <v>0</v>
      </c>
      <c r="J21" s="56" t="n">
        <f aca="false">J20+G21-H21-I21</f>
        <v>0</v>
      </c>
      <c r="K21" s="56" t="n">
        <f aca="false">J20*asia_coupon</f>
        <v>0</v>
      </c>
      <c r="L21" s="56" t="n">
        <f aca="false">SUMPRODUCT((Events!$B$6:$B$174&lt;=$A21)*(Events!$C$6:$C$174&gt;=$A21)*(Events!$E$6:$E$174="Loan")*(Events!$F$6:$F$174="Europe")*Events!$H$6:$H$174)</f>
        <v>0</v>
      </c>
      <c r="M21" s="56" t="n">
        <f aca="false">O20*Paths!AA21</f>
        <v>0</v>
      </c>
      <c r="N21" s="56" t="n">
        <f aca="false">IF($A21=1918,russia_writeoff*(O20+L21),0)</f>
        <v>0</v>
      </c>
      <c r="O21" s="56" t="n">
        <f aca="false">O20+L21-M21-N21</f>
        <v>0</v>
      </c>
      <c r="P21" s="56" t="n">
        <f aca="false">O20*Paths!Z21*Paths!AB21</f>
        <v>0</v>
      </c>
      <c r="Q21" s="56" t="n">
        <f aca="false">SUMPRODUCT((Events!$B$6:$B$174&lt;=$A21)*(Events!$C$6:$C$174&gt;=$A21)*(Events!$E$6:$E$174="Loan")*(Events!$F$6:$F$174="Rescue")*Events!$H$6:$H$174)</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false" outlineLevel="0" collapsed="false">
      <c r="A22" s="64" t="n">
        <v>1862</v>
      </c>
      <c r="B22" s="56" t="n">
        <f aca="false">SUMPRODUCT((Events!$B$6:$B$174&lt;=$A22)*(Events!$C$6:$C$174&gt;=$A22)*(Events!$E$6:$E$174="Loan")*(Events!$F$6:$F$174="Continental")*Events!$H$6:$H$174)</f>
        <v>0</v>
      </c>
      <c r="C22" s="56" t="n">
        <f aca="false">E21*cont_repay</f>
        <v>0</v>
      </c>
      <c r="D22" s="56" t="n">
        <f aca="false">0</f>
        <v>0</v>
      </c>
      <c r="E22" s="56" t="n">
        <f aca="false">E21+B22-C22-D22</f>
        <v>0</v>
      </c>
      <c r="F22" s="56" t="n">
        <f aca="false">E21*cont_coupon</f>
        <v>0</v>
      </c>
      <c r="G22" s="56" t="n">
        <f aca="false">SUMPRODUCT((Events!$B$6:$B$174&lt;=$A22)*(Events!$C$6:$C$174&gt;=$A22)*(Events!$E$6:$E$174="Loan")*(Events!$F$6:$F$174="Asia")*Events!$H$6:$H$174)</f>
        <v>0</v>
      </c>
      <c r="H22" s="56" t="n">
        <f aca="false">J21*asia_repay</f>
        <v>0</v>
      </c>
      <c r="I22" s="56" t="n">
        <f aca="false">0</f>
        <v>0</v>
      </c>
      <c r="J22" s="56" t="n">
        <f aca="false">J21+G22-H22-I22</f>
        <v>0</v>
      </c>
      <c r="K22" s="56" t="n">
        <f aca="false">J21*asia_coupon</f>
        <v>0</v>
      </c>
      <c r="L22" s="56" t="n">
        <f aca="false">SUMPRODUCT((Events!$B$6:$B$174&lt;=$A22)*(Events!$C$6:$C$174&gt;=$A22)*(Events!$E$6:$E$174="Loan")*(Events!$F$6:$F$174="Europe")*Events!$H$6:$H$174)</f>
        <v>0</v>
      </c>
      <c r="M22" s="56" t="n">
        <f aca="false">O21*Paths!AA22</f>
        <v>0</v>
      </c>
      <c r="N22" s="56" t="n">
        <f aca="false">IF($A22=1918,russia_writeoff*(O21+L22),0)</f>
        <v>0</v>
      </c>
      <c r="O22" s="56" t="n">
        <f aca="false">O21+L22-M22-N22</f>
        <v>0</v>
      </c>
      <c r="P22" s="56" t="n">
        <f aca="false">O21*Paths!Z22*Paths!AB22</f>
        <v>0</v>
      </c>
      <c r="Q22" s="56" t="n">
        <f aca="false">SUMPRODUCT((Events!$B$6:$B$174&lt;=$A22)*(Events!$C$6:$C$174&gt;=$A22)*(Events!$E$6:$E$174="Loan")*(Events!$F$6:$F$174="Rescue")*Events!$H$6:$H$174)</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false" outlineLevel="0" collapsed="false">
      <c r="A23" s="64" t="n">
        <v>1863</v>
      </c>
      <c r="B23" s="56" t="n">
        <f aca="false">SUMPRODUCT((Events!$B$6:$B$174&lt;=$A23)*(Events!$C$6:$C$174&gt;=$A23)*(Events!$E$6:$E$174="Loan")*(Events!$F$6:$F$174="Continental")*Events!$H$6:$H$174)</f>
        <v>0</v>
      </c>
      <c r="C23" s="56" t="n">
        <f aca="false">E22*cont_repay</f>
        <v>0</v>
      </c>
      <c r="D23" s="56" t="n">
        <f aca="false">0</f>
        <v>0</v>
      </c>
      <c r="E23" s="56" t="n">
        <f aca="false">E22+B23-C23-D23</f>
        <v>0</v>
      </c>
      <c r="F23" s="56" t="n">
        <f aca="false">E22*cont_coupon</f>
        <v>0</v>
      </c>
      <c r="G23" s="56" t="n">
        <f aca="false">SUMPRODUCT((Events!$B$6:$B$174&lt;=$A23)*(Events!$C$6:$C$174&gt;=$A23)*(Events!$E$6:$E$174="Loan")*(Events!$F$6:$F$174="Asia")*Events!$H$6:$H$174)</f>
        <v>0</v>
      </c>
      <c r="H23" s="56" t="n">
        <f aca="false">J22*asia_repay</f>
        <v>0</v>
      </c>
      <c r="I23" s="56" t="n">
        <f aca="false">0</f>
        <v>0</v>
      </c>
      <c r="J23" s="56" t="n">
        <f aca="false">J22+G23-H23-I23</f>
        <v>0</v>
      </c>
      <c r="K23" s="56" t="n">
        <f aca="false">J22*asia_coupon</f>
        <v>0</v>
      </c>
      <c r="L23" s="56" t="n">
        <f aca="false">SUMPRODUCT((Events!$B$6:$B$174&lt;=$A23)*(Events!$C$6:$C$174&gt;=$A23)*(Events!$E$6:$E$174="Loan")*(Events!$F$6:$F$174="Europe")*Events!$H$6:$H$174)</f>
        <v>0</v>
      </c>
      <c r="M23" s="56" t="n">
        <f aca="false">O22*Paths!AA23</f>
        <v>0</v>
      </c>
      <c r="N23" s="56" t="n">
        <f aca="false">IF($A23=1918,russia_writeoff*(O22+L23),0)</f>
        <v>0</v>
      </c>
      <c r="O23" s="56" t="n">
        <f aca="false">O22+L23-M23-N23</f>
        <v>0</v>
      </c>
      <c r="P23" s="56" t="n">
        <f aca="false">O22*Paths!Z23*Paths!AB23</f>
        <v>0</v>
      </c>
      <c r="Q23" s="56" t="n">
        <f aca="false">SUMPRODUCT((Events!$B$6:$B$174&lt;=$A23)*(Events!$C$6:$C$174&gt;=$A23)*(Events!$E$6:$E$174="Loan")*(Events!$F$6:$F$174="Rescue")*Events!$H$6:$H$174)</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false" outlineLevel="0" collapsed="false">
      <c r="A24" s="64" t="n">
        <v>1864</v>
      </c>
      <c r="B24" s="56" t="n">
        <f aca="false">SUMPRODUCT((Events!$B$6:$B$174&lt;=$A24)*(Events!$C$6:$C$174&gt;=$A24)*(Events!$E$6:$E$174="Loan")*(Events!$F$6:$F$174="Continental")*Events!$H$6:$H$174)</f>
        <v>0</v>
      </c>
      <c r="C24" s="56" t="n">
        <f aca="false">E23*cont_repay</f>
        <v>0</v>
      </c>
      <c r="D24" s="56" t="n">
        <f aca="false">0</f>
        <v>0</v>
      </c>
      <c r="E24" s="56" t="n">
        <f aca="false">E23+B24-C24-D24</f>
        <v>0</v>
      </c>
      <c r="F24" s="56" t="n">
        <f aca="false">E23*cont_coupon</f>
        <v>0</v>
      </c>
      <c r="G24" s="56" t="n">
        <f aca="false">SUMPRODUCT((Events!$B$6:$B$174&lt;=$A24)*(Events!$C$6:$C$174&gt;=$A24)*(Events!$E$6:$E$174="Loan")*(Events!$F$6:$F$174="Asia")*Events!$H$6:$H$174)</f>
        <v>0</v>
      </c>
      <c r="H24" s="56" t="n">
        <f aca="false">J23*asia_repay</f>
        <v>0</v>
      </c>
      <c r="I24" s="56" t="n">
        <f aca="false">0</f>
        <v>0</v>
      </c>
      <c r="J24" s="56" t="n">
        <f aca="false">J23+G24-H24-I24</f>
        <v>0</v>
      </c>
      <c r="K24" s="56" t="n">
        <f aca="false">J23*asia_coupon</f>
        <v>0</v>
      </c>
      <c r="L24" s="56" t="n">
        <f aca="false">SUMPRODUCT((Events!$B$6:$B$174&lt;=$A24)*(Events!$C$6:$C$174&gt;=$A24)*(Events!$E$6:$E$174="Loan")*(Events!$F$6:$F$174="Europe")*Events!$H$6:$H$174)</f>
        <v>0</v>
      </c>
      <c r="M24" s="56" t="n">
        <f aca="false">O23*Paths!AA24</f>
        <v>0</v>
      </c>
      <c r="N24" s="56" t="n">
        <f aca="false">IF($A24=1918,russia_writeoff*(O23+L24),0)</f>
        <v>0</v>
      </c>
      <c r="O24" s="56" t="n">
        <f aca="false">O23+L24-M24-N24</f>
        <v>0</v>
      </c>
      <c r="P24" s="56" t="n">
        <f aca="false">O23*Paths!Z24*Paths!AB24</f>
        <v>0</v>
      </c>
      <c r="Q24" s="56" t="n">
        <f aca="false">SUMPRODUCT((Events!$B$6:$B$174&lt;=$A24)*(Events!$C$6:$C$174&gt;=$A24)*(Events!$E$6:$E$174="Loan")*(Events!$F$6:$F$174="Rescue")*Events!$H$6:$H$174)</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false" outlineLevel="0" collapsed="false">
      <c r="A25" s="64" t="n">
        <v>1865</v>
      </c>
      <c r="B25" s="56" t="n">
        <f aca="false">SUMPRODUCT((Events!$B$6:$B$174&lt;=$A25)*(Events!$C$6:$C$174&gt;=$A25)*(Events!$E$6:$E$174="Loan")*(Events!$F$6:$F$174="Continental")*Events!$H$6:$H$174)</f>
        <v>0</v>
      </c>
      <c r="C25" s="56" t="n">
        <f aca="false">E24*cont_repay</f>
        <v>0</v>
      </c>
      <c r="D25" s="56" t="n">
        <f aca="false">0</f>
        <v>0</v>
      </c>
      <c r="E25" s="56" t="n">
        <f aca="false">E24+B25-C25-D25</f>
        <v>0</v>
      </c>
      <c r="F25" s="56" t="n">
        <f aca="false">E24*cont_coupon</f>
        <v>0</v>
      </c>
      <c r="G25" s="56" t="n">
        <f aca="false">SUMPRODUCT((Events!$B$6:$B$174&lt;=$A25)*(Events!$C$6:$C$174&gt;=$A25)*(Events!$E$6:$E$174="Loan")*(Events!$F$6:$F$174="Asia")*Events!$H$6:$H$174)</f>
        <v>0</v>
      </c>
      <c r="H25" s="56" t="n">
        <f aca="false">J24*asia_repay</f>
        <v>0</v>
      </c>
      <c r="I25" s="56" t="n">
        <f aca="false">0</f>
        <v>0</v>
      </c>
      <c r="J25" s="56" t="n">
        <f aca="false">J24+G25-H25-I25</f>
        <v>0</v>
      </c>
      <c r="K25" s="56" t="n">
        <f aca="false">J24*asia_coupon</f>
        <v>0</v>
      </c>
      <c r="L25" s="56" t="n">
        <f aca="false">SUMPRODUCT((Events!$B$6:$B$174&lt;=$A25)*(Events!$C$6:$C$174&gt;=$A25)*(Events!$E$6:$E$174="Loan")*(Events!$F$6:$F$174="Europe")*Events!$H$6:$H$174)</f>
        <v>0</v>
      </c>
      <c r="M25" s="56" t="n">
        <f aca="false">O24*Paths!AA25</f>
        <v>0</v>
      </c>
      <c r="N25" s="56" t="n">
        <f aca="false">IF($A25=1918,russia_writeoff*(O24+L25),0)</f>
        <v>0</v>
      </c>
      <c r="O25" s="56" t="n">
        <f aca="false">O24+L25-M25-N25</f>
        <v>0</v>
      </c>
      <c r="P25" s="56" t="n">
        <f aca="false">O24*Paths!Z25*Paths!AB25</f>
        <v>0</v>
      </c>
      <c r="Q25" s="56" t="n">
        <f aca="false">SUMPRODUCT((Events!$B$6:$B$174&lt;=$A25)*(Events!$C$6:$C$174&gt;=$A25)*(Events!$E$6:$E$174="Loan")*(Events!$F$6:$F$174="Rescue")*Events!$H$6:$H$174)</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false" outlineLevel="0" collapsed="false">
      <c r="A26" s="61" t="n">
        <v>1866</v>
      </c>
      <c r="B26" s="56" t="n">
        <f aca="false">SUMPRODUCT((Events!$B$6:$B$174&lt;=$A26)*(Events!$C$6:$C$174&gt;=$A26)*(Events!$E$6:$E$174="Loan")*(Events!$F$6:$F$174="Continental")*Events!$H$6:$H$174)</f>
        <v>0</v>
      </c>
      <c r="C26" s="56" t="n">
        <f aca="false">E25*cont_repay</f>
        <v>0</v>
      </c>
      <c r="D26" s="56" t="n">
        <f aca="false">0</f>
        <v>0</v>
      </c>
      <c r="E26" s="56" t="n">
        <f aca="false">E25+B26-C26-D26</f>
        <v>0</v>
      </c>
      <c r="F26" s="56" t="n">
        <f aca="false">E25*cont_coupon</f>
        <v>0</v>
      </c>
      <c r="G26" s="56" t="n">
        <f aca="false">SUMPRODUCT((Events!$B$6:$B$174&lt;=$A26)*(Events!$C$6:$C$174&gt;=$A26)*(Events!$E$6:$E$174="Loan")*(Events!$F$6:$F$174="Asia")*Events!$H$6:$H$174)</f>
        <v>0</v>
      </c>
      <c r="H26" s="56" t="n">
        <f aca="false">J25*asia_repay</f>
        <v>0</v>
      </c>
      <c r="I26" s="56" t="n">
        <f aca="false">0</f>
        <v>0</v>
      </c>
      <c r="J26" s="56" t="n">
        <f aca="false">J25+G26-H26-I26</f>
        <v>0</v>
      </c>
      <c r="K26" s="56" t="n">
        <f aca="false">J25*asia_coupon</f>
        <v>0</v>
      </c>
      <c r="L26" s="56" t="n">
        <f aca="false">SUMPRODUCT((Events!$B$6:$B$174&lt;=$A26)*(Events!$C$6:$C$174&gt;=$A26)*(Events!$E$6:$E$174="Loan")*(Events!$F$6:$F$174="Europe")*Events!$H$6:$H$174)</f>
        <v>0</v>
      </c>
      <c r="M26" s="56" t="n">
        <f aca="false">O25*Paths!AA26</f>
        <v>0</v>
      </c>
      <c r="N26" s="56" t="n">
        <f aca="false">IF($A26=1918,russia_writeoff*(O25+L26),0)</f>
        <v>0</v>
      </c>
      <c r="O26" s="56" t="n">
        <f aca="false">O25+L26-M26-N26</f>
        <v>0</v>
      </c>
      <c r="P26" s="56" t="n">
        <f aca="false">O25*Paths!Z26*Paths!AB26</f>
        <v>0</v>
      </c>
      <c r="Q26" s="56" t="n">
        <f aca="false">SUMPRODUCT((Events!$B$6:$B$174&lt;=$A26)*(Events!$C$6:$C$174&gt;=$A26)*(Events!$E$6:$E$174="Loan")*(Events!$F$6:$F$174="Rescue")*Events!$H$6:$H$174)</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false" outlineLevel="0" collapsed="false">
      <c r="A27" s="61" t="n">
        <v>1867</v>
      </c>
      <c r="B27" s="56" t="n">
        <f aca="false">SUMPRODUCT((Events!$B$6:$B$174&lt;=$A27)*(Events!$C$6:$C$174&gt;=$A27)*(Events!$E$6:$E$174="Loan")*(Events!$F$6:$F$174="Continental")*Events!$H$6:$H$174)</f>
        <v>10</v>
      </c>
      <c r="C27" s="56" t="n">
        <f aca="false">E26*cont_repay</f>
        <v>0</v>
      </c>
      <c r="D27" s="56" t="n">
        <f aca="false">0</f>
        <v>0</v>
      </c>
      <c r="E27" s="56" t="n">
        <f aca="false">E26+B27-C27-D27</f>
        <v>10</v>
      </c>
      <c r="F27" s="56" t="n">
        <f aca="false">E26*cont_coupon</f>
        <v>0</v>
      </c>
      <c r="G27" s="56" t="n">
        <f aca="false">SUMPRODUCT((Events!$B$6:$B$174&lt;=$A27)*(Events!$C$6:$C$174&gt;=$A27)*(Events!$E$6:$E$174="Loan")*(Events!$F$6:$F$174="Asia")*Events!$H$6:$H$174)</f>
        <v>0</v>
      </c>
      <c r="H27" s="56" t="n">
        <f aca="false">J26*asia_repay</f>
        <v>0</v>
      </c>
      <c r="I27" s="56" t="n">
        <f aca="false">0</f>
        <v>0</v>
      </c>
      <c r="J27" s="56" t="n">
        <f aca="false">J26+G27-H27-I27</f>
        <v>0</v>
      </c>
      <c r="K27" s="56" t="n">
        <f aca="false">J26*asia_coupon</f>
        <v>0</v>
      </c>
      <c r="L27" s="56" t="n">
        <f aca="false">SUMPRODUCT((Events!$B$6:$B$174&lt;=$A27)*(Events!$C$6:$C$174&gt;=$A27)*(Events!$E$6:$E$174="Loan")*(Events!$F$6:$F$174="Europe")*Events!$H$6:$H$174)</f>
        <v>0</v>
      </c>
      <c r="M27" s="56" t="n">
        <f aca="false">O26*Paths!AA27</f>
        <v>0</v>
      </c>
      <c r="N27" s="56" t="n">
        <f aca="false">IF($A27=1918,russia_writeoff*(O26+L27),0)</f>
        <v>0</v>
      </c>
      <c r="O27" s="56" t="n">
        <f aca="false">O26+L27-M27-N27</f>
        <v>0</v>
      </c>
      <c r="P27" s="56" t="n">
        <f aca="false">O26*Paths!Z27*Paths!AB27</f>
        <v>0</v>
      </c>
      <c r="Q27" s="56" t="n">
        <f aca="false">SUMPRODUCT((Events!$B$6:$B$174&lt;=$A27)*(Events!$C$6:$C$174&gt;=$A27)*(Events!$E$6:$E$174="Loan")*(Events!$F$6:$F$174="Rescue")*Events!$H$6:$H$174)</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false" outlineLevel="0" collapsed="false">
      <c r="A28" s="61" t="n">
        <v>1868</v>
      </c>
      <c r="B28" s="56" t="n">
        <f aca="false">SUMPRODUCT((Events!$B$6:$B$174&lt;=$A28)*(Events!$C$6:$C$174&gt;=$A28)*(Events!$E$6:$E$174="Loan")*(Events!$F$6:$F$174="Continental")*Events!$H$6:$H$174)</f>
        <v>0</v>
      </c>
      <c r="C28" s="56" t="n">
        <f aca="false">E27*cont_repay</f>
        <v>0.4</v>
      </c>
      <c r="D28" s="56" t="n">
        <f aca="false">0</f>
        <v>0</v>
      </c>
      <c r="E28" s="56" t="n">
        <f aca="false">E27+B28-C28-D28</f>
        <v>9.6</v>
      </c>
      <c r="F28" s="56" t="n">
        <f aca="false">E27*cont_coupon</f>
        <v>0.5</v>
      </c>
      <c r="G28" s="56" t="n">
        <f aca="false">SUMPRODUCT((Events!$B$6:$B$174&lt;=$A28)*(Events!$C$6:$C$174&gt;=$A28)*(Events!$E$6:$E$174="Loan")*(Events!$F$6:$F$174="Asia")*Events!$H$6:$H$174)</f>
        <v>0</v>
      </c>
      <c r="H28" s="56" t="n">
        <f aca="false">J27*asia_repay</f>
        <v>0</v>
      </c>
      <c r="I28" s="56" t="n">
        <f aca="false">0</f>
        <v>0</v>
      </c>
      <c r="J28" s="56" t="n">
        <f aca="false">J27+G28-H28-I28</f>
        <v>0</v>
      </c>
      <c r="K28" s="56" t="n">
        <f aca="false">J27*asia_coupon</f>
        <v>0</v>
      </c>
      <c r="L28" s="56" t="n">
        <f aca="false">SUMPRODUCT((Events!$B$6:$B$174&lt;=$A28)*(Events!$C$6:$C$174&gt;=$A28)*(Events!$E$6:$E$174="Loan")*(Events!$F$6:$F$174="Europe")*Events!$H$6:$H$174)</f>
        <v>0</v>
      </c>
      <c r="M28" s="56" t="n">
        <f aca="false">O27*Paths!AA28</f>
        <v>0</v>
      </c>
      <c r="N28" s="56" t="n">
        <f aca="false">IF($A28=1918,russia_writeoff*(O27+L28),0)</f>
        <v>0</v>
      </c>
      <c r="O28" s="56" t="n">
        <f aca="false">O27+L28-M28-N28</f>
        <v>0</v>
      </c>
      <c r="P28" s="56" t="n">
        <f aca="false">O27*Paths!Z28*Paths!AB28</f>
        <v>0</v>
      </c>
      <c r="Q28" s="56" t="n">
        <f aca="false">SUMPRODUCT((Events!$B$6:$B$174&lt;=$A28)*(Events!$C$6:$C$174&gt;=$A28)*(Events!$E$6:$E$174="Loan")*(Events!$F$6:$F$174="Rescue")*Events!$H$6:$H$174)</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false" outlineLevel="0" collapsed="false">
      <c r="A29" s="61" t="n">
        <v>1869</v>
      </c>
      <c r="B29" s="56" t="n">
        <f aca="false">SUMPRODUCT((Events!$B$6:$B$174&lt;=$A29)*(Events!$C$6:$C$174&gt;=$A29)*(Events!$E$6:$E$174="Loan")*(Events!$F$6:$F$174="Continental")*Events!$H$6:$H$174)</f>
        <v>0</v>
      </c>
      <c r="C29" s="56" t="n">
        <f aca="false">E28*cont_repay</f>
        <v>0.384</v>
      </c>
      <c r="D29" s="56" t="n">
        <f aca="false">0</f>
        <v>0</v>
      </c>
      <c r="E29" s="56" t="n">
        <f aca="false">E28+B29-C29-D29</f>
        <v>9.216</v>
      </c>
      <c r="F29" s="56" t="n">
        <f aca="false">E28*cont_coupon</f>
        <v>0.48</v>
      </c>
      <c r="G29" s="56" t="n">
        <f aca="false">SUMPRODUCT((Events!$B$6:$B$174&lt;=$A29)*(Events!$C$6:$C$174&gt;=$A29)*(Events!$E$6:$E$174="Loan")*(Events!$F$6:$F$174="Asia")*Events!$H$6:$H$174)</f>
        <v>0</v>
      </c>
      <c r="H29" s="56" t="n">
        <f aca="false">J28*asia_repay</f>
        <v>0</v>
      </c>
      <c r="I29" s="56" t="n">
        <f aca="false">0</f>
        <v>0</v>
      </c>
      <c r="J29" s="56" t="n">
        <f aca="false">J28+G29-H29-I29</f>
        <v>0</v>
      </c>
      <c r="K29" s="56" t="n">
        <f aca="false">J28*asia_coupon</f>
        <v>0</v>
      </c>
      <c r="L29" s="56" t="n">
        <f aca="false">SUMPRODUCT((Events!$B$6:$B$174&lt;=$A29)*(Events!$C$6:$C$174&gt;=$A29)*(Events!$E$6:$E$174="Loan")*(Events!$F$6:$F$174="Europe")*Events!$H$6:$H$174)</f>
        <v>0</v>
      </c>
      <c r="M29" s="56" t="n">
        <f aca="false">O28*Paths!AA29</f>
        <v>0</v>
      </c>
      <c r="N29" s="56" t="n">
        <f aca="false">IF($A29=1918,russia_writeoff*(O28+L29),0)</f>
        <v>0</v>
      </c>
      <c r="O29" s="56" t="n">
        <f aca="false">O28+L29-M29-N29</f>
        <v>0</v>
      </c>
      <c r="P29" s="56" t="n">
        <f aca="false">O28*Paths!Z29*Paths!AB29</f>
        <v>0</v>
      </c>
      <c r="Q29" s="56" t="n">
        <f aca="false">SUMPRODUCT((Events!$B$6:$B$174&lt;=$A29)*(Events!$C$6:$C$174&gt;=$A29)*(Events!$E$6:$E$174="Loan")*(Events!$F$6:$F$174="Rescue")*Events!$H$6:$H$174)</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false" outlineLevel="0" collapsed="false">
      <c r="A30" s="64" t="n">
        <v>1870</v>
      </c>
      <c r="B30" s="56" t="n">
        <f aca="false">SUMPRODUCT((Events!$B$6:$B$174&lt;=$A30)*(Events!$C$6:$C$174&gt;=$A30)*(Events!$E$6:$E$174="Loan")*(Events!$F$6:$F$174="Continental")*Events!$H$6:$H$174)</f>
        <v>0</v>
      </c>
      <c r="C30" s="56" t="n">
        <f aca="false">E29*cont_repay</f>
        <v>0.36864</v>
      </c>
      <c r="D30" s="56" t="n">
        <f aca="false">0</f>
        <v>0</v>
      </c>
      <c r="E30" s="56" t="n">
        <f aca="false">E29+B30-C30-D30</f>
        <v>8.84736</v>
      </c>
      <c r="F30" s="56" t="n">
        <f aca="false">E29*cont_coupon</f>
        <v>0.4608</v>
      </c>
      <c r="G30" s="56" t="n">
        <f aca="false">SUMPRODUCT((Events!$B$6:$B$174&lt;=$A30)*(Events!$C$6:$C$174&gt;=$A30)*(Events!$E$6:$E$174="Loan")*(Events!$F$6:$F$174="Asia")*Events!$H$6:$H$174)</f>
        <v>5</v>
      </c>
      <c r="H30" s="56" t="n">
        <f aca="false">J29*asia_repay</f>
        <v>0</v>
      </c>
      <c r="I30" s="56" t="n">
        <f aca="false">0</f>
        <v>0</v>
      </c>
      <c r="J30" s="56" t="n">
        <f aca="false">J29+G30-H30-I30</f>
        <v>5</v>
      </c>
      <c r="K30" s="56" t="n">
        <f aca="false">J29*asia_coupon</f>
        <v>0</v>
      </c>
      <c r="L30" s="56" t="n">
        <f aca="false">SUMPRODUCT((Events!$B$6:$B$174&lt;=$A30)*(Events!$C$6:$C$174&gt;=$A30)*(Events!$E$6:$E$174="Loan")*(Events!$F$6:$F$174="Europe")*Events!$H$6:$H$174)</f>
        <v>0</v>
      </c>
      <c r="M30" s="56" t="n">
        <f aca="false">O29*Paths!AA30</f>
        <v>0</v>
      </c>
      <c r="N30" s="56" t="n">
        <f aca="false">IF($A30=1918,russia_writeoff*(O29+L30),0)</f>
        <v>0</v>
      </c>
      <c r="O30" s="56" t="n">
        <f aca="false">O29+L30-M30-N30</f>
        <v>0</v>
      </c>
      <c r="P30" s="56" t="n">
        <f aca="false">O29*Paths!Z30*Paths!AB30</f>
        <v>0</v>
      </c>
      <c r="Q30" s="56" t="n">
        <f aca="false">SUMPRODUCT((Events!$B$6:$B$174&lt;=$A30)*(Events!$C$6:$C$174&gt;=$A30)*(Events!$E$6:$E$174="Loan")*(Events!$F$6:$F$174="Rescue")*Events!$H$6:$H$174)</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false" outlineLevel="0" collapsed="false">
      <c r="A31" s="64" t="n">
        <v>1871</v>
      </c>
      <c r="B31" s="56" t="n">
        <f aca="false">SUMPRODUCT((Events!$B$6:$B$174&lt;=$A31)*(Events!$C$6:$C$174&gt;=$A31)*(Events!$E$6:$E$174="Loan")*(Events!$F$6:$F$174="Continental")*Events!$H$6:$H$174)</f>
        <v>12.5</v>
      </c>
      <c r="C31" s="56" t="n">
        <f aca="false">E30*cont_repay</f>
        <v>0.3538944</v>
      </c>
      <c r="D31" s="56" t="n">
        <f aca="false">0</f>
        <v>0</v>
      </c>
      <c r="E31" s="56" t="n">
        <f aca="false">E30+B31-C31-D31</f>
        <v>20.9934656</v>
      </c>
      <c r="F31" s="56" t="n">
        <f aca="false">E30*cont_coupon</f>
        <v>0.442368</v>
      </c>
      <c r="G31" s="56" t="n">
        <f aca="false">SUMPRODUCT((Events!$B$6:$B$174&lt;=$A31)*(Events!$C$6:$C$174&gt;=$A31)*(Events!$E$6:$E$174="Loan")*(Events!$F$6:$F$174="Asia")*Events!$H$6:$H$174)</f>
        <v>0</v>
      </c>
      <c r="H31" s="56" t="n">
        <f aca="false">J30*asia_repay</f>
        <v>0.2</v>
      </c>
      <c r="I31" s="56" t="n">
        <f aca="false">0</f>
        <v>0</v>
      </c>
      <c r="J31" s="56" t="n">
        <f aca="false">J30+G31-H31-I31</f>
        <v>4.8</v>
      </c>
      <c r="K31" s="56" t="n">
        <f aca="false">J30*asia_coupon</f>
        <v>0.275</v>
      </c>
      <c r="L31" s="56" t="n">
        <f aca="false">SUMPRODUCT((Events!$B$6:$B$174&lt;=$A31)*(Events!$C$6:$C$174&gt;=$A31)*(Events!$E$6:$E$174="Loan")*(Events!$F$6:$F$174="Europe")*Events!$H$6:$H$174)</f>
        <v>0</v>
      </c>
      <c r="M31" s="56" t="n">
        <f aca="false">O30*Paths!AA31</f>
        <v>0</v>
      </c>
      <c r="N31" s="56" t="n">
        <f aca="false">IF($A31=1918,russia_writeoff*(O30+L31),0)</f>
        <v>0</v>
      </c>
      <c r="O31" s="56" t="n">
        <f aca="false">O30+L31-M31-N31</f>
        <v>0</v>
      </c>
      <c r="P31" s="56" t="n">
        <f aca="false">O30*Paths!Z31*Paths!AB31</f>
        <v>0</v>
      </c>
      <c r="Q31" s="56" t="n">
        <f aca="false">SUMPRODUCT((Events!$B$6:$B$174&lt;=$A31)*(Events!$C$6:$C$174&gt;=$A31)*(Events!$E$6:$E$174="Loan")*(Events!$F$6:$F$174="Rescue")*Events!$H$6:$H$174)</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false" outlineLevel="0" collapsed="false">
      <c r="A32" s="61" t="n">
        <v>1872</v>
      </c>
      <c r="B32" s="56" t="n">
        <f aca="false">SUMPRODUCT((Events!$B$6:$B$174&lt;=$A32)*(Events!$C$6:$C$174&gt;=$A32)*(Events!$E$6:$E$174="Loan")*(Events!$F$6:$F$174="Continental")*Events!$H$6:$H$174)</f>
        <v>12.5</v>
      </c>
      <c r="C32" s="56" t="n">
        <f aca="false">E31*cont_repay</f>
        <v>0.839738624</v>
      </c>
      <c r="D32" s="56" t="n">
        <f aca="false">0</f>
        <v>0</v>
      </c>
      <c r="E32" s="56" t="n">
        <f aca="false">E31+B32-C32-D32</f>
        <v>32.653726976</v>
      </c>
      <c r="F32" s="56" t="n">
        <f aca="false">E31*cont_coupon</f>
        <v>1.04967328</v>
      </c>
      <c r="G32" s="56" t="n">
        <f aca="false">SUMPRODUCT((Events!$B$6:$B$174&lt;=$A32)*(Events!$C$6:$C$174&gt;=$A32)*(Events!$E$6:$E$174="Loan")*(Events!$F$6:$F$174="Asia")*Events!$H$6:$H$174)</f>
        <v>4</v>
      </c>
      <c r="H32" s="56" t="n">
        <f aca="false">J31*asia_repay</f>
        <v>0.192</v>
      </c>
      <c r="I32" s="56" t="n">
        <f aca="false">0</f>
        <v>0</v>
      </c>
      <c r="J32" s="56" t="n">
        <f aca="false">J31+G32-H32-I32</f>
        <v>8.608</v>
      </c>
      <c r="K32" s="56" t="n">
        <f aca="false">J31*asia_coupon</f>
        <v>0.264</v>
      </c>
      <c r="L32" s="56" t="n">
        <f aca="false">SUMPRODUCT((Events!$B$6:$B$174&lt;=$A32)*(Events!$C$6:$C$174&gt;=$A32)*(Events!$E$6:$E$174="Loan")*(Events!$F$6:$F$174="Europe")*Events!$H$6:$H$174)</f>
        <v>0</v>
      </c>
      <c r="M32" s="56" t="n">
        <f aca="false">O31*Paths!AA32</f>
        <v>0</v>
      </c>
      <c r="N32" s="56" t="n">
        <f aca="false">IF($A32=1918,russia_writeoff*(O31+L32),0)</f>
        <v>0</v>
      </c>
      <c r="O32" s="56" t="n">
        <f aca="false">O31+L32-M32-N32</f>
        <v>0</v>
      </c>
      <c r="P32" s="56" t="n">
        <f aca="false">O31*Paths!Z32*Paths!AB32</f>
        <v>0</v>
      </c>
      <c r="Q32" s="56" t="n">
        <f aca="false">SUMPRODUCT((Events!$B$6:$B$174&lt;=$A32)*(Events!$C$6:$C$174&gt;=$A32)*(Events!$E$6:$E$174="Loan")*(Events!$F$6:$F$174="Rescue")*Events!$H$6:$H$174)</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false" outlineLevel="0" collapsed="false">
      <c r="A33" s="61" t="n">
        <v>1873</v>
      </c>
      <c r="B33" s="56" t="n">
        <f aca="false">SUMPRODUCT((Events!$B$6:$B$174&lt;=$A33)*(Events!$C$6:$C$174&gt;=$A33)*(Events!$E$6:$E$174="Loan")*(Events!$F$6:$F$174="Continental")*Events!$H$6:$H$174)</f>
        <v>0</v>
      </c>
      <c r="C33" s="56" t="n">
        <f aca="false">E32*cont_repay</f>
        <v>1.30614907904</v>
      </c>
      <c r="D33" s="56" t="n">
        <f aca="false">0</f>
        <v>0</v>
      </c>
      <c r="E33" s="56" t="n">
        <f aca="false">E32+B33-C33-D33</f>
        <v>31.34757789696</v>
      </c>
      <c r="F33" s="56" t="n">
        <f aca="false">E32*cont_coupon</f>
        <v>1.6326863488</v>
      </c>
      <c r="G33" s="56" t="n">
        <f aca="false">SUMPRODUCT((Events!$B$6:$B$174&lt;=$A33)*(Events!$C$6:$C$174&gt;=$A33)*(Events!$E$6:$E$174="Loan")*(Events!$F$6:$F$174="Asia")*Events!$H$6:$H$174)</f>
        <v>0</v>
      </c>
      <c r="H33" s="56" t="n">
        <f aca="false">J32*asia_repay</f>
        <v>0.34432</v>
      </c>
      <c r="I33" s="56" t="n">
        <f aca="false">0</f>
        <v>0</v>
      </c>
      <c r="J33" s="56" t="n">
        <f aca="false">J32+G33-H33-I33</f>
        <v>8.26368</v>
      </c>
      <c r="K33" s="56" t="n">
        <f aca="false">J32*asia_coupon</f>
        <v>0.47344</v>
      </c>
      <c r="L33" s="56" t="n">
        <f aca="false">SUMPRODUCT((Events!$B$6:$B$174&lt;=$A33)*(Events!$C$6:$C$174&gt;=$A33)*(Events!$E$6:$E$174="Loan")*(Events!$F$6:$F$174="Europe")*Events!$H$6:$H$174)</f>
        <v>0</v>
      </c>
      <c r="M33" s="56" t="n">
        <f aca="false">O32*Paths!AA33</f>
        <v>0</v>
      </c>
      <c r="N33" s="56" t="n">
        <f aca="false">IF($A33=1918,russia_writeoff*(O32+L33),0)</f>
        <v>0</v>
      </c>
      <c r="O33" s="56" t="n">
        <f aca="false">O32+L33-M33-N33</f>
        <v>0</v>
      </c>
      <c r="P33" s="56" t="n">
        <f aca="false">O32*Paths!Z33*Paths!AB33</f>
        <v>0</v>
      </c>
      <c r="Q33" s="56" t="n">
        <f aca="false">SUMPRODUCT((Events!$B$6:$B$174&lt;=$A33)*(Events!$C$6:$C$174&gt;=$A33)*(Events!$E$6:$E$174="Loan")*(Events!$F$6:$F$174="Rescue")*Events!$H$6:$H$174)</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false" outlineLevel="0" collapsed="false">
      <c r="A34" s="61" t="n">
        <v>1874</v>
      </c>
      <c r="B34" s="56" t="n">
        <f aca="false">SUMPRODUCT((Events!$B$6:$B$174&lt;=$A34)*(Events!$C$6:$C$174&gt;=$A34)*(Events!$E$6:$E$174="Loan")*(Events!$F$6:$F$174="Continental")*Events!$H$6:$H$174)</f>
        <v>0</v>
      </c>
      <c r="C34" s="56" t="n">
        <f aca="false">E33*cont_repay</f>
        <v>1.2539031158784</v>
      </c>
      <c r="D34" s="56" t="n">
        <f aca="false">0</f>
        <v>0</v>
      </c>
      <c r="E34" s="56" t="n">
        <f aca="false">E33+B34-C34-D34</f>
        <v>30.0936747810816</v>
      </c>
      <c r="F34" s="56" t="n">
        <f aca="false">E33*cont_coupon</f>
        <v>1.567378894848</v>
      </c>
      <c r="G34" s="56" t="n">
        <f aca="false">SUMPRODUCT((Events!$B$6:$B$174&lt;=$A34)*(Events!$C$6:$C$174&gt;=$A34)*(Events!$E$6:$E$174="Loan")*(Events!$F$6:$F$174="Asia")*Events!$H$6:$H$174)</f>
        <v>0</v>
      </c>
      <c r="H34" s="56" t="n">
        <f aca="false">J33*asia_repay</f>
        <v>0.3305472</v>
      </c>
      <c r="I34" s="56" t="n">
        <f aca="false">0</f>
        <v>0</v>
      </c>
      <c r="J34" s="56" t="n">
        <f aca="false">J33+G34-H34-I34</f>
        <v>7.9331328</v>
      </c>
      <c r="K34" s="56" t="n">
        <f aca="false">J33*asia_coupon</f>
        <v>0.4545024</v>
      </c>
      <c r="L34" s="56" t="n">
        <f aca="false">SUMPRODUCT((Events!$B$6:$B$174&lt;=$A34)*(Events!$C$6:$C$174&gt;=$A34)*(Events!$E$6:$E$174="Loan")*(Events!$F$6:$F$174="Europe")*Events!$H$6:$H$174)</f>
        <v>3</v>
      </c>
      <c r="M34" s="56" t="n">
        <f aca="false">O33*Paths!AA34</f>
        <v>0</v>
      </c>
      <c r="N34" s="56" t="n">
        <f aca="false">IF($A34=1918,russia_writeoff*(O33+L34),0)</f>
        <v>0</v>
      </c>
      <c r="O34" s="56" t="n">
        <f aca="false">O33+L34-M34-N34</f>
        <v>3</v>
      </c>
      <c r="P34" s="56" t="n">
        <f aca="false">O33*Paths!Z34*Paths!AB34</f>
        <v>0</v>
      </c>
      <c r="Q34" s="56" t="n">
        <f aca="false">SUMPRODUCT((Events!$B$6:$B$174&lt;=$A34)*(Events!$C$6:$C$174&gt;=$A34)*(Events!$E$6:$E$174="Loan")*(Events!$F$6:$F$174="Rescue")*Events!$H$6:$H$174)</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false" outlineLevel="0" collapsed="false">
      <c r="A35" s="61" t="n">
        <v>1875</v>
      </c>
      <c r="B35" s="56" t="n">
        <f aca="false">SUMPRODUCT((Events!$B$6:$B$174&lt;=$A35)*(Events!$C$6:$C$174&gt;=$A35)*(Events!$E$6:$E$174="Loan")*(Events!$F$6:$F$174="Continental")*Events!$H$6:$H$174)</f>
        <v>0</v>
      </c>
      <c r="C35" s="56" t="n">
        <f aca="false">E34*cont_repay</f>
        <v>1.20374699124326</v>
      </c>
      <c r="D35" s="56" t="n">
        <f aca="false">0</f>
        <v>0</v>
      </c>
      <c r="E35" s="56" t="n">
        <f aca="false">E34+B35-C35-D35</f>
        <v>28.8899277898383</v>
      </c>
      <c r="F35" s="56" t="n">
        <f aca="false">E34*cont_coupon</f>
        <v>1.50468373905408</v>
      </c>
      <c r="G35" s="56" t="n">
        <f aca="false">SUMPRODUCT((Events!$B$6:$B$174&lt;=$A35)*(Events!$C$6:$C$174&gt;=$A35)*(Events!$E$6:$E$174="Loan")*(Events!$F$6:$F$174="Asia")*Events!$H$6:$H$174)</f>
        <v>0</v>
      </c>
      <c r="H35" s="56" t="n">
        <f aca="false">J34*asia_repay</f>
        <v>0.317325312</v>
      </c>
      <c r="I35" s="56" t="n">
        <f aca="false">0</f>
        <v>0</v>
      </c>
      <c r="J35" s="56" t="n">
        <f aca="false">J34+G35-H35-I35</f>
        <v>7.615807488</v>
      </c>
      <c r="K35" s="56" t="n">
        <f aca="false">J34*asia_coupon</f>
        <v>0.436322304</v>
      </c>
      <c r="L35" s="56" t="n">
        <f aca="false">SUMPRODUCT((Events!$B$6:$B$174&lt;=$A35)*(Events!$C$6:$C$174&gt;=$A35)*(Events!$E$6:$E$174="Loan")*(Events!$F$6:$F$174="Europe")*Events!$H$6:$H$174)</f>
        <v>3</v>
      </c>
      <c r="M35" s="56" t="n">
        <f aca="false">O34*Paths!AA35</f>
        <v>0.09</v>
      </c>
      <c r="N35" s="56" t="n">
        <f aca="false">IF($A35=1918,russia_writeoff*(O34+L35),0)</f>
        <v>0</v>
      </c>
      <c r="O35" s="56" t="n">
        <f aca="false">O34+L35-M35-N35</f>
        <v>5.91</v>
      </c>
      <c r="P35" s="56" t="n">
        <f aca="false">O34*Paths!Z35*Paths!AB35</f>
        <v>0.15</v>
      </c>
      <c r="Q35" s="56" t="n">
        <f aca="false">SUMPRODUCT((Events!$B$6:$B$174&lt;=$A35)*(Events!$C$6:$C$174&gt;=$A35)*(Events!$E$6:$E$174="Loan")*(Events!$F$6:$F$174="Rescue")*Events!$H$6:$H$174)</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false" outlineLevel="0" collapsed="false">
      <c r="A36" s="61" t="n">
        <v>1876</v>
      </c>
      <c r="B36" s="56" t="n">
        <f aca="false">SUMPRODUCT((Events!$B$6:$B$174&lt;=$A36)*(Events!$C$6:$C$174&gt;=$A36)*(Events!$E$6:$E$174="Loan")*(Events!$F$6:$F$174="Continental")*Events!$H$6:$H$174)</f>
        <v>0</v>
      </c>
      <c r="C36" s="56" t="n">
        <f aca="false">E35*cont_repay</f>
        <v>1.15559711159353</v>
      </c>
      <c r="D36" s="56" t="n">
        <f aca="false">0</f>
        <v>0</v>
      </c>
      <c r="E36" s="56" t="n">
        <f aca="false">E35+B36-C36-D36</f>
        <v>27.7343306782448</v>
      </c>
      <c r="F36" s="56" t="n">
        <f aca="false">E35*cont_coupon</f>
        <v>1.44449638949192</v>
      </c>
      <c r="G36" s="56" t="n">
        <f aca="false">SUMPRODUCT((Events!$B$6:$B$174&lt;=$A36)*(Events!$C$6:$C$174&gt;=$A36)*(Events!$E$6:$E$174="Loan")*(Events!$F$6:$F$174="Asia")*Events!$H$6:$H$174)</f>
        <v>0</v>
      </c>
      <c r="H36" s="56" t="n">
        <f aca="false">J35*asia_repay</f>
        <v>0.30463229952</v>
      </c>
      <c r="I36" s="56" t="n">
        <f aca="false">0</f>
        <v>0</v>
      </c>
      <c r="J36" s="56" t="n">
        <f aca="false">J35+G36-H36-I36</f>
        <v>7.31117518848</v>
      </c>
      <c r="K36" s="56" t="n">
        <f aca="false">J35*asia_coupon</f>
        <v>0.41886941184</v>
      </c>
      <c r="L36" s="56" t="n">
        <f aca="false">SUMPRODUCT((Events!$B$6:$B$174&lt;=$A36)*(Events!$C$6:$C$174&gt;=$A36)*(Events!$E$6:$E$174="Loan")*(Events!$F$6:$F$174="Europe")*Events!$H$6:$H$174)</f>
        <v>-5.733</v>
      </c>
      <c r="M36" s="56" t="n">
        <f aca="false">O35*Paths!AA36</f>
        <v>0.1773</v>
      </c>
      <c r="N36" s="56" t="n">
        <f aca="false">IF($A36=1918,russia_writeoff*(O35+L36),0)</f>
        <v>0</v>
      </c>
      <c r="O36" s="56" t="n">
        <f aca="false">O35+L36-M36-N36</f>
        <v>-0.000299999999999495</v>
      </c>
      <c r="P36" s="56" t="n">
        <f aca="false">O35*Paths!Z36*Paths!AB36</f>
        <v>0.2955</v>
      </c>
      <c r="Q36" s="56" t="n">
        <f aca="false">SUMPRODUCT((Events!$B$6:$B$174&lt;=$A36)*(Events!$C$6:$C$174&gt;=$A36)*(Events!$E$6:$E$174="Loan")*(Events!$F$6:$F$174="Rescue")*Events!$H$6:$H$174)</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false" outlineLevel="0" collapsed="false">
      <c r="A37" s="61" t="n">
        <v>1877</v>
      </c>
      <c r="B37" s="56" t="n">
        <f aca="false">SUMPRODUCT((Events!$B$6:$B$174&lt;=$A37)*(Events!$C$6:$C$174&gt;=$A37)*(Events!$E$6:$E$174="Loan")*(Events!$F$6:$F$174="Continental")*Events!$H$6:$H$174)</f>
        <v>0</v>
      </c>
      <c r="C37" s="56" t="n">
        <f aca="false">E36*cont_repay</f>
        <v>1.10937322712979</v>
      </c>
      <c r="D37" s="56" t="n">
        <f aca="false">0</f>
        <v>0</v>
      </c>
      <c r="E37" s="56" t="n">
        <f aca="false">E36+B37-C37-D37</f>
        <v>26.624957451115</v>
      </c>
      <c r="F37" s="56" t="n">
        <f aca="false">E36*cont_coupon</f>
        <v>1.38671653391224</v>
      </c>
      <c r="G37" s="56" t="n">
        <f aca="false">SUMPRODUCT((Events!$B$6:$B$174&lt;=$A37)*(Events!$C$6:$C$174&gt;=$A37)*(Events!$E$6:$E$174="Loan")*(Events!$F$6:$F$174="Asia")*Events!$H$6:$H$174)</f>
        <v>0</v>
      </c>
      <c r="H37" s="56" t="n">
        <f aca="false">J36*asia_repay</f>
        <v>0.2924470075392</v>
      </c>
      <c r="I37" s="56" t="n">
        <f aca="false">0</f>
        <v>0</v>
      </c>
      <c r="J37" s="56" t="n">
        <f aca="false">J36+G37-H37-I37</f>
        <v>7.0187281809408</v>
      </c>
      <c r="K37" s="56" t="n">
        <f aca="false">J36*asia_coupon</f>
        <v>0.4021146353664</v>
      </c>
      <c r="L37" s="56" t="n">
        <f aca="false">SUMPRODUCT((Events!$B$6:$B$174&lt;=$A37)*(Events!$C$6:$C$174&gt;=$A37)*(Events!$E$6:$E$174="Loan")*(Events!$F$6:$F$174="Europe")*Events!$H$6:$H$174)</f>
        <v>0</v>
      </c>
      <c r="M37" s="56" t="n">
        <f aca="false">O36*Paths!AA37</f>
        <v>-8.99999999998485E-006</v>
      </c>
      <c r="N37" s="56" t="n">
        <f aca="false">IF($A37=1918,russia_writeoff*(O36+L37),0)</f>
        <v>0</v>
      </c>
      <c r="O37" s="56" t="n">
        <f aca="false">O36+L37-M37-N37</f>
        <v>-0.00029099999999951</v>
      </c>
      <c r="P37" s="56" t="n">
        <f aca="false">O36*Paths!Z37*Paths!AB37</f>
        <v>-1.49999999999748E-005</v>
      </c>
      <c r="Q37" s="56" t="n">
        <f aca="false">SUMPRODUCT((Events!$B$6:$B$174&lt;=$A37)*(Events!$C$6:$C$174&gt;=$A37)*(Events!$E$6:$E$174="Loan")*(Events!$F$6:$F$174="Rescue")*Events!$H$6:$H$174)</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false" outlineLevel="0" collapsed="false">
      <c r="A38" s="61" t="n">
        <v>1878</v>
      </c>
      <c r="B38" s="56" t="n">
        <f aca="false">SUMPRODUCT((Events!$B$6:$B$174&lt;=$A38)*(Events!$C$6:$C$174&gt;=$A38)*(Events!$E$6:$E$174="Loan")*(Events!$F$6:$F$174="Continental")*Events!$H$6:$H$174)</f>
        <v>0</v>
      </c>
      <c r="C38" s="56" t="n">
        <f aca="false">E37*cont_repay</f>
        <v>1.0649982980446</v>
      </c>
      <c r="D38" s="56" t="n">
        <f aca="false">0</f>
        <v>0</v>
      </c>
      <c r="E38" s="56" t="n">
        <f aca="false">E37+B38-C38-D38</f>
        <v>25.5599591530704</v>
      </c>
      <c r="F38" s="56" t="n">
        <f aca="false">E37*cont_coupon</f>
        <v>1.33124787255575</v>
      </c>
      <c r="G38" s="56" t="n">
        <f aca="false">SUMPRODUCT((Events!$B$6:$B$174&lt;=$A38)*(Events!$C$6:$C$174&gt;=$A38)*(Events!$E$6:$E$174="Loan")*(Events!$F$6:$F$174="Asia")*Events!$H$6:$H$174)</f>
        <v>0</v>
      </c>
      <c r="H38" s="56" t="n">
        <f aca="false">J37*asia_repay</f>
        <v>0.280749127237632</v>
      </c>
      <c r="I38" s="56" t="n">
        <f aca="false">0</f>
        <v>0</v>
      </c>
      <c r="J38" s="56" t="n">
        <f aca="false">J37+G38-H38-I38</f>
        <v>6.73797905370317</v>
      </c>
      <c r="K38" s="56" t="n">
        <f aca="false">J37*asia_coupon</f>
        <v>0.386030049951744</v>
      </c>
      <c r="L38" s="56" t="n">
        <f aca="false">SUMPRODUCT((Events!$B$6:$B$174&lt;=$A38)*(Events!$C$6:$C$174&gt;=$A38)*(Events!$E$6:$E$174="Loan")*(Events!$F$6:$F$174="Europe")*Events!$H$6:$H$174)</f>
        <v>0</v>
      </c>
      <c r="M38" s="56" t="n">
        <f aca="false">O37*Paths!AA38</f>
        <v>-8.72999999998531E-006</v>
      </c>
      <c r="N38" s="56" t="n">
        <f aca="false">IF($A38=1918,russia_writeoff*(O37+L38),0)</f>
        <v>0</v>
      </c>
      <c r="O38" s="56" t="n">
        <f aca="false">O37+L38-M38-N38</f>
        <v>-0.000282269999999525</v>
      </c>
      <c r="P38" s="56" t="n">
        <f aca="false">O37*Paths!Z38*Paths!AB38</f>
        <v>-1.45499999999755E-005</v>
      </c>
      <c r="Q38" s="56" t="n">
        <f aca="false">SUMPRODUCT((Events!$B$6:$B$174&lt;=$A38)*(Events!$C$6:$C$174&gt;=$A38)*(Events!$E$6:$E$174="Loan")*(Events!$F$6:$F$174="Rescue")*Events!$H$6:$H$174)</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false" outlineLevel="0" collapsed="false">
      <c r="A39" s="61" t="n">
        <v>1879</v>
      </c>
      <c r="B39" s="56" t="n">
        <f aca="false">SUMPRODUCT((Events!$B$6:$B$174&lt;=$A39)*(Events!$C$6:$C$174&gt;=$A39)*(Events!$E$6:$E$174="Loan")*(Events!$F$6:$F$174="Continental")*Events!$H$6:$H$174)</f>
        <v>0</v>
      </c>
      <c r="C39" s="56" t="n">
        <f aca="false">E38*cont_repay</f>
        <v>1.02239836612282</v>
      </c>
      <c r="D39" s="56" t="n">
        <f aca="false">0</f>
        <v>0</v>
      </c>
      <c r="E39" s="56" t="n">
        <f aca="false">E38+B39-C39-D39</f>
        <v>24.5375607869476</v>
      </c>
      <c r="F39" s="56" t="n">
        <f aca="false">E38*cont_coupon</f>
        <v>1.27799795765352</v>
      </c>
      <c r="G39" s="56" t="n">
        <f aca="false">SUMPRODUCT((Events!$B$6:$B$174&lt;=$A39)*(Events!$C$6:$C$174&gt;=$A39)*(Events!$E$6:$E$174="Loan")*(Events!$F$6:$F$174="Asia")*Events!$H$6:$H$174)</f>
        <v>0</v>
      </c>
      <c r="H39" s="56" t="n">
        <f aca="false">J38*asia_repay</f>
        <v>0.269519162148127</v>
      </c>
      <c r="I39" s="56" t="n">
        <f aca="false">0</f>
        <v>0</v>
      </c>
      <c r="J39" s="56" t="n">
        <f aca="false">J38+G39-H39-I39</f>
        <v>6.46845989155504</v>
      </c>
      <c r="K39" s="56" t="n">
        <f aca="false">J38*asia_coupon</f>
        <v>0.370588847953674</v>
      </c>
      <c r="L39" s="56" t="n">
        <f aca="false">SUMPRODUCT((Events!$B$6:$B$174&lt;=$A39)*(Events!$C$6:$C$174&gt;=$A39)*(Events!$E$6:$E$174="Loan")*(Events!$F$6:$F$174="Europe")*Events!$H$6:$H$174)</f>
        <v>0</v>
      </c>
      <c r="M39" s="56" t="n">
        <f aca="false">O38*Paths!AA39</f>
        <v>-8.46809999998575E-006</v>
      </c>
      <c r="N39" s="56" t="n">
        <f aca="false">IF($A39=1918,russia_writeoff*(O38+L39),0)</f>
        <v>0</v>
      </c>
      <c r="O39" s="56" t="n">
        <f aca="false">O38+L39-M39-N39</f>
        <v>-0.000273801899999539</v>
      </c>
      <c r="P39" s="56" t="n">
        <f aca="false">O38*Paths!Z39*Paths!AB39</f>
        <v>-1.41134999999762E-005</v>
      </c>
      <c r="Q39" s="56" t="n">
        <f aca="false">SUMPRODUCT((Events!$B$6:$B$174&lt;=$A39)*(Events!$C$6:$C$174&gt;=$A39)*(Events!$E$6:$E$174="Loan")*(Events!$F$6:$F$174="Rescue")*Events!$H$6:$H$174)</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false" outlineLevel="0" collapsed="false">
      <c r="A40" s="61" t="n">
        <v>1880</v>
      </c>
      <c r="B40" s="56" t="n">
        <f aca="false">SUMPRODUCT((Events!$B$6:$B$174&lt;=$A40)*(Events!$C$6:$C$174&gt;=$A40)*(Events!$E$6:$E$174="Loan")*(Events!$F$6:$F$174="Continental")*Events!$H$6:$H$174)</f>
        <v>0</v>
      </c>
      <c r="C40" s="56" t="n">
        <f aca="false">E39*cont_repay</f>
        <v>0.981502431477904</v>
      </c>
      <c r="D40" s="56" t="n">
        <f aca="false">0</f>
        <v>0</v>
      </c>
      <c r="E40" s="56" t="n">
        <f aca="false">E39+B40-C40-D40</f>
        <v>23.5560583554697</v>
      </c>
      <c r="F40" s="56" t="n">
        <f aca="false">E39*cont_coupon</f>
        <v>1.22687803934738</v>
      </c>
      <c r="G40" s="56" t="n">
        <f aca="false">SUMPRODUCT((Events!$B$6:$B$174&lt;=$A40)*(Events!$C$6:$C$174&gt;=$A40)*(Events!$E$6:$E$174="Loan")*(Events!$F$6:$F$174="Asia")*Events!$H$6:$H$174)</f>
        <v>0</v>
      </c>
      <c r="H40" s="56" t="n">
        <f aca="false">J39*asia_repay</f>
        <v>0.258738395662202</v>
      </c>
      <c r="I40" s="56" t="n">
        <f aca="false">0</f>
        <v>0</v>
      </c>
      <c r="J40" s="56" t="n">
        <f aca="false">J39+G40-H40-I40</f>
        <v>6.20972149589284</v>
      </c>
      <c r="K40" s="56" t="n">
        <f aca="false">J39*asia_coupon</f>
        <v>0.355765294035527</v>
      </c>
      <c r="L40" s="56" t="n">
        <f aca="false">SUMPRODUCT((Events!$B$6:$B$174&lt;=$A40)*(Events!$C$6:$C$174&gt;=$A40)*(Events!$E$6:$E$174="Loan")*(Events!$F$6:$F$174="Europe")*Events!$H$6:$H$174)</f>
        <v>0</v>
      </c>
      <c r="M40" s="56" t="n">
        <f aca="false">O39*Paths!AA40</f>
        <v>-8.21405699998618E-006</v>
      </c>
      <c r="N40" s="56" t="n">
        <f aca="false">IF($A40=1918,russia_writeoff*(O39+L40),0)</f>
        <v>0</v>
      </c>
      <c r="O40" s="56" t="n">
        <f aca="false">O39+L40-M40-N40</f>
        <v>-0.000265587842999553</v>
      </c>
      <c r="P40" s="56" t="n">
        <f aca="false">O39*Paths!Z40*Paths!AB40</f>
        <v>-1.3690094999977E-005</v>
      </c>
      <c r="Q40" s="56" t="n">
        <f aca="false">SUMPRODUCT((Events!$B$6:$B$174&lt;=$A40)*(Events!$C$6:$C$174&gt;=$A40)*(Events!$E$6:$E$174="Loan")*(Events!$F$6:$F$174="Rescue")*Events!$H$6:$H$174)</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false" outlineLevel="0" collapsed="false">
      <c r="A41" s="61" t="n">
        <v>1881</v>
      </c>
      <c r="B41" s="56" t="n">
        <f aca="false">SUMPRODUCT((Events!$B$6:$B$174&lt;=$A41)*(Events!$C$6:$C$174&gt;=$A41)*(Events!$E$6:$E$174="Loan")*(Events!$F$6:$F$174="Continental")*Events!$H$6:$H$174)</f>
        <v>0</v>
      </c>
      <c r="C41" s="56" t="n">
        <f aca="false">E40*cont_repay</f>
        <v>0.942242334218788</v>
      </c>
      <c r="D41" s="56" t="n">
        <f aca="false">0</f>
        <v>0</v>
      </c>
      <c r="E41" s="56" t="n">
        <f aca="false">E40+B41-C41-D41</f>
        <v>22.6138160212509</v>
      </c>
      <c r="F41" s="56" t="n">
        <f aca="false">E40*cont_coupon</f>
        <v>1.17780291777348</v>
      </c>
      <c r="G41" s="56" t="n">
        <f aca="false">SUMPRODUCT((Events!$B$6:$B$174&lt;=$A41)*(Events!$C$6:$C$174&gt;=$A41)*(Events!$E$6:$E$174="Loan")*(Events!$F$6:$F$174="Asia")*Events!$H$6:$H$174)</f>
        <v>0</v>
      </c>
      <c r="H41" s="56" t="n">
        <f aca="false">J40*asia_repay</f>
        <v>0.248388859835714</v>
      </c>
      <c r="I41" s="56" t="n">
        <f aca="false">0</f>
        <v>0</v>
      </c>
      <c r="J41" s="56" t="n">
        <f aca="false">J40+G41-H41-I41</f>
        <v>5.96133263605713</v>
      </c>
      <c r="K41" s="56" t="n">
        <f aca="false">J40*asia_coupon</f>
        <v>0.341534682274106</v>
      </c>
      <c r="L41" s="56" t="n">
        <f aca="false">SUMPRODUCT((Events!$B$6:$B$174&lt;=$A41)*(Events!$C$6:$C$174&gt;=$A41)*(Events!$E$6:$E$174="Loan")*(Events!$F$6:$F$174="Europe")*Events!$H$6:$H$174)</f>
        <v>0</v>
      </c>
      <c r="M41" s="56" t="n">
        <f aca="false">O40*Paths!AA41</f>
        <v>-7.96763528998659E-006</v>
      </c>
      <c r="N41" s="56" t="n">
        <f aca="false">IF($A41=1918,russia_writeoff*(O40+L41),0)</f>
        <v>0</v>
      </c>
      <c r="O41" s="56" t="n">
        <f aca="false">O40+L41-M41-N41</f>
        <v>-0.000257620207709566</v>
      </c>
      <c r="P41" s="56" t="n">
        <f aca="false">O40*Paths!Z41*Paths!AB41</f>
        <v>-1.32793921499777E-005</v>
      </c>
      <c r="Q41" s="56" t="n">
        <f aca="false">SUMPRODUCT((Events!$B$6:$B$174&lt;=$A41)*(Events!$C$6:$C$174&gt;=$A41)*(Events!$E$6:$E$174="Loan")*(Events!$F$6:$F$174="Rescue")*Events!$H$6:$H$174)</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false" outlineLevel="0" collapsed="false">
      <c r="A42" s="61" t="n">
        <v>1882</v>
      </c>
      <c r="B42" s="56" t="n">
        <f aca="false">SUMPRODUCT((Events!$B$6:$B$174&lt;=$A42)*(Events!$C$6:$C$174&gt;=$A42)*(Events!$E$6:$E$174="Loan")*(Events!$F$6:$F$174="Continental")*Events!$H$6:$H$174)</f>
        <v>0</v>
      </c>
      <c r="C42" s="56" t="n">
        <f aca="false">E41*cont_repay</f>
        <v>0.904552640850036</v>
      </c>
      <c r="D42" s="56" t="n">
        <f aca="false">0</f>
        <v>0</v>
      </c>
      <c r="E42" s="56" t="n">
        <f aca="false">E41+B42-C42-D42</f>
        <v>21.7092633804009</v>
      </c>
      <c r="F42" s="56" t="n">
        <f aca="false">E41*cont_coupon</f>
        <v>1.13069080106255</v>
      </c>
      <c r="G42" s="56" t="n">
        <f aca="false">SUMPRODUCT((Events!$B$6:$B$174&lt;=$A42)*(Events!$C$6:$C$174&gt;=$A42)*(Events!$E$6:$E$174="Loan")*(Events!$F$6:$F$174="Asia")*Events!$H$6:$H$174)</f>
        <v>0</v>
      </c>
      <c r="H42" s="56" t="n">
        <f aca="false">J41*asia_repay</f>
        <v>0.238453305442285</v>
      </c>
      <c r="I42" s="56" t="n">
        <f aca="false">0</f>
        <v>0</v>
      </c>
      <c r="J42" s="56" t="n">
        <f aca="false">J41+G42-H42-I42</f>
        <v>5.72287933061484</v>
      </c>
      <c r="K42" s="56" t="n">
        <f aca="false">J41*asia_coupon</f>
        <v>0.327873294983142</v>
      </c>
      <c r="L42" s="56" t="n">
        <f aca="false">SUMPRODUCT((Events!$B$6:$B$174&lt;=$A42)*(Events!$C$6:$C$174&gt;=$A42)*(Events!$E$6:$E$174="Loan")*(Events!$F$6:$F$174="Europe")*Events!$H$6:$H$174)</f>
        <v>0</v>
      </c>
      <c r="M42" s="56" t="n">
        <f aca="false">O41*Paths!AA42</f>
        <v>-7.72860623128699E-006</v>
      </c>
      <c r="N42" s="56" t="n">
        <f aca="false">IF($A42=1918,russia_writeoff*(O41+L42),0)</f>
        <v>0</v>
      </c>
      <c r="O42" s="56" t="n">
        <f aca="false">O41+L42-M42-N42</f>
        <v>-0.00024989160147828</v>
      </c>
      <c r="P42" s="56" t="n">
        <f aca="false">O41*Paths!Z42*Paths!AB42</f>
        <v>-1.28810103854783E-005</v>
      </c>
      <c r="Q42" s="56" t="n">
        <f aca="false">SUMPRODUCT((Events!$B$6:$B$174&lt;=$A42)*(Events!$C$6:$C$174&gt;=$A42)*(Events!$E$6:$E$174="Loan")*(Events!$F$6:$F$174="Rescue")*Events!$H$6:$H$174)</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false" outlineLevel="0" collapsed="false">
      <c r="A43" s="61" t="n">
        <v>1883</v>
      </c>
      <c r="B43" s="56" t="n">
        <f aca="false">SUMPRODUCT((Events!$B$6:$B$174&lt;=$A43)*(Events!$C$6:$C$174&gt;=$A43)*(Events!$E$6:$E$174="Loan")*(Events!$F$6:$F$174="Continental")*Events!$H$6:$H$174)</f>
        <v>0</v>
      </c>
      <c r="C43" s="56" t="n">
        <f aca="false">E42*cont_repay</f>
        <v>0.868370535216035</v>
      </c>
      <c r="D43" s="56" t="n">
        <f aca="false">0</f>
        <v>0</v>
      </c>
      <c r="E43" s="56" t="n">
        <f aca="false">E42+B43-C43-D43</f>
        <v>20.8408928451848</v>
      </c>
      <c r="F43" s="56" t="n">
        <f aca="false">E42*cont_coupon</f>
        <v>1.08546316902004</v>
      </c>
      <c r="G43" s="56" t="n">
        <f aca="false">SUMPRODUCT((Events!$B$6:$B$174&lt;=$A43)*(Events!$C$6:$C$174&gt;=$A43)*(Events!$E$6:$E$174="Loan")*(Events!$F$6:$F$174="Asia")*Events!$H$6:$H$174)</f>
        <v>0</v>
      </c>
      <c r="H43" s="56" t="n">
        <f aca="false">J42*asia_repay</f>
        <v>0.228915173224594</v>
      </c>
      <c r="I43" s="56" t="n">
        <f aca="false">0</f>
        <v>0</v>
      </c>
      <c r="J43" s="56" t="n">
        <f aca="false">J42+G43-H43-I43</f>
        <v>5.49396415739025</v>
      </c>
      <c r="K43" s="56" t="n">
        <f aca="false">J42*asia_coupon</f>
        <v>0.314758363183816</v>
      </c>
      <c r="L43" s="56" t="n">
        <f aca="false">SUMPRODUCT((Events!$B$6:$B$174&lt;=$A43)*(Events!$C$6:$C$174&gt;=$A43)*(Events!$E$6:$E$174="Loan")*(Events!$F$6:$F$174="Europe")*Events!$H$6:$H$174)</f>
        <v>0</v>
      </c>
      <c r="M43" s="56" t="n">
        <f aca="false">O42*Paths!AA43</f>
        <v>-7.49674804434838E-006</v>
      </c>
      <c r="N43" s="56" t="n">
        <f aca="false">IF($A43=1918,russia_writeoff*(O42+L43),0)</f>
        <v>0</v>
      </c>
      <c r="O43" s="56" t="n">
        <f aca="false">O42+L43-M43-N43</f>
        <v>-0.000242394853433931</v>
      </c>
      <c r="P43" s="56" t="n">
        <f aca="false">O42*Paths!Z43*Paths!AB43</f>
        <v>-1.2494580073914E-005</v>
      </c>
      <c r="Q43" s="56" t="n">
        <f aca="false">SUMPRODUCT((Events!$B$6:$B$174&lt;=$A43)*(Events!$C$6:$C$174&gt;=$A43)*(Events!$E$6:$E$174="Loan")*(Events!$F$6:$F$174="Rescue")*Events!$H$6:$H$174)</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false" outlineLevel="0" collapsed="false">
      <c r="A44" s="61" t="n">
        <v>1884</v>
      </c>
      <c r="B44" s="56" t="n">
        <f aca="false">SUMPRODUCT((Events!$B$6:$B$174&lt;=$A44)*(Events!$C$6:$C$174&gt;=$A44)*(Events!$E$6:$E$174="Loan")*(Events!$F$6:$F$174="Continental")*Events!$H$6:$H$174)</f>
        <v>0</v>
      </c>
      <c r="C44" s="56" t="n">
        <f aca="false">E43*cont_repay</f>
        <v>0.833635713807393</v>
      </c>
      <c r="D44" s="56" t="n">
        <f aca="false">0</f>
        <v>0</v>
      </c>
      <c r="E44" s="56" t="n">
        <f aca="false">E43+B44-C44-D44</f>
        <v>20.0072571313774</v>
      </c>
      <c r="F44" s="56" t="n">
        <f aca="false">E43*cont_coupon</f>
        <v>1.04204464225924</v>
      </c>
      <c r="G44" s="56" t="n">
        <f aca="false">SUMPRODUCT((Events!$B$6:$B$174&lt;=$A44)*(Events!$C$6:$C$174&gt;=$A44)*(Events!$E$6:$E$174="Loan")*(Events!$F$6:$F$174="Asia")*Events!$H$6:$H$174)</f>
        <v>0</v>
      </c>
      <c r="H44" s="56" t="n">
        <f aca="false">J43*asia_repay</f>
        <v>0.21975856629561</v>
      </c>
      <c r="I44" s="56" t="n">
        <f aca="false">0</f>
        <v>0</v>
      </c>
      <c r="J44" s="56" t="n">
        <f aca="false">J43+G44-H44-I44</f>
        <v>5.27420559109464</v>
      </c>
      <c r="K44" s="56" t="n">
        <f aca="false">J43*asia_coupon</f>
        <v>0.302168028656464</v>
      </c>
      <c r="L44" s="56" t="n">
        <f aca="false">SUMPRODUCT((Events!$B$6:$B$174&lt;=$A44)*(Events!$C$6:$C$174&gt;=$A44)*(Events!$E$6:$E$174="Loan")*(Events!$F$6:$F$174="Europe")*Events!$H$6:$H$174)</f>
        <v>0</v>
      </c>
      <c r="M44" s="56" t="n">
        <f aca="false">O43*Paths!AA44</f>
        <v>-7.27184560301793E-006</v>
      </c>
      <c r="N44" s="56" t="n">
        <f aca="false">IF($A44=1918,russia_writeoff*(O43+L44),0)</f>
        <v>0</v>
      </c>
      <c r="O44" s="56" t="n">
        <f aca="false">O43+L44-M44-N44</f>
        <v>-0.000235123007830913</v>
      </c>
      <c r="P44" s="56" t="n">
        <f aca="false">O43*Paths!Z44*Paths!AB44</f>
        <v>-1.21197426716966E-005</v>
      </c>
      <c r="Q44" s="56" t="n">
        <f aca="false">SUMPRODUCT((Events!$B$6:$B$174&lt;=$A44)*(Events!$C$6:$C$174&gt;=$A44)*(Events!$E$6:$E$174="Loan")*(Events!$F$6:$F$174="Rescue")*Events!$H$6:$H$174)</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false" outlineLevel="0" collapsed="false">
      <c r="A45" s="61" t="n">
        <v>1885</v>
      </c>
      <c r="B45" s="56" t="n">
        <f aca="false">SUMPRODUCT((Events!$B$6:$B$174&lt;=$A45)*(Events!$C$6:$C$174&gt;=$A45)*(Events!$E$6:$E$174="Loan")*(Events!$F$6:$F$174="Continental")*Events!$H$6:$H$174)</f>
        <v>0</v>
      </c>
      <c r="C45" s="56" t="n">
        <f aca="false">E44*cont_repay</f>
        <v>0.800290285255098</v>
      </c>
      <c r="D45" s="56" t="n">
        <f aca="false">0</f>
        <v>0</v>
      </c>
      <c r="E45" s="56" t="n">
        <f aca="false">E44+B45-C45-D45</f>
        <v>19.2069668461223</v>
      </c>
      <c r="F45" s="56" t="n">
        <f aca="false">E44*cont_coupon</f>
        <v>1.00036285656887</v>
      </c>
      <c r="G45" s="56" t="n">
        <f aca="false">SUMPRODUCT((Events!$B$6:$B$174&lt;=$A45)*(Events!$C$6:$C$174&gt;=$A45)*(Events!$E$6:$E$174="Loan")*(Events!$F$6:$F$174="Asia")*Events!$H$6:$H$174)</f>
        <v>0.6</v>
      </c>
      <c r="H45" s="56" t="n">
        <f aca="false">J44*asia_repay</f>
        <v>0.210968223643786</v>
      </c>
      <c r="I45" s="56" t="n">
        <f aca="false">0</f>
        <v>0</v>
      </c>
      <c r="J45" s="56" t="n">
        <f aca="false">J44+G45-H45-I45</f>
        <v>5.66323736745085</v>
      </c>
      <c r="K45" s="56" t="n">
        <f aca="false">J44*asia_coupon</f>
        <v>0.290081307510205</v>
      </c>
      <c r="L45" s="56" t="n">
        <f aca="false">SUMPRODUCT((Events!$B$6:$B$174&lt;=$A45)*(Events!$C$6:$C$174&gt;=$A45)*(Events!$E$6:$E$174="Loan")*(Events!$F$6:$F$174="Europe")*Events!$H$6:$H$174)</f>
        <v>0</v>
      </c>
      <c r="M45" s="56" t="n">
        <f aca="false">O44*Paths!AA45</f>
        <v>-7.0536902349274E-006</v>
      </c>
      <c r="N45" s="56" t="n">
        <f aca="false">IF($A45=1918,russia_writeoff*(O44+L45),0)</f>
        <v>0</v>
      </c>
      <c r="O45" s="56" t="n">
        <f aca="false">O44+L45-M45-N45</f>
        <v>-0.000228069317595986</v>
      </c>
      <c r="P45" s="56" t="n">
        <f aca="false">O44*Paths!Z45*Paths!AB45</f>
        <v>-1.17561503915457E-005</v>
      </c>
      <c r="Q45" s="56" t="n">
        <f aca="false">SUMPRODUCT((Events!$B$6:$B$174&lt;=$A45)*(Events!$C$6:$C$174&gt;=$A45)*(Events!$E$6:$E$174="Loan")*(Events!$F$6:$F$174="Rescue")*Events!$H$6:$H$174)</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false" outlineLevel="0" collapsed="false">
      <c r="A46" s="61" t="n">
        <v>1886</v>
      </c>
      <c r="B46" s="56" t="n">
        <f aca="false">SUMPRODUCT((Events!$B$6:$B$174&lt;=$A46)*(Events!$C$6:$C$174&gt;=$A46)*(Events!$E$6:$E$174="Loan")*(Events!$F$6:$F$174="Continental")*Events!$H$6:$H$174)</f>
        <v>0</v>
      </c>
      <c r="C46" s="56" t="n">
        <f aca="false">E45*cont_repay</f>
        <v>0.768278673844894</v>
      </c>
      <c r="D46" s="56" t="n">
        <f aca="false">0</f>
        <v>0</v>
      </c>
      <c r="E46" s="56" t="n">
        <f aca="false">E45+B46-C46-D46</f>
        <v>18.4386881722775</v>
      </c>
      <c r="F46" s="56" t="n">
        <f aca="false">E45*cont_coupon</f>
        <v>0.960348342306117</v>
      </c>
      <c r="G46" s="56" t="n">
        <f aca="false">SUMPRODUCT((Events!$B$6:$B$174&lt;=$A46)*(Events!$C$6:$C$174&gt;=$A46)*(Events!$E$6:$E$174="Loan")*(Events!$F$6:$F$174="Asia")*Events!$H$6:$H$174)</f>
        <v>0</v>
      </c>
      <c r="H46" s="56" t="n">
        <f aca="false">J45*asia_repay</f>
        <v>0.226529494698034</v>
      </c>
      <c r="I46" s="56" t="n">
        <f aca="false">0</f>
        <v>0</v>
      </c>
      <c r="J46" s="56" t="n">
        <f aca="false">J45+G46-H46-I46</f>
        <v>5.43670787275282</v>
      </c>
      <c r="K46" s="56" t="n">
        <f aca="false">J45*asia_coupon</f>
        <v>0.311478055209797</v>
      </c>
      <c r="L46" s="56" t="n">
        <f aca="false">SUMPRODUCT((Events!$B$6:$B$174&lt;=$A46)*(Events!$C$6:$C$174&gt;=$A46)*(Events!$E$6:$E$174="Loan")*(Events!$F$6:$F$174="Europe")*Events!$H$6:$H$174)</f>
        <v>0</v>
      </c>
      <c r="M46" s="56" t="n">
        <f aca="false">O45*Paths!AA46</f>
        <v>-6.84207952787957E-006</v>
      </c>
      <c r="N46" s="56" t="n">
        <f aca="false">IF($A46=1918,russia_writeoff*(O45+L46),0)</f>
        <v>0</v>
      </c>
      <c r="O46" s="56" t="n">
        <f aca="false">O45+L46-M46-N46</f>
        <v>-0.000221227238068106</v>
      </c>
      <c r="P46" s="56" t="n">
        <f aca="false">O45*Paths!Z46*Paths!AB46</f>
        <v>-1.14034658797993E-005</v>
      </c>
      <c r="Q46" s="56" t="n">
        <f aca="false">SUMPRODUCT((Events!$B$6:$B$174&lt;=$A46)*(Events!$C$6:$C$174&gt;=$A46)*(Events!$E$6:$E$174="Loan")*(Events!$F$6:$F$174="Rescue")*Events!$H$6:$H$174)</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false" outlineLevel="0" collapsed="false">
      <c r="A47" s="61" t="n">
        <v>1887</v>
      </c>
      <c r="B47" s="56" t="n">
        <f aca="false">SUMPRODUCT((Events!$B$6:$B$174&lt;=$A47)*(Events!$C$6:$C$174&gt;=$A47)*(Events!$E$6:$E$174="Loan")*(Events!$F$6:$F$174="Continental")*Events!$H$6:$H$174)</f>
        <v>0</v>
      </c>
      <c r="C47" s="56" t="n">
        <f aca="false">E46*cont_repay</f>
        <v>0.737547526891098</v>
      </c>
      <c r="D47" s="56" t="n">
        <f aca="false">0</f>
        <v>0</v>
      </c>
      <c r="E47" s="56" t="n">
        <f aca="false">E46+B47-C47-D47</f>
        <v>17.7011406453864</v>
      </c>
      <c r="F47" s="56" t="n">
        <f aca="false">E46*cont_coupon</f>
        <v>0.921934408613873</v>
      </c>
      <c r="G47" s="56" t="n">
        <f aca="false">SUMPRODUCT((Events!$B$6:$B$174&lt;=$A47)*(Events!$C$6:$C$174&gt;=$A47)*(Events!$E$6:$E$174="Loan")*(Events!$F$6:$F$174="Asia")*Events!$H$6:$H$174)</f>
        <v>0</v>
      </c>
      <c r="H47" s="56" t="n">
        <f aca="false">J46*asia_repay</f>
        <v>0.217468314910113</v>
      </c>
      <c r="I47" s="56" t="n">
        <f aca="false">0</f>
        <v>0</v>
      </c>
      <c r="J47" s="56" t="n">
        <f aca="false">J46+G47-H47-I47</f>
        <v>5.21923955784271</v>
      </c>
      <c r="K47" s="56" t="n">
        <f aca="false">J46*asia_coupon</f>
        <v>0.299018933001405</v>
      </c>
      <c r="L47" s="56" t="n">
        <f aca="false">SUMPRODUCT((Events!$B$6:$B$174&lt;=$A47)*(Events!$C$6:$C$174&gt;=$A47)*(Events!$E$6:$E$174="Loan")*(Events!$F$6:$F$174="Europe")*Events!$H$6:$H$174)</f>
        <v>0</v>
      </c>
      <c r="M47" s="56" t="n">
        <f aca="false">O46*Paths!AA47</f>
        <v>-6.63681714204319E-006</v>
      </c>
      <c r="N47" s="56" t="n">
        <f aca="false">IF($A47=1918,russia_writeoff*(O46+L47),0)</f>
        <v>0</v>
      </c>
      <c r="O47" s="56" t="n">
        <f aca="false">O46+L47-M47-N47</f>
        <v>-0.000214590420926063</v>
      </c>
      <c r="P47" s="56" t="n">
        <f aca="false">O46*Paths!Z47*Paths!AB47</f>
        <v>-1.10613619034053E-005</v>
      </c>
      <c r="Q47" s="56" t="n">
        <f aca="false">SUMPRODUCT((Events!$B$6:$B$174&lt;=$A47)*(Events!$C$6:$C$174&gt;=$A47)*(Events!$E$6:$E$174="Loan")*(Events!$F$6:$F$174="Rescue")*Events!$H$6:$H$174)</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false" outlineLevel="0" collapsed="false">
      <c r="A48" s="61" t="n">
        <v>1888</v>
      </c>
      <c r="B48" s="56" t="n">
        <f aca="false">SUMPRODUCT((Events!$B$6:$B$174&lt;=$A48)*(Events!$C$6:$C$174&gt;=$A48)*(Events!$E$6:$E$174="Loan")*(Events!$F$6:$F$174="Continental")*Events!$H$6:$H$174)</f>
        <v>3</v>
      </c>
      <c r="C48" s="56" t="n">
        <f aca="false">E47*cont_repay</f>
        <v>0.708045625815454</v>
      </c>
      <c r="D48" s="56" t="n">
        <f aca="false">0</f>
        <v>0</v>
      </c>
      <c r="E48" s="56" t="n">
        <f aca="false">E47+B48-C48-D48</f>
        <v>19.9930950195709</v>
      </c>
      <c r="F48" s="56" t="n">
        <f aca="false">E47*cont_coupon</f>
        <v>0.885057032269318</v>
      </c>
      <c r="G48" s="56" t="n">
        <f aca="false">SUMPRODUCT((Events!$B$6:$B$174&lt;=$A48)*(Events!$C$6:$C$174&gt;=$A48)*(Events!$E$6:$E$174="Loan")*(Events!$F$6:$F$174="Asia")*Events!$H$6:$H$174)</f>
        <v>0</v>
      </c>
      <c r="H48" s="56" t="n">
        <f aca="false">J47*asia_repay</f>
        <v>0.208769582313708</v>
      </c>
      <c r="I48" s="56" t="n">
        <f aca="false">0</f>
        <v>0</v>
      </c>
      <c r="J48" s="56" t="n">
        <f aca="false">J47+G48-H48-I48</f>
        <v>5.010469975529</v>
      </c>
      <c r="K48" s="56" t="n">
        <f aca="false">J47*asia_coupon</f>
        <v>0.287058175681349</v>
      </c>
      <c r="L48" s="56" t="n">
        <f aca="false">SUMPRODUCT((Events!$B$6:$B$174&lt;=$A48)*(Events!$C$6:$C$174&gt;=$A48)*(Events!$E$6:$E$174="Loan")*(Events!$F$6:$F$174="Europe")*Events!$H$6:$H$174)</f>
        <v>0</v>
      </c>
      <c r="M48" s="56" t="n">
        <f aca="false">O47*Paths!AA48</f>
        <v>-6.43771262778189E-006</v>
      </c>
      <c r="N48" s="56" t="n">
        <f aca="false">IF($A48=1918,russia_writeoff*(O47+L48),0)</f>
        <v>0</v>
      </c>
      <c r="O48" s="56" t="n">
        <f aca="false">O47+L48-M48-N48</f>
        <v>-0.000208152708298281</v>
      </c>
      <c r="P48" s="56" t="n">
        <f aca="false">O47*Paths!Z48*Paths!AB48</f>
        <v>-1.07295210463032E-005</v>
      </c>
      <c r="Q48" s="56" t="n">
        <f aca="false">SUMPRODUCT((Events!$B$6:$B$174&lt;=$A48)*(Events!$C$6:$C$174&gt;=$A48)*(Events!$E$6:$E$174="Loan")*(Events!$F$6:$F$174="Rescue")*Events!$H$6:$H$174)</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false" outlineLevel="0" collapsed="false">
      <c r="A49" s="61" t="n">
        <v>1889</v>
      </c>
      <c r="B49" s="56" t="n">
        <f aca="false">SUMPRODUCT((Events!$B$6:$B$174&lt;=$A49)*(Events!$C$6:$C$174&gt;=$A49)*(Events!$E$6:$E$174="Loan")*(Events!$F$6:$F$174="Continental")*Events!$H$6:$H$174)</f>
        <v>3</v>
      </c>
      <c r="C49" s="56" t="n">
        <f aca="false">E48*cont_repay</f>
        <v>0.799723800782836</v>
      </c>
      <c r="D49" s="56" t="n">
        <f aca="false">0</f>
        <v>0</v>
      </c>
      <c r="E49" s="56" t="n">
        <f aca="false">E48+B49-C49-D49</f>
        <v>22.1933712187881</v>
      </c>
      <c r="F49" s="56" t="n">
        <f aca="false">E48*cont_coupon</f>
        <v>0.999654750978545</v>
      </c>
      <c r="G49" s="56" t="n">
        <f aca="false">SUMPRODUCT((Events!$B$6:$B$174&lt;=$A49)*(Events!$C$6:$C$174&gt;=$A49)*(Events!$E$6:$E$174="Loan")*(Events!$F$6:$F$174="Asia")*Events!$H$6:$H$174)</f>
        <v>0</v>
      </c>
      <c r="H49" s="56" t="n">
        <f aca="false">J48*asia_repay</f>
        <v>0.20041879902116</v>
      </c>
      <c r="I49" s="56" t="n">
        <f aca="false">0</f>
        <v>0</v>
      </c>
      <c r="J49" s="56" t="n">
        <f aca="false">J48+G49-H49-I49</f>
        <v>4.81005117650784</v>
      </c>
      <c r="K49" s="56" t="n">
        <f aca="false">J48*asia_coupon</f>
        <v>0.275575848654095</v>
      </c>
      <c r="L49" s="56" t="n">
        <f aca="false">SUMPRODUCT((Events!$B$6:$B$174&lt;=$A49)*(Events!$C$6:$C$174&gt;=$A49)*(Events!$E$6:$E$174="Loan")*(Events!$F$6:$F$174="Europe")*Events!$H$6:$H$174)</f>
        <v>0</v>
      </c>
      <c r="M49" s="56" t="n">
        <f aca="false">O48*Paths!AA49</f>
        <v>-6.24458124894843E-006</v>
      </c>
      <c r="N49" s="56" t="n">
        <f aca="false">IF($A49=1918,russia_writeoff*(O48+L49),0)</f>
        <v>0</v>
      </c>
      <c r="O49" s="56" t="n">
        <f aca="false">O48+L49-M49-N49</f>
        <v>-0.000201908127049333</v>
      </c>
      <c r="P49" s="56" t="n">
        <f aca="false">O48*Paths!Z49*Paths!AB49</f>
        <v>-1.04076354149141E-005</v>
      </c>
      <c r="Q49" s="56" t="n">
        <f aca="false">SUMPRODUCT((Events!$B$6:$B$174&lt;=$A49)*(Events!$C$6:$C$174&gt;=$A49)*(Events!$E$6:$E$174="Loan")*(Events!$F$6:$F$174="Rescue")*Events!$H$6:$H$174)</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false" outlineLevel="0" collapsed="false">
      <c r="A50" s="61" t="n">
        <v>1890</v>
      </c>
      <c r="B50" s="56" t="n">
        <f aca="false">SUMPRODUCT((Events!$B$6:$B$174&lt;=$A50)*(Events!$C$6:$C$174&gt;=$A50)*(Events!$E$6:$E$174="Loan")*(Events!$F$6:$F$174="Continental")*Events!$H$6:$H$174)</f>
        <v>0</v>
      </c>
      <c r="C50" s="56" t="n">
        <f aca="false">E49*cont_repay</f>
        <v>0.887734848751523</v>
      </c>
      <c r="D50" s="56" t="n">
        <f aca="false">0</f>
        <v>0</v>
      </c>
      <c r="E50" s="56" t="n">
        <f aca="false">E49+B50-C50-D50</f>
        <v>21.3056363700365</v>
      </c>
      <c r="F50" s="56" t="n">
        <f aca="false">E49*cont_coupon</f>
        <v>1.1096685609394</v>
      </c>
      <c r="G50" s="56" t="n">
        <f aca="false">SUMPRODUCT((Events!$B$6:$B$174&lt;=$A50)*(Events!$C$6:$C$174&gt;=$A50)*(Events!$E$6:$E$174="Loan")*(Events!$F$6:$F$174="Asia")*Events!$H$6:$H$174)</f>
        <v>0</v>
      </c>
      <c r="H50" s="56" t="n">
        <f aca="false">J49*asia_repay</f>
        <v>0.192402047060314</v>
      </c>
      <c r="I50" s="56" t="n">
        <f aca="false">0</f>
        <v>0</v>
      </c>
      <c r="J50" s="56" t="n">
        <f aca="false">J49+G50-H50-I50</f>
        <v>4.61764912944752</v>
      </c>
      <c r="K50" s="56" t="n">
        <f aca="false">J49*asia_coupon</f>
        <v>0.264552814707931</v>
      </c>
      <c r="L50" s="56" t="n">
        <f aca="false">SUMPRODUCT((Events!$B$6:$B$174&lt;=$A50)*(Events!$C$6:$C$174&gt;=$A50)*(Events!$E$6:$E$174="Loan")*(Events!$F$6:$F$174="Europe")*Events!$H$6:$H$174)</f>
        <v>1.5</v>
      </c>
      <c r="M50" s="56" t="n">
        <f aca="false">O49*Paths!AA50</f>
        <v>-6.05724381147998E-006</v>
      </c>
      <c r="N50" s="56" t="n">
        <f aca="false">IF($A50=1918,russia_writeoff*(O49+L50),0)</f>
        <v>0</v>
      </c>
      <c r="O50" s="56" t="n">
        <f aca="false">O49+L50-M50-N50</f>
        <v>1.49980414911676</v>
      </c>
      <c r="P50" s="56" t="n">
        <f aca="false">O49*Paths!Z50*Paths!AB50</f>
        <v>-1.00954063524666E-005</v>
      </c>
      <c r="Q50" s="56" t="n">
        <f aca="false">SUMPRODUCT((Events!$B$6:$B$174&lt;=$A50)*(Events!$C$6:$C$174&gt;=$A50)*(Events!$E$6:$E$174="Loan")*(Events!$F$6:$F$174="Rescue")*Events!$H$6:$H$174)</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false" outlineLevel="0" collapsed="false">
      <c r="A51" s="61" t="n">
        <v>1891</v>
      </c>
      <c r="B51" s="56" t="n">
        <f aca="false">SUMPRODUCT((Events!$B$6:$B$174&lt;=$A51)*(Events!$C$6:$C$174&gt;=$A51)*(Events!$E$6:$E$174="Loan")*(Events!$F$6:$F$174="Continental")*Events!$H$6:$H$174)</f>
        <v>0</v>
      </c>
      <c r="C51" s="56" t="n">
        <f aca="false">E50*cont_repay</f>
        <v>0.852225454801462</v>
      </c>
      <c r="D51" s="56" t="n">
        <f aca="false">0</f>
        <v>0</v>
      </c>
      <c r="E51" s="56" t="n">
        <f aca="false">E50+B51-C51-D51</f>
        <v>20.4534109152351</v>
      </c>
      <c r="F51" s="56" t="n">
        <f aca="false">E50*cont_coupon</f>
        <v>1.06528181850183</v>
      </c>
      <c r="G51" s="56" t="n">
        <f aca="false">SUMPRODUCT((Events!$B$6:$B$174&lt;=$A51)*(Events!$C$6:$C$174&gt;=$A51)*(Events!$E$6:$E$174="Loan")*(Events!$F$6:$F$174="Asia")*Events!$H$6:$H$174)</f>
        <v>0</v>
      </c>
      <c r="H51" s="56" t="n">
        <f aca="false">J50*asia_repay</f>
        <v>0.184705965177901</v>
      </c>
      <c r="I51" s="56" t="n">
        <f aca="false">0</f>
        <v>0</v>
      </c>
      <c r="J51" s="56" t="n">
        <f aca="false">J50+G51-H51-I51</f>
        <v>4.43294316426962</v>
      </c>
      <c r="K51" s="56" t="n">
        <f aca="false">J50*asia_coupon</f>
        <v>0.253970702119614</v>
      </c>
      <c r="L51" s="56" t="n">
        <f aca="false">SUMPRODUCT((Events!$B$6:$B$174&lt;=$A51)*(Events!$C$6:$C$174&gt;=$A51)*(Events!$E$6:$E$174="Loan")*(Events!$F$6:$F$174="Europe")*Events!$H$6:$H$174)</f>
        <v>1.5</v>
      </c>
      <c r="M51" s="56" t="n">
        <f aca="false">O50*Paths!AA51</f>
        <v>0.0449941244735029</v>
      </c>
      <c r="N51" s="56" t="n">
        <f aca="false">IF($A51=1918,russia_writeoff*(O50+L51),0)</f>
        <v>0</v>
      </c>
      <c r="O51" s="56" t="n">
        <f aca="false">O50+L51-M51-N51</f>
        <v>2.95481002464326</v>
      </c>
      <c r="P51" s="56" t="n">
        <f aca="false">O50*Paths!Z51*Paths!AB51</f>
        <v>0.0749902074558381</v>
      </c>
      <c r="Q51" s="56" t="n">
        <f aca="false">SUMPRODUCT((Events!$B$6:$B$174&lt;=$A51)*(Events!$C$6:$C$174&gt;=$A51)*(Events!$E$6:$E$174="Loan")*(Events!$F$6:$F$174="Rescue")*Events!$H$6:$H$174)</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false" outlineLevel="0" collapsed="false">
      <c r="A52" s="61" t="n">
        <v>1892</v>
      </c>
      <c r="B52" s="56" t="n">
        <f aca="false">SUMPRODUCT((Events!$B$6:$B$174&lt;=$A52)*(Events!$C$6:$C$174&gt;=$A52)*(Events!$E$6:$E$174="Loan")*(Events!$F$6:$F$174="Continental")*Events!$H$6:$H$174)</f>
        <v>0</v>
      </c>
      <c r="C52" s="56" t="n">
        <f aca="false">E51*cont_repay</f>
        <v>0.818136436609403</v>
      </c>
      <c r="D52" s="56" t="n">
        <f aca="false">0</f>
        <v>0</v>
      </c>
      <c r="E52" s="56" t="n">
        <f aca="false">E51+B52-C52-D52</f>
        <v>19.6352744786257</v>
      </c>
      <c r="F52" s="56" t="n">
        <f aca="false">E51*cont_coupon</f>
        <v>1.02267054576175</v>
      </c>
      <c r="G52" s="56" t="n">
        <f aca="false">SUMPRODUCT((Events!$B$6:$B$174&lt;=$A52)*(Events!$C$6:$C$174&gt;=$A52)*(Events!$E$6:$E$174="Loan")*(Events!$F$6:$F$174="Asia")*Events!$H$6:$H$174)</f>
        <v>0</v>
      </c>
      <c r="H52" s="56" t="n">
        <f aca="false">J51*asia_repay</f>
        <v>0.177317726570785</v>
      </c>
      <c r="I52" s="56" t="n">
        <f aca="false">0</f>
        <v>0</v>
      </c>
      <c r="J52" s="56" t="n">
        <f aca="false">J51+G52-H52-I52</f>
        <v>4.25562543769884</v>
      </c>
      <c r="K52" s="56" t="n">
        <f aca="false">J51*asia_coupon</f>
        <v>0.243811874034829</v>
      </c>
      <c r="L52" s="56" t="n">
        <f aca="false">SUMPRODUCT((Events!$B$6:$B$174&lt;=$A52)*(Events!$C$6:$C$174&gt;=$A52)*(Events!$E$6:$E$174="Loan")*(Events!$F$6:$F$174="Europe")*Events!$H$6:$H$174)</f>
        <v>0</v>
      </c>
      <c r="M52" s="56" t="n">
        <f aca="false">O51*Paths!AA52</f>
        <v>0.0886443007392978</v>
      </c>
      <c r="N52" s="56" t="n">
        <f aca="false">IF($A52=1918,russia_writeoff*(O51+L52),0)</f>
        <v>0</v>
      </c>
      <c r="O52" s="56" t="n">
        <f aca="false">O51+L52-M52-N52</f>
        <v>2.86616572390396</v>
      </c>
      <c r="P52" s="56" t="n">
        <f aca="false">O51*Paths!Z52*Paths!AB52</f>
        <v>0.147740501232163</v>
      </c>
      <c r="Q52" s="56" t="n">
        <f aca="false">SUMPRODUCT((Events!$B$6:$B$174&lt;=$A52)*(Events!$C$6:$C$174&gt;=$A52)*(Events!$E$6:$E$174="Loan")*(Events!$F$6:$F$174="Rescue")*Events!$H$6:$H$174)</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false" outlineLevel="0" collapsed="false">
      <c r="A53" s="61" t="n">
        <v>1893</v>
      </c>
      <c r="B53" s="56" t="n">
        <f aca="false">SUMPRODUCT((Events!$B$6:$B$174&lt;=$A53)*(Events!$C$6:$C$174&gt;=$A53)*(Events!$E$6:$E$174="Loan")*(Events!$F$6:$F$174="Continental")*Events!$H$6:$H$174)</f>
        <v>0</v>
      </c>
      <c r="C53" s="56" t="n">
        <f aca="false">E52*cont_repay</f>
        <v>0.785410979145027</v>
      </c>
      <c r="D53" s="56" t="n">
        <f aca="false">0</f>
        <v>0</v>
      </c>
      <c r="E53" s="56" t="n">
        <f aca="false">E52+B53-C53-D53</f>
        <v>18.8498634994806</v>
      </c>
      <c r="F53" s="56" t="n">
        <f aca="false">E52*cont_coupon</f>
        <v>0.981763723931284</v>
      </c>
      <c r="G53" s="56" t="n">
        <f aca="false">SUMPRODUCT((Events!$B$6:$B$174&lt;=$A53)*(Events!$C$6:$C$174&gt;=$A53)*(Events!$E$6:$E$174="Loan")*(Events!$F$6:$F$174="Asia")*Events!$H$6:$H$174)</f>
        <v>0</v>
      </c>
      <c r="H53" s="56" t="n">
        <f aca="false">J52*asia_repay</f>
        <v>0.170225017507954</v>
      </c>
      <c r="I53" s="56" t="n">
        <f aca="false">0</f>
        <v>0</v>
      </c>
      <c r="J53" s="56" t="n">
        <f aca="false">J52+G53-H53-I53</f>
        <v>4.08540042019088</v>
      </c>
      <c r="K53" s="56" t="n">
        <f aca="false">J52*asia_coupon</f>
        <v>0.234059399073436</v>
      </c>
      <c r="L53" s="56" t="n">
        <f aca="false">SUMPRODUCT((Events!$B$6:$B$174&lt;=$A53)*(Events!$C$6:$C$174&gt;=$A53)*(Events!$E$6:$E$174="Loan")*(Events!$F$6:$F$174="Europe")*Events!$H$6:$H$174)</f>
        <v>0</v>
      </c>
      <c r="M53" s="56" t="n">
        <f aca="false">O52*Paths!AA53</f>
        <v>0.0859849717171188</v>
      </c>
      <c r="N53" s="56" t="n">
        <f aca="false">IF($A53=1918,russia_writeoff*(O52+L53),0)</f>
        <v>0</v>
      </c>
      <c r="O53" s="56" t="n">
        <f aca="false">O52+L53-M53-N53</f>
        <v>2.78018075218684</v>
      </c>
      <c r="P53" s="56" t="n">
        <f aca="false">O52*Paths!Z53*Paths!AB53</f>
        <v>0.143308286195198</v>
      </c>
      <c r="Q53" s="56" t="n">
        <f aca="false">SUMPRODUCT((Events!$B$6:$B$174&lt;=$A53)*(Events!$C$6:$C$174&gt;=$A53)*(Events!$E$6:$E$174="Loan")*(Events!$F$6:$F$174="Rescue")*Events!$H$6:$H$174)</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false" outlineLevel="0" collapsed="false">
      <c r="A54" s="61" t="n">
        <v>1894</v>
      </c>
      <c r="B54" s="56" t="n">
        <f aca="false">SUMPRODUCT((Events!$B$6:$B$174&lt;=$A54)*(Events!$C$6:$C$174&gt;=$A54)*(Events!$E$6:$E$174="Loan")*(Events!$F$6:$F$174="Continental")*Events!$H$6:$H$174)</f>
        <v>0</v>
      </c>
      <c r="C54" s="56" t="n">
        <f aca="false">E53*cont_repay</f>
        <v>0.753994539979226</v>
      </c>
      <c r="D54" s="56" t="n">
        <f aca="false">0</f>
        <v>0</v>
      </c>
      <c r="E54" s="56" t="n">
        <f aca="false">E53+B54-C54-D54</f>
        <v>18.0958689595014</v>
      </c>
      <c r="F54" s="56" t="n">
        <f aca="false">E53*cont_coupon</f>
        <v>0.942493174974032</v>
      </c>
      <c r="G54" s="56" t="n">
        <f aca="false">SUMPRODUCT((Events!$B$6:$B$174&lt;=$A54)*(Events!$C$6:$C$174&gt;=$A54)*(Events!$E$6:$E$174="Loan")*(Events!$F$6:$F$174="Asia")*Events!$H$6:$H$174)</f>
        <v>10</v>
      </c>
      <c r="H54" s="56" t="n">
        <f aca="false">J53*asia_repay</f>
        <v>0.163416016807635</v>
      </c>
      <c r="I54" s="56" t="n">
        <f aca="false">0</f>
        <v>0</v>
      </c>
      <c r="J54" s="56" t="n">
        <f aca="false">J53+G54-H54-I54</f>
        <v>13.9219844033832</v>
      </c>
      <c r="K54" s="56" t="n">
        <f aca="false">J53*asia_coupon</f>
        <v>0.224697023110499</v>
      </c>
      <c r="L54" s="56" t="n">
        <f aca="false">SUMPRODUCT((Events!$B$6:$B$174&lt;=$A54)*(Events!$C$6:$C$174&gt;=$A54)*(Events!$E$6:$E$174="Loan")*(Events!$F$6:$F$174="Europe")*Events!$H$6:$H$174)</f>
        <v>0</v>
      </c>
      <c r="M54" s="56" t="n">
        <f aca="false">O53*Paths!AA54</f>
        <v>0.0834054225656053</v>
      </c>
      <c r="N54" s="56" t="n">
        <f aca="false">IF($A54=1918,russia_writeoff*(O53+L54),0)</f>
        <v>0</v>
      </c>
      <c r="O54" s="56" t="n">
        <f aca="false">O53+L54-M54-N54</f>
        <v>2.69677532962124</v>
      </c>
      <c r="P54" s="56" t="n">
        <f aca="false">O53*Paths!Z54*Paths!AB54</f>
        <v>0.139009037609342</v>
      </c>
      <c r="Q54" s="56" t="n">
        <f aca="false">SUMPRODUCT((Events!$B$6:$B$174&lt;=$A54)*(Events!$C$6:$C$174&gt;=$A54)*(Events!$E$6:$E$174="Loan")*(Events!$F$6:$F$174="Rescue")*Events!$H$6:$H$174)</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false" outlineLevel="0" collapsed="false">
      <c r="A55" s="61" t="n">
        <v>1895</v>
      </c>
      <c r="B55" s="56" t="n">
        <f aca="false">SUMPRODUCT((Events!$B$6:$B$174&lt;=$A55)*(Events!$C$6:$C$174&gt;=$A55)*(Events!$E$6:$E$174="Loan")*(Events!$F$6:$F$174="Continental")*Events!$H$6:$H$174)</f>
        <v>65</v>
      </c>
      <c r="C55" s="56" t="n">
        <f aca="false">E54*cont_repay</f>
        <v>0.723834758380057</v>
      </c>
      <c r="D55" s="56" t="n">
        <f aca="false">0</f>
        <v>0</v>
      </c>
      <c r="E55" s="56" t="n">
        <f aca="false">E54+B55-C55-D55</f>
        <v>82.3720342011214</v>
      </c>
      <c r="F55" s="56" t="n">
        <f aca="false">E54*cont_coupon</f>
        <v>0.904793447975071</v>
      </c>
      <c r="G55" s="56" t="n">
        <f aca="false">SUMPRODUCT((Events!$B$6:$B$174&lt;=$A55)*(Events!$C$6:$C$174&gt;=$A55)*(Events!$E$6:$E$174="Loan")*(Events!$F$6:$F$174="Asia")*Events!$H$6:$H$174)</f>
        <v>15</v>
      </c>
      <c r="H55" s="56" t="n">
        <f aca="false">J54*asia_repay</f>
        <v>0.55687937613533</v>
      </c>
      <c r="I55" s="56" t="n">
        <f aca="false">0</f>
        <v>0</v>
      </c>
      <c r="J55" s="56" t="n">
        <f aca="false">J54+G55-H55-I55</f>
        <v>28.3651050272479</v>
      </c>
      <c r="K55" s="56" t="n">
        <f aca="false">J54*asia_coupon</f>
        <v>0.765709142186079</v>
      </c>
      <c r="L55" s="56" t="n">
        <f aca="false">SUMPRODUCT((Events!$B$6:$B$174&lt;=$A55)*(Events!$C$6:$C$174&gt;=$A55)*(Events!$E$6:$E$174="Loan")*(Events!$F$6:$F$174="Europe")*Events!$H$6:$H$174)</f>
        <v>0</v>
      </c>
      <c r="M55" s="56" t="n">
        <f aca="false">O54*Paths!AA55</f>
        <v>0.0809032598886371</v>
      </c>
      <c r="N55" s="56" t="n">
        <f aca="false">IF($A55=1918,russia_writeoff*(O54+L55),0)</f>
        <v>0</v>
      </c>
      <c r="O55" s="56" t="n">
        <f aca="false">O54+L55-M55-N55</f>
        <v>2.6158720697326</v>
      </c>
      <c r="P55" s="56" t="n">
        <f aca="false">O54*Paths!Z55*Paths!AB55</f>
        <v>0.134838766481062</v>
      </c>
      <c r="Q55" s="56" t="n">
        <f aca="false">SUMPRODUCT((Events!$B$6:$B$174&lt;=$A55)*(Events!$C$6:$C$174&gt;=$A55)*(Events!$E$6:$E$174="Loan")*(Events!$F$6:$F$174="Rescue")*Events!$H$6:$H$174)</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false" outlineLevel="0" collapsed="false">
      <c r="A56" s="61" t="n">
        <v>1896</v>
      </c>
      <c r="B56" s="56" t="n">
        <f aca="false">SUMPRODUCT((Events!$B$6:$B$174&lt;=$A56)*(Events!$C$6:$C$174&gt;=$A56)*(Events!$E$6:$E$174="Loan")*(Events!$F$6:$F$174="Continental")*Events!$H$6:$H$174)</f>
        <v>0</v>
      </c>
      <c r="C56" s="56" t="n">
        <f aca="false">E55*cont_repay</f>
        <v>3.29488136804485</v>
      </c>
      <c r="D56" s="56" t="n">
        <f aca="false">0</f>
        <v>0</v>
      </c>
      <c r="E56" s="56" t="n">
        <f aca="false">E55+B56-C56-D56</f>
        <v>79.0771528330765</v>
      </c>
      <c r="F56" s="56" t="n">
        <f aca="false">E55*cont_coupon</f>
        <v>4.11860171005607</v>
      </c>
      <c r="G56" s="56" t="n">
        <f aca="false">SUMPRODUCT((Events!$B$6:$B$174&lt;=$A56)*(Events!$C$6:$C$174&gt;=$A56)*(Events!$E$6:$E$174="Loan")*(Events!$F$6:$F$174="Asia")*Events!$H$6:$H$174)</f>
        <v>3</v>
      </c>
      <c r="H56" s="56" t="n">
        <f aca="false">J55*asia_repay</f>
        <v>1.13460420108992</v>
      </c>
      <c r="I56" s="56" t="n">
        <f aca="false">0</f>
        <v>0</v>
      </c>
      <c r="J56" s="56" t="n">
        <f aca="false">J55+G56-H56-I56</f>
        <v>30.230500826158</v>
      </c>
      <c r="K56" s="56" t="n">
        <f aca="false">J55*asia_coupon</f>
        <v>1.56008077649864</v>
      </c>
      <c r="L56" s="56" t="n">
        <f aca="false">SUMPRODUCT((Events!$B$6:$B$174&lt;=$A56)*(Events!$C$6:$C$174&gt;=$A56)*(Events!$E$6:$E$174="Loan")*(Events!$F$6:$F$174="Europe")*Events!$H$6:$H$174)</f>
        <v>0</v>
      </c>
      <c r="M56" s="56" t="n">
        <f aca="false">O55*Paths!AA56</f>
        <v>0.078476162091978</v>
      </c>
      <c r="N56" s="56" t="n">
        <f aca="false">IF($A56=1918,russia_writeoff*(O55+L56),0)</f>
        <v>0</v>
      </c>
      <c r="O56" s="56" t="n">
        <f aca="false">O55+L56-M56-N56</f>
        <v>2.53739590764062</v>
      </c>
      <c r="P56" s="56" t="n">
        <f aca="false">O55*Paths!Z56*Paths!AB56</f>
        <v>0.13079360348663</v>
      </c>
      <c r="Q56" s="56" t="n">
        <f aca="false">SUMPRODUCT((Events!$B$6:$B$174&lt;=$A56)*(Events!$C$6:$C$174&gt;=$A56)*(Events!$E$6:$E$174="Loan")*(Events!$F$6:$F$174="Rescue")*Events!$H$6:$H$174)</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false" outlineLevel="0" collapsed="false">
      <c r="A57" s="61" t="n">
        <v>1897</v>
      </c>
      <c r="B57" s="56" t="n">
        <f aca="false">SUMPRODUCT((Events!$B$6:$B$174&lt;=$A57)*(Events!$C$6:$C$174&gt;=$A57)*(Events!$E$6:$E$174="Loan")*(Events!$F$6:$F$174="Continental")*Events!$H$6:$H$174)</f>
        <v>0</v>
      </c>
      <c r="C57" s="56" t="n">
        <f aca="false">E56*cont_repay</f>
        <v>3.16308611332306</v>
      </c>
      <c r="D57" s="56" t="n">
        <f aca="false">0</f>
        <v>0</v>
      </c>
      <c r="E57" s="56" t="n">
        <f aca="false">E56+B57-C57-D57</f>
        <v>75.9140667197535</v>
      </c>
      <c r="F57" s="56" t="n">
        <f aca="false">E56*cont_coupon</f>
        <v>3.95385764165383</v>
      </c>
      <c r="G57" s="56" t="n">
        <f aca="false">SUMPRODUCT((Events!$B$6:$B$174&lt;=$A57)*(Events!$C$6:$C$174&gt;=$A57)*(Events!$E$6:$E$174="Loan")*(Events!$F$6:$F$174="Asia")*Events!$H$6:$H$174)</f>
        <v>23</v>
      </c>
      <c r="H57" s="56" t="n">
        <f aca="false">J56*asia_repay</f>
        <v>1.20922003304632</v>
      </c>
      <c r="I57" s="56" t="n">
        <f aca="false">0</f>
        <v>0</v>
      </c>
      <c r="J57" s="56" t="n">
        <f aca="false">J56+G57-H57-I57</f>
        <v>52.0212807931117</v>
      </c>
      <c r="K57" s="56" t="n">
        <f aca="false">J56*asia_coupon</f>
        <v>1.66267754543869</v>
      </c>
      <c r="L57" s="56" t="n">
        <f aca="false">SUMPRODUCT((Events!$B$6:$B$174&lt;=$A57)*(Events!$C$6:$C$174&gt;=$A57)*(Events!$E$6:$E$174="Loan")*(Events!$F$6:$F$174="Europe")*Events!$H$6:$H$174)</f>
        <v>0</v>
      </c>
      <c r="M57" s="56" t="n">
        <f aca="false">O56*Paths!AA57</f>
        <v>0.0761218772292187</v>
      </c>
      <c r="N57" s="56" t="n">
        <f aca="false">IF($A57=1918,russia_writeoff*(O56+L57),0)</f>
        <v>0</v>
      </c>
      <c r="O57" s="56" t="n">
        <f aca="false">O56+L57-M57-N57</f>
        <v>2.4612740304114</v>
      </c>
      <c r="P57" s="56" t="n">
        <f aca="false">O56*Paths!Z57*Paths!AB57</f>
        <v>0.126869795382031</v>
      </c>
      <c r="Q57" s="56" t="n">
        <f aca="false">SUMPRODUCT((Events!$B$6:$B$174&lt;=$A57)*(Events!$C$6:$C$174&gt;=$A57)*(Events!$E$6:$E$174="Loan")*(Events!$F$6:$F$174="Rescue")*Events!$H$6:$H$174)</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false" outlineLevel="0" collapsed="false">
      <c r="A58" s="61" t="n">
        <v>1898</v>
      </c>
      <c r="B58" s="56" t="n">
        <f aca="false">SUMPRODUCT((Events!$B$6:$B$174&lt;=$A58)*(Events!$C$6:$C$174&gt;=$A58)*(Events!$E$6:$E$174="Loan")*(Events!$F$6:$F$174="Continental")*Events!$H$6:$H$174)</f>
        <v>9</v>
      </c>
      <c r="C58" s="56" t="n">
        <f aca="false">E57*cont_repay</f>
        <v>3.03656266879014</v>
      </c>
      <c r="D58" s="56" t="n">
        <f aca="false">0</f>
        <v>0</v>
      </c>
      <c r="E58" s="56" t="n">
        <f aca="false">E57+B58-C58-D58</f>
        <v>81.8775040509633</v>
      </c>
      <c r="F58" s="56" t="n">
        <f aca="false">E57*cont_coupon</f>
        <v>3.79570333598767</v>
      </c>
      <c r="G58" s="56" t="n">
        <f aca="false">SUMPRODUCT((Events!$B$6:$B$174&lt;=$A58)*(Events!$C$6:$C$174&gt;=$A58)*(Events!$E$6:$E$174="Loan")*(Events!$F$6:$F$174="Asia")*Events!$H$6:$H$174)</f>
        <v>15</v>
      </c>
      <c r="H58" s="56" t="n">
        <f aca="false">J57*asia_repay</f>
        <v>2.08085123172447</v>
      </c>
      <c r="I58" s="56" t="n">
        <f aca="false">0</f>
        <v>0</v>
      </c>
      <c r="J58" s="56" t="n">
        <f aca="false">J57+G58-H58-I58</f>
        <v>64.9404295613872</v>
      </c>
      <c r="K58" s="56" t="n">
        <f aca="false">J57*asia_coupon</f>
        <v>2.86117044362114</v>
      </c>
      <c r="L58" s="56" t="n">
        <f aca="false">SUMPRODUCT((Events!$B$6:$B$174&lt;=$A58)*(Events!$C$6:$C$174&gt;=$A58)*(Events!$E$6:$E$174="Loan")*(Events!$F$6:$F$174="Europe")*Events!$H$6:$H$174)</f>
        <v>0</v>
      </c>
      <c r="M58" s="56" t="n">
        <f aca="false">O57*Paths!AA58</f>
        <v>0.0738382209123421</v>
      </c>
      <c r="N58" s="56" t="n">
        <f aca="false">IF($A58=1918,russia_writeoff*(O57+L58),0)</f>
        <v>0</v>
      </c>
      <c r="O58" s="56" t="n">
        <f aca="false">O57+L58-M58-N58</f>
        <v>2.38743580949906</v>
      </c>
      <c r="P58" s="56" t="n">
        <f aca="false">O57*Paths!Z58*Paths!AB58</f>
        <v>0.12306370152057</v>
      </c>
      <c r="Q58" s="56" t="n">
        <f aca="false">SUMPRODUCT((Events!$B$6:$B$174&lt;=$A58)*(Events!$C$6:$C$174&gt;=$A58)*(Events!$E$6:$E$174="Loan")*(Events!$F$6:$F$174="Rescue")*Events!$H$6:$H$174)</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false" outlineLevel="0" collapsed="false">
      <c r="A59" s="61" t="n">
        <v>1899</v>
      </c>
      <c r="B59" s="56" t="n">
        <f aca="false">SUMPRODUCT((Events!$B$6:$B$174&lt;=$A59)*(Events!$C$6:$C$174&gt;=$A59)*(Events!$E$6:$E$174="Loan")*(Events!$F$6:$F$174="Continental")*Events!$H$6:$H$174)</f>
        <v>9</v>
      </c>
      <c r="C59" s="56" t="n">
        <f aca="false">E58*cont_repay</f>
        <v>3.27510016203853</v>
      </c>
      <c r="D59" s="56" t="n">
        <f aca="false">0</f>
        <v>0</v>
      </c>
      <c r="E59" s="56" t="n">
        <f aca="false">E58+B59-C59-D59</f>
        <v>87.6024038889248</v>
      </c>
      <c r="F59" s="56" t="n">
        <f aca="false">E58*cont_coupon</f>
        <v>4.09387520254817</v>
      </c>
      <c r="G59" s="56" t="n">
        <f aca="false">SUMPRODUCT((Events!$B$6:$B$174&lt;=$A59)*(Events!$C$6:$C$174&gt;=$A59)*(Events!$E$6:$E$174="Loan")*(Events!$F$6:$F$174="Asia")*Events!$H$6:$H$174)</f>
        <v>15</v>
      </c>
      <c r="H59" s="56" t="n">
        <f aca="false">J58*asia_repay</f>
        <v>2.59761718245549</v>
      </c>
      <c r="I59" s="56" t="n">
        <f aca="false">0</f>
        <v>0</v>
      </c>
      <c r="J59" s="56" t="n">
        <f aca="false">J58+G59-H59-I59</f>
        <v>77.3428123789317</v>
      </c>
      <c r="K59" s="56" t="n">
        <f aca="false">J58*asia_coupon</f>
        <v>3.5717236258763</v>
      </c>
      <c r="L59" s="56" t="n">
        <f aca="false">SUMPRODUCT((Events!$B$6:$B$174&lt;=$A59)*(Events!$C$6:$C$174&gt;=$A59)*(Events!$E$6:$E$174="Loan")*(Events!$F$6:$F$174="Europe")*Events!$H$6:$H$174)</f>
        <v>0</v>
      </c>
      <c r="M59" s="56" t="n">
        <f aca="false">O58*Paths!AA59</f>
        <v>0.0716230742849719</v>
      </c>
      <c r="N59" s="56" t="n">
        <f aca="false">IF($A59=1918,russia_writeoff*(O58+L59),0)</f>
        <v>0</v>
      </c>
      <c r="O59" s="56" t="n">
        <f aca="false">O58+L59-M59-N59</f>
        <v>2.31581273521409</v>
      </c>
      <c r="P59" s="56" t="n">
        <f aca="false">O58*Paths!Z59*Paths!AB59</f>
        <v>0.119371790474953</v>
      </c>
      <c r="Q59" s="56" t="n">
        <f aca="false">SUMPRODUCT((Events!$B$6:$B$174&lt;=$A59)*(Events!$C$6:$C$174&gt;=$A59)*(Events!$E$6:$E$174="Loan")*(Events!$F$6:$F$174="Rescue")*Events!$H$6:$H$174)</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false" outlineLevel="0" collapsed="false">
      <c r="A60" s="61" t="n">
        <v>1900</v>
      </c>
      <c r="B60" s="56" t="n">
        <f aca="false">SUMPRODUCT((Events!$B$6:$B$174&lt;=$A60)*(Events!$C$6:$C$174&gt;=$A60)*(Events!$E$6:$E$174="Loan")*(Events!$F$6:$F$174="Continental")*Events!$H$6:$H$174)</f>
        <v>0</v>
      </c>
      <c r="C60" s="56" t="n">
        <f aca="false">E59*cont_repay</f>
        <v>3.50409615555699</v>
      </c>
      <c r="D60" s="56" t="n">
        <f aca="false">0</f>
        <v>0</v>
      </c>
      <c r="E60" s="56" t="n">
        <f aca="false">E59+B60-C60-D60</f>
        <v>84.0983077333678</v>
      </c>
      <c r="F60" s="56" t="n">
        <f aca="false">E59*cont_coupon</f>
        <v>4.38012019444624</v>
      </c>
      <c r="G60" s="56" t="n">
        <f aca="false">SUMPRODUCT((Events!$B$6:$B$174&lt;=$A60)*(Events!$C$6:$C$174&gt;=$A60)*(Events!$E$6:$E$174="Loan")*(Events!$F$6:$F$174="Asia")*Events!$H$6:$H$174)</f>
        <v>0</v>
      </c>
      <c r="H60" s="56" t="n">
        <f aca="false">J59*asia_repay</f>
        <v>3.09371249515727</v>
      </c>
      <c r="I60" s="56" t="n">
        <f aca="false">0</f>
        <v>0</v>
      </c>
      <c r="J60" s="56" t="n">
        <f aca="false">J59+G60-H60-I60</f>
        <v>74.2490998837745</v>
      </c>
      <c r="K60" s="56" t="n">
        <f aca="false">J59*asia_coupon</f>
        <v>4.25385468084125</v>
      </c>
      <c r="L60" s="56" t="n">
        <f aca="false">SUMPRODUCT((Events!$B$6:$B$174&lt;=$A60)*(Events!$C$6:$C$174&gt;=$A60)*(Events!$E$6:$E$174="Loan")*(Events!$F$6:$F$174="Europe")*Events!$H$6:$H$174)</f>
        <v>0</v>
      </c>
      <c r="M60" s="56" t="n">
        <f aca="false">O59*Paths!AA60</f>
        <v>0.0694743820564227</v>
      </c>
      <c r="N60" s="56" t="n">
        <f aca="false">IF($A60=1918,russia_writeoff*(O59+L60),0)</f>
        <v>0</v>
      </c>
      <c r="O60" s="56" t="n">
        <f aca="false">O59+L60-M60-N60</f>
        <v>2.24633835315767</v>
      </c>
      <c r="P60" s="56" t="n">
        <f aca="false">O59*Paths!Z60*Paths!AB60</f>
        <v>0.115790636760705</v>
      </c>
      <c r="Q60" s="56" t="n">
        <f aca="false">SUMPRODUCT((Events!$B$6:$B$174&lt;=$A60)*(Events!$C$6:$C$174&gt;=$A60)*(Events!$E$6:$E$174="Loan")*(Events!$F$6:$F$174="Rescue")*Events!$H$6:$H$174)</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false" outlineLevel="0" collapsed="false">
      <c r="A61" s="61" t="n">
        <v>1901</v>
      </c>
      <c r="B61" s="56" t="n">
        <f aca="false">SUMPRODUCT((Events!$B$6:$B$174&lt;=$A61)*(Events!$C$6:$C$174&gt;=$A61)*(Events!$E$6:$E$174="Loan")*(Events!$F$6:$F$174="Continental")*Events!$H$6:$H$174)</f>
        <v>0</v>
      </c>
      <c r="C61" s="56" t="n">
        <f aca="false">E60*cont_repay</f>
        <v>3.36393230933471</v>
      </c>
      <c r="D61" s="56" t="n">
        <f aca="false">0</f>
        <v>0</v>
      </c>
      <c r="E61" s="56" t="n">
        <f aca="false">E60+B61-C61-D61</f>
        <v>80.7343754240331</v>
      </c>
      <c r="F61" s="56" t="n">
        <f aca="false">E60*cont_coupon</f>
        <v>4.20491538666839</v>
      </c>
      <c r="G61" s="56" t="n">
        <f aca="false">SUMPRODUCT((Events!$B$6:$B$174&lt;=$A61)*(Events!$C$6:$C$174&gt;=$A61)*(Events!$E$6:$E$174="Loan")*(Events!$F$6:$F$174="Asia")*Events!$H$6:$H$174)</f>
        <v>0</v>
      </c>
      <c r="H61" s="56" t="n">
        <f aca="false">J60*asia_repay</f>
        <v>2.96996399535098</v>
      </c>
      <c r="I61" s="56" t="n">
        <f aca="false">0</f>
        <v>0</v>
      </c>
      <c r="J61" s="56" t="n">
        <f aca="false">J60+G61-H61-I61</f>
        <v>71.2791358884235</v>
      </c>
      <c r="K61" s="56" t="n">
        <f aca="false">J60*asia_coupon</f>
        <v>4.0837004936076</v>
      </c>
      <c r="L61" s="56" t="n">
        <f aca="false">SUMPRODUCT((Events!$B$6:$B$174&lt;=$A61)*(Events!$C$6:$C$174&gt;=$A61)*(Events!$E$6:$E$174="Loan")*(Events!$F$6:$F$174="Europe")*Events!$H$6:$H$174)</f>
        <v>0</v>
      </c>
      <c r="M61" s="56" t="n">
        <f aca="false">O60*Paths!AA61</f>
        <v>0.06739015059473</v>
      </c>
      <c r="N61" s="56" t="n">
        <f aca="false">IF($A61=1918,russia_writeoff*(O60+L61),0)</f>
        <v>0</v>
      </c>
      <c r="O61" s="56" t="n">
        <f aca="false">O60+L61-M61-N61</f>
        <v>2.17894820256294</v>
      </c>
      <c r="P61" s="56" t="n">
        <f aca="false">O60*Paths!Z61*Paths!AB61</f>
        <v>0.112316917657883</v>
      </c>
      <c r="Q61" s="56" t="n">
        <f aca="false">SUMPRODUCT((Events!$B$6:$B$174&lt;=$A61)*(Events!$C$6:$C$174&gt;=$A61)*(Events!$E$6:$E$174="Loan")*(Events!$F$6:$F$174="Rescue")*Events!$H$6:$H$174)</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false" outlineLevel="0" collapsed="false">
      <c r="A62" s="61" t="n">
        <v>1902</v>
      </c>
      <c r="B62" s="56" t="n">
        <f aca="false">SUMPRODUCT((Events!$B$6:$B$174&lt;=$A62)*(Events!$C$6:$C$174&gt;=$A62)*(Events!$E$6:$E$174="Loan")*(Events!$F$6:$F$174="Continental")*Events!$H$6:$H$174)</f>
        <v>0</v>
      </c>
      <c r="C62" s="56" t="n">
        <f aca="false">E61*cont_repay</f>
        <v>3.22937501696132</v>
      </c>
      <c r="D62" s="56" t="n">
        <f aca="false">0</f>
        <v>0</v>
      </c>
      <c r="E62" s="56" t="n">
        <f aca="false">E61+B62-C62-D62</f>
        <v>77.5050004070718</v>
      </c>
      <c r="F62" s="56" t="n">
        <f aca="false">E61*cont_coupon</f>
        <v>4.03671877120165</v>
      </c>
      <c r="G62" s="56" t="n">
        <f aca="false">SUMPRODUCT((Events!$B$6:$B$174&lt;=$A62)*(Events!$C$6:$C$174&gt;=$A62)*(Events!$E$6:$E$174="Loan")*(Events!$F$6:$F$174="Asia")*Events!$H$6:$H$174)</f>
        <v>0</v>
      </c>
      <c r="H62" s="56" t="n">
        <f aca="false">J61*asia_repay</f>
        <v>2.85116543553694</v>
      </c>
      <c r="I62" s="56" t="n">
        <f aca="false">0</f>
        <v>0</v>
      </c>
      <c r="J62" s="56" t="n">
        <f aca="false">J61+G62-H62-I62</f>
        <v>68.4279704528865</v>
      </c>
      <c r="K62" s="56" t="n">
        <f aca="false">J61*asia_coupon</f>
        <v>3.92035247386329</v>
      </c>
      <c r="L62" s="56" t="n">
        <f aca="false">SUMPRODUCT((Events!$B$6:$B$174&lt;=$A62)*(Events!$C$6:$C$174&gt;=$A62)*(Events!$E$6:$E$174="Loan")*(Events!$F$6:$F$174="Europe")*Events!$H$6:$H$174)</f>
        <v>0</v>
      </c>
      <c r="M62" s="56" t="n">
        <f aca="false">O61*Paths!AA62</f>
        <v>0.0653684460768881</v>
      </c>
      <c r="N62" s="56" t="n">
        <f aca="false">IF($A62=1918,russia_writeoff*(O61+L62),0)</f>
        <v>0</v>
      </c>
      <c r="O62" s="56" t="n">
        <f aca="false">O61+L62-M62-N62</f>
        <v>2.11357975648605</v>
      </c>
      <c r="P62" s="56" t="n">
        <f aca="false">O61*Paths!Z62*Paths!AB62</f>
        <v>0.108947410128147</v>
      </c>
      <c r="Q62" s="56" t="n">
        <f aca="false">SUMPRODUCT((Events!$B$6:$B$174&lt;=$A62)*(Events!$C$6:$C$174&gt;=$A62)*(Events!$E$6:$E$174="Loan")*(Events!$F$6:$F$174="Rescue")*Events!$H$6:$H$174)</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false" outlineLevel="0" collapsed="false">
      <c r="A63" s="61" t="n">
        <v>1903</v>
      </c>
      <c r="B63" s="56" t="n">
        <f aca="false">SUMPRODUCT((Events!$B$6:$B$174&lt;=$A63)*(Events!$C$6:$C$174&gt;=$A63)*(Events!$E$6:$E$174="Loan")*(Events!$F$6:$F$174="Continental")*Events!$H$6:$H$174)</f>
        <v>0</v>
      </c>
      <c r="C63" s="56" t="n">
        <f aca="false">E62*cont_repay</f>
        <v>3.10020001628287</v>
      </c>
      <c r="D63" s="56" t="n">
        <f aca="false">0</f>
        <v>0</v>
      </c>
      <c r="E63" s="56" t="n">
        <f aca="false">E62+B63-C63-D63</f>
        <v>74.4048003907889</v>
      </c>
      <c r="F63" s="56" t="n">
        <f aca="false">E62*cont_coupon</f>
        <v>3.87525002035359</v>
      </c>
      <c r="G63" s="56" t="n">
        <f aca="false">SUMPRODUCT((Events!$B$6:$B$174&lt;=$A63)*(Events!$C$6:$C$174&gt;=$A63)*(Events!$E$6:$E$174="Loan")*(Events!$F$6:$F$174="Asia")*Events!$H$6:$H$174)</f>
        <v>0</v>
      </c>
      <c r="H63" s="56" t="n">
        <f aca="false">J62*asia_repay</f>
        <v>2.73711881811546</v>
      </c>
      <c r="I63" s="56" t="n">
        <f aca="false">0</f>
        <v>0</v>
      </c>
      <c r="J63" s="56" t="n">
        <f aca="false">J62+G63-H63-I63</f>
        <v>65.6908516347711</v>
      </c>
      <c r="K63" s="56" t="n">
        <f aca="false">J62*asia_coupon</f>
        <v>3.76353837490876</v>
      </c>
      <c r="L63" s="56" t="n">
        <f aca="false">SUMPRODUCT((Events!$B$6:$B$174&lt;=$A63)*(Events!$C$6:$C$174&gt;=$A63)*(Events!$E$6:$E$174="Loan")*(Events!$F$6:$F$174="Europe")*Events!$H$6:$H$174)</f>
        <v>0</v>
      </c>
      <c r="M63" s="56" t="n">
        <f aca="false">O62*Paths!AA63</f>
        <v>0.0634073926945815</v>
      </c>
      <c r="N63" s="56" t="n">
        <f aca="false">IF($A63=1918,russia_writeoff*(O62+L63),0)</f>
        <v>0</v>
      </c>
      <c r="O63" s="56" t="n">
        <f aca="false">O62+L63-M63-N63</f>
        <v>2.05017236379147</v>
      </c>
      <c r="P63" s="56" t="n">
        <f aca="false">O62*Paths!Z63*Paths!AB63</f>
        <v>0.105678987824302</v>
      </c>
      <c r="Q63" s="56" t="n">
        <f aca="false">SUMPRODUCT((Events!$B$6:$B$174&lt;=$A63)*(Events!$C$6:$C$174&gt;=$A63)*(Events!$E$6:$E$174="Loan")*(Events!$F$6:$F$174="Rescue")*Events!$H$6:$H$174)</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false" outlineLevel="0" collapsed="false">
      <c r="A64" s="61" t="n">
        <v>1904</v>
      </c>
      <c r="B64" s="56" t="n">
        <f aca="false">SUMPRODUCT((Events!$B$6:$B$174&lt;=$A64)*(Events!$C$6:$C$174&gt;=$A64)*(Events!$E$6:$E$174="Loan")*(Events!$F$6:$F$174="Continental")*Events!$H$6:$H$174)</f>
        <v>0</v>
      </c>
      <c r="C64" s="56" t="n">
        <f aca="false">E63*cont_repay</f>
        <v>2.97619201563156</v>
      </c>
      <c r="D64" s="56" t="n">
        <f aca="false">0</f>
        <v>0</v>
      </c>
      <c r="E64" s="56" t="n">
        <f aca="false">E63+B64-C64-D64</f>
        <v>71.4286083751573</v>
      </c>
      <c r="F64" s="56" t="n">
        <f aca="false">E63*cont_coupon</f>
        <v>3.72024001953944</v>
      </c>
      <c r="G64" s="56" t="n">
        <f aca="false">SUMPRODUCT((Events!$B$6:$B$174&lt;=$A64)*(Events!$C$6:$C$174&gt;=$A64)*(Events!$E$6:$E$174="Loan")*(Events!$F$6:$F$174="Asia")*Events!$H$6:$H$174)</f>
        <v>30</v>
      </c>
      <c r="H64" s="56" t="n">
        <f aca="false">J63*asia_repay</f>
        <v>2.62763406539084</v>
      </c>
      <c r="I64" s="56" t="n">
        <f aca="false">0</f>
        <v>0</v>
      </c>
      <c r="J64" s="56" t="n">
        <f aca="false">J63+G64-H64-I64</f>
        <v>93.0632175693802</v>
      </c>
      <c r="K64" s="56" t="n">
        <f aca="false">J63*asia_coupon</f>
        <v>3.61299683991241</v>
      </c>
      <c r="L64" s="56" t="n">
        <f aca="false">SUMPRODUCT((Events!$B$6:$B$174&lt;=$A64)*(Events!$C$6:$C$174&gt;=$A64)*(Events!$E$6:$E$174="Loan")*(Events!$F$6:$F$174="Europe")*Events!$H$6:$H$174)</f>
        <v>0</v>
      </c>
      <c r="M64" s="56" t="n">
        <f aca="false">O63*Paths!AA64</f>
        <v>0.061505170913744</v>
      </c>
      <c r="N64" s="56" t="n">
        <f aca="false">IF($A64=1918,russia_writeoff*(O63+L64),0)</f>
        <v>0</v>
      </c>
      <c r="O64" s="56" t="n">
        <f aca="false">O63+L64-M64-N64</f>
        <v>1.98866719287772</v>
      </c>
      <c r="P64" s="56" t="n">
        <f aca="false">O63*Paths!Z64*Paths!AB64</f>
        <v>0.102508618189573</v>
      </c>
      <c r="Q64" s="56" t="n">
        <f aca="false">SUMPRODUCT((Events!$B$6:$B$174&lt;=$A64)*(Events!$C$6:$C$174&gt;=$A64)*(Events!$E$6:$E$174="Loan")*(Events!$F$6:$F$174="Rescue")*Events!$H$6:$H$174)</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false" outlineLevel="0" collapsed="false">
      <c r="A65" s="61" t="n">
        <v>1905</v>
      </c>
      <c r="B65" s="56" t="n">
        <f aca="false">SUMPRODUCT((Events!$B$6:$B$174&lt;=$A65)*(Events!$C$6:$C$174&gt;=$A65)*(Events!$E$6:$E$174="Loan")*(Events!$F$6:$F$174="Continental")*Events!$H$6:$H$174)</f>
        <v>0</v>
      </c>
      <c r="C65" s="56" t="n">
        <f aca="false">E64*cont_repay</f>
        <v>2.85714433500629</v>
      </c>
      <c r="D65" s="56" t="n">
        <f aca="false">0</f>
        <v>0</v>
      </c>
      <c r="E65" s="56" t="n">
        <f aca="false">E64+B65-C65-D65</f>
        <v>68.571464040151</v>
      </c>
      <c r="F65" s="56" t="n">
        <f aca="false">E64*cont_coupon</f>
        <v>3.57143041875787</v>
      </c>
      <c r="G65" s="56" t="n">
        <f aca="false">SUMPRODUCT((Events!$B$6:$B$174&lt;=$A65)*(Events!$C$6:$C$174&gt;=$A65)*(Events!$E$6:$E$174="Loan")*(Events!$F$6:$F$174="Asia")*Events!$H$6:$H$174)</f>
        <v>30</v>
      </c>
      <c r="H65" s="56" t="n">
        <f aca="false">J64*asia_repay</f>
        <v>3.72252870277521</v>
      </c>
      <c r="I65" s="56" t="n">
        <f aca="false">0</f>
        <v>0</v>
      </c>
      <c r="J65" s="56" t="n">
        <f aca="false">J64+G65-H65-I65</f>
        <v>119.340688866605</v>
      </c>
      <c r="K65" s="56" t="n">
        <f aca="false">J64*asia_coupon</f>
        <v>5.11847696631591</v>
      </c>
      <c r="L65" s="56" t="n">
        <f aca="false">SUMPRODUCT((Events!$B$6:$B$174&lt;=$A65)*(Events!$C$6:$C$174&gt;=$A65)*(Events!$E$6:$E$174="Loan")*(Events!$F$6:$F$174="Europe")*Events!$H$6:$H$174)</f>
        <v>0</v>
      </c>
      <c r="M65" s="56" t="n">
        <f aca="false">O64*Paths!AA65</f>
        <v>0.0596600157863317</v>
      </c>
      <c r="N65" s="56" t="n">
        <f aca="false">IF($A65=1918,russia_writeoff*(O64+L65),0)</f>
        <v>0</v>
      </c>
      <c r="O65" s="56" t="n">
        <f aca="false">O64+L65-M65-N65</f>
        <v>1.92900717709139</v>
      </c>
      <c r="P65" s="56" t="n">
        <f aca="false">O64*Paths!Z65*Paths!AB65</f>
        <v>0.0994333596438862</v>
      </c>
      <c r="Q65" s="56" t="n">
        <f aca="false">SUMPRODUCT((Events!$B$6:$B$174&lt;=$A65)*(Events!$C$6:$C$174&gt;=$A65)*(Events!$E$6:$E$174="Loan")*(Events!$F$6:$F$174="Rescue")*Events!$H$6:$H$174)</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false" outlineLevel="0" collapsed="false">
      <c r="A66" s="61" t="n">
        <v>1906</v>
      </c>
      <c r="B66" s="56" t="n">
        <f aca="false">SUMPRODUCT((Events!$B$6:$B$174&lt;=$A66)*(Events!$C$6:$C$174&gt;=$A66)*(Events!$E$6:$E$174="Loan")*(Events!$F$6:$F$174="Continental")*Events!$H$6:$H$174)</f>
        <v>0</v>
      </c>
      <c r="C66" s="56" t="n">
        <f aca="false">E65*cont_repay</f>
        <v>2.74285856160604</v>
      </c>
      <c r="D66" s="56" t="n">
        <f aca="false">0</f>
        <v>0</v>
      </c>
      <c r="E66" s="56" t="n">
        <f aca="false">E65+B66-C66-D66</f>
        <v>65.828605478545</v>
      </c>
      <c r="F66" s="56" t="n">
        <f aca="false">E65*cont_coupon</f>
        <v>3.42857320200755</v>
      </c>
      <c r="G66" s="56" t="n">
        <f aca="false">SUMPRODUCT((Events!$B$6:$B$174&lt;=$A66)*(Events!$C$6:$C$174&gt;=$A66)*(Events!$E$6:$E$174="Loan")*(Events!$F$6:$F$174="Asia")*Events!$H$6:$H$174)</f>
        <v>0</v>
      </c>
      <c r="H66" s="56" t="n">
        <f aca="false">J65*asia_repay</f>
        <v>4.7736275546642</v>
      </c>
      <c r="I66" s="56" t="n">
        <f aca="false">0</f>
        <v>0</v>
      </c>
      <c r="J66" s="56" t="n">
        <f aca="false">J65+G66-H66-I66</f>
        <v>114.567061311941</v>
      </c>
      <c r="K66" s="56" t="n">
        <f aca="false">J65*asia_coupon</f>
        <v>6.56373788766328</v>
      </c>
      <c r="L66" s="56" t="n">
        <f aca="false">SUMPRODUCT((Events!$B$6:$B$174&lt;=$A66)*(Events!$C$6:$C$174&gt;=$A66)*(Events!$E$6:$E$174="Loan")*(Events!$F$6:$F$174="Europe")*Events!$H$6:$H$174)</f>
        <v>0</v>
      </c>
      <c r="M66" s="56" t="n">
        <f aca="false">O65*Paths!AA66</f>
        <v>0.0578702153127418</v>
      </c>
      <c r="N66" s="56" t="n">
        <f aca="false">IF($A66=1918,russia_writeoff*(O65+L66),0)</f>
        <v>0</v>
      </c>
      <c r="O66" s="56" t="n">
        <f aca="false">O65+L66-M66-N66</f>
        <v>1.87113696177865</v>
      </c>
      <c r="P66" s="56" t="n">
        <f aca="false">O65*Paths!Z66*Paths!AB66</f>
        <v>0.0964503588545696</v>
      </c>
      <c r="Q66" s="56" t="n">
        <f aca="false">SUMPRODUCT((Events!$B$6:$B$174&lt;=$A66)*(Events!$C$6:$C$174&gt;=$A66)*(Events!$E$6:$E$174="Loan")*(Events!$F$6:$F$174="Rescue")*Events!$H$6:$H$174)</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false" outlineLevel="0" collapsed="false">
      <c r="A67" s="61" t="n">
        <v>1907</v>
      </c>
      <c r="B67" s="56" t="n">
        <f aca="false">SUMPRODUCT((Events!$B$6:$B$174&lt;=$A67)*(Events!$C$6:$C$174&gt;=$A67)*(Events!$E$6:$E$174="Loan")*(Events!$F$6:$F$174="Continental")*Events!$H$6:$H$174)</f>
        <v>0</v>
      </c>
      <c r="C67" s="56" t="n">
        <f aca="false">E66*cont_repay</f>
        <v>2.6331442191418</v>
      </c>
      <c r="D67" s="56" t="n">
        <f aca="false">0</f>
        <v>0</v>
      </c>
      <c r="E67" s="56" t="n">
        <f aca="false">E66+B67-C67-D67</f>
        <v>63.1954612594032</v>
      </c>
      <c r="F67" s="56" t="n">
        <f aca="false">E66*cont_coupon</f>
        <v>3.29143027392725</v>
      </c>
      <c r="G67" s="56" t="n">
        <f aca="false">SUMPRODUCT((Events!$B$6:$B$174&lt;=$A67)*(Events!$C$6:$C$174&gt;=$A67)*(Events!$E$6:$E$174="Loan")*(Events!$F$6:$F$174="Asia")*Events!$H$6:$H$174)</f>
        <v>0</v>
      </c>
      <c r="H67" s="56" t="n">
        <f aca="false">J66*asia_repay</f>
        <v>4.58268245247763</v>
      </c>
      <c r="I67" s="56" t="n">
        <f aca="false">0</f>
        <v>0</v>
      </c>
      <c r="J67" s="56" t="n">
        <f aca="false">J66+G67-H67-I67</f>
        <v>109.984378859463</v>
      </c>
      <c r="K67" s="56" t="n">
        <f aca="false">J66*asia_coupon</f>
        <v>6.30118837215675</v>
      </c>
      <c r="L67" s="56" t="n">
        <f aca="false">SUMPRODUCT((Events!$B$6:$B$174&lt;=$A67)*(Events!$C$6:$C$174&gt;=$A67)*(Events!$E$6:$E$174="Loan")*(Events!$F$6:$F$174="Europe")*Events!$H$6:$H$174)</f>
        <v>0</v>
      </c>
      <c r="M67" s="56" t="n">
        <f aca="false">O66*Paths!AA67</f>
        <v>0.0561341088533595</v>
      </c>
      <c r="N67" s="56" t="n">
        <f aca="false">IF($A67=1918,russia_writeoff*(O66+L67),0)</f>
        <v>0</v>
      </c>
      <c r="O67" s="56" t="n">
        <f aca="false">O66+L67-M67-N67</f>
        <v>1.81500285292529</v>
      </c>
      <c r="P67" s="56" t="n">
        <f aca="false">O66*Paths!Z67*Paths!AB67</f>
        <v>0.0935568480889325</v>
      </c>
      <c r="Q67" s="56" t="n">
        <f aca="false">SUMPRODUCT((Events!$B$6:$B$174&lt;=$A67)*(Events!$C$6:$C$174&gt;=$A67)*(Events!$E$6:$E$174="Loan")*(Events!$F$6:$F$174="Rescue")*Events!$H$6:$H$174)</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false" outlineLevel="0" collapsed="false">
      <c r="A68" s="61" t="n">
        <v>1908</v>
      </c>
      <c r="B68" s="56" t="n">
        <f aca="false">SUMPRODUCT((Events!$B$6:$B$174&lt;=$A68)*(Events!$C$6:$C$174&gt;=$A68)*(Events!$E$6:$E$174="Loan")*(Events!$F$6:$F$174="Continental")*Events!$H$6:$H$174)</f>
        <v>0</v>
      </c>
      <c r="C68" s="56" t="n">
        <f aca="false">E67*cont_repay</f>
        <v>2.52781845037613</v>
      </c>
      <c r="D68" s="56" t="n">
        <f aca="false">0</f>
        <v>0</v>
      </c>
      <c r="E68" s="56" t="n">
        <f aca="false">E67+B68-C68-D68</f>
        <v>60.6676428090271</v>
      </c>
      <c r="F68" s="56" t="n">
        <f aca="false">E67*cont_coupon</f>
        <v>3.15977306297016</v>
      </c>
      <c r="G68" s="56" t="n">
        <f aca="false">SUMPRODUCT((Events!$B$6:$B$174&lt;=$A68)*(Events!$C$6:$C$174&gt;=$A68)*(Events!$E$6:$E$174="Loan")*(Events!$F$6:$F$174="Asia")*Events!$H$6:$H$174)</f>
        <v>0</v>
      </c>
      <c r="H68" s="56" t="n">
        <f aca="false">J67*asia_repay</f>
        <v>4.39937515437853</v>
      </c>
      <c r="I68" s="56" t="n">
        <f aca="false">0</f>
        <v>0</v>
      </c>
      <c r="J68" s="56" t="n">
        <f aca="false">J67+G68-H68-I68</f>
        <v>105.585003705085</v>
      </c>
      <c r="K68" s="56" t="n">
        <f aca="false">J67*asia_coupon</f>
        <v>6.04914083727048</v>
      </c>
      <c r="L68" s="56" t="n">
        <f aca="false">SUMPRODUCT((Events!$B$6:$B$174&lt;=$A68)*(Events!$C$6:$C$174&gt;=$A68)*(Events!$E$6:$E$174="Loan")*(Events!$F$6:$F$174="Europe")*Events!$H$6:$H$174)</f>
        <v>0</v>
      </c>
      <c r="M68" s="56" t="n">
        <f aca="false">O67*Paths!AA68</f>
        <v>0.0544500855877587</v>
      </c>
      <c r="N68" s="56" t="n">
        <f aca="false">IF($A68=1918,russia_writeoff*(O67+L68),0)</f>
        <v>0</v>
      </c>
      <c r="O68" s="56" t="n">
        <f aca="false">O67+L68-M68-N68</f>
        <v>1.76055276733753</v>
      </c>
      <c r="P68" s="56" t="n">
        <f aca="false">O67*Paths!Z68*Paths!AB68</f>
        <v>0.0907501426462645</v>
      </c>
      <c r="Q68" s="56" t="n">
        <f aca="false">SUMPRODUCT((Events!$B$6:$B$174&lt;=$A68)*(Events!$C$6:$C$174&gt;=$A68)*(Events!$E$6:$E$174="Loan")*(Events!$F$6:$F$174="Rescue")*Events!$H$6:$H$174)</f>
        <v>0</v>
      </c>
      <c r="R68" s="56" t="n">
        <f aca="false">0</f>
        <v>0</v>
      </c>
      <c r="S68" s="56" t="n">
        <f aca="false">0</f>
        <v>0</v>
      </c>
      <c r="T68" s="56" t="n">
        <f aca="false">T67+Q68-R68-S68</f>
        <v>0</v>
      </c>
      <c r="U68" s="56" t="n">
        <f aca="false">T67*rescue_coupon</f>
        <v>0</v>
      </c>
      <c r="V68" s="56" t="n">
        <f aca="false">B68+G68+L68+Q68</f>
        <v>0</v>
      </c>
      <c r="W68" s="56" t="n">
        <f aca="false">C68+H68+M68+R68</f>
        <v>6.98164369034241</v>
      </c>
      <c r="X68" s="56" t="n">
        <f aca="false">E68+J68+O68+T68</f>
        <v>168.013199281449</v>
      </c>
      <c r="Y68" s="56" t="n">
        <f aca="false">F68+K68+P68+U68</f>
        <v>9.2996640428869</v>
      </c>
    </row>
    <row r="69" customFormat="false" ht="14.25" hidden="false" customHeight="false" outlineLevel="0" collapsed="false">
      <c r="A69" s="61" t="n">
        <v>1909</v>
      </c>
      <c r="B69" s="56" t="n">
        <f aca="false">SUMPRODUCT((Events!$B$6:$B$174&lt;=$A69)*(Events!$C$6:$C$174&gt;=$A69)*(Events!$E$6:$E$174="Loan")*(Events!$F$6:$F$174="Continental")*Events!$H$6:$H$174)</f>
        <v>0</v>
      </c>
      <c r="C69" s="56" t="n">
        <f aca="false">E68*cont_repay</f>
        <v>2.42670571236108</v>
      </c>
      <c r="D69" s="56" t="n">
        <f aca="false">0</f>
        <v>0</v>
      </c>
      <c r="E69" s="56" t="n">
        <f aca="false">E68+B69-C69-D69</f>
        <v>58.240937096666</v>
      </c>
      <c r="F69" s="56" t="n">
        <f aca="false">E68*cont_coupon</f>
        <v>3.03338214045135</v>
      </c>
      <c r="G69" s="56" t="n">
        <f aca="false">SUMPRODUCT((Events!$B$6:$B$174&lt;=$A69)*(Events!$C$6:$C$174&gt;=$A69)*(Events!$E$6:$E$174="Loan")*(Events!$F$6:$F$174="Asia")*Events!$H$6:$H$174)</f>
        <v>0</v>
      </c>
      <c r="H69" s="56" t="n">
        <f aca="false">J68*asia_repay</f>
        <v>4.22340014820339</v>
      </c>
      <c r="I69" s="56" t="n">
        <f aca="false">0</f>
        <v>0</v>
      </c>
      <c r="J69" s="56" t="n">
        <f aca="false">J68+G69-H69-I69</f>
        <v>101.361603556881</v>
      </c>
      <c r="K69" s="56" t="n">
        <f aca="false">J68*asia_coupon</f>
        <v>5.80717520377966</v>
      </c>
      <c r="L69" s="56" t="n">
        <f aca="false">SUMPRODUCT((Events!$B$6:$B$174&lt;=$A69)*(Events!$C$6:$C$174&gt;=$A69)*(Events!$E$6:$E$174="Loan")*(Events!$F$6:$F$174="Europe")*Events!$H$6:$H$174)</f>
        <v>0</v>
      </c>
      <c r="M69" s="56" t="n">
        <f aca="false">O68*Paths!AA69</f>
        <v>0.052816583020126</v>
      </c>
      <c r="N69" s="56" t="n">
        <f aca="false">IF($A69=1918,russia_writeoff*(O68+L69),0)</f>
        <v>0</v>
      </c>
      <c r="O69" s="56" t="n">
        <f aca="false">O68+L69-M69-N69</f>
        <v>1.70773618431741</v>
      </c>
      <c r="P69" s="56" t="n">
        <f aca="false">O68*Paths!Z69*Paths!AB69</f>
        <v>0.0880276383668766</v>
      </c>
      <c r="Q69" s="56" t="n">
        <f aca="false">SUMPRODUCT((Events!$B$6:$B$174&lt;=$A69)*(Events!$C$6:$C$174&gt;=$A69)*(Events!$E$6:$E$174="Loan")*(Events!$F$6:$F$174="Rescue")*Events!$H$6:$H$174)</f>
        <v>0</v>
      </c>
      <c r="R69" s="56" t="n">
        <f aca="false">0</f>
        <v>0</v>
      </c>
      <c r="S69" s="56" t="n">
        <f aca="false">0</f>
        <v>0</v>
      </c>
      <c r="T69" s="56" t="n">
        <f aca="false">T68+Q69-R69-S69</f>
        <v>0</v>
      </c>
      <c r="U69" s="56" t="n">
        <f aca="false">T68*rescue_coupon</f>
        <v>0</v>
      </c>
      <c r="V69" s="56" t="n">
        <f aca="false">B69+G69+L69+Q69</f>
        <v>0</v>
      </c>
      <c r="W69" s="56" t="n">
        <f aca="false">C69+H69+M69+R69</f>
        <v>6.7029224435846</v>
      </c>
      <c r="X69" s="56" t="n">
        <f aca="false">E69+J69+O69+T69</f>
        <v>161.310276837865</v>
      </c>
      <c r="Y69" s="56" t="n">
        <f aca="false">F69+K69+P69+U69</f>
        <v>8.92858498259789</v>
      </c>
    </row>
    <row r="70" customFormat="false" ht="14.25" hidden="false" customHeight="false" outlineLevel="0" collapsed="false">
      <c r="A70" s="61" t="n">
        <v>1910</v>
      </c>
      <c r="B70" s="56" t="n">
        <f aca="false">SUMPRODUCT((Events!$B$6:$B$174&lt;=$A70)*(Events!$C$6:$C$174&gt;=$A70)*(Events!$E$6:$E$174="Loan")*(Events!$F$6:$F$174="Continental")*Events!$H$6:$H$174)</f>
        <v>0</v>
      </c>
      <c r="C70" s="56" t="n">
        <f aca="false">E69*cont_repay</f>
        <v>2.32963748386664</v>
      </c>
      <c r="D70" s="56" t="n">
        <f aca="false">0</f>
        <v>0</v>
      </c>
      <c r="E70" s="56" t="n">
        <f aca="false">E69+B70-C70-D70</f>
        <v>55.9112996127993</v>
      </c>
      <c r="F70" s="56" t="n">
        <f aca="false">E69*cont_coupon</f>
        <v>2.9120468548333</v>
      </c>
      <c r="G70" s="56" t="n">
        <f aca="false">SUMPRODUCT((Events!$B$6:$B$174&lt;=$A70)*(Events!$C$6:$C$174&gt;=$A70)*(Events!$E$6:$E$174="Loan")*(Events!$F$6:$F$174="Asia")*Events!$H$6:$H$174)</f>
        <v>0</v>
      </c>
      <c r="H70" s="56" t="n">
        <f aca="false">J69*asia_repay</f>
        <v>4.05446414227525</v>
      </c>
      <c r="I70" s="56" t="n">
        <f aca="false">0</f>
        <v>0</v>
      </c>
      <c r="J70" s="56" t="n">
        <f aca="false">J69+G70-H70-I70</f>
        <v>97.307139414606</v>
      </c>
      <c r="K70" s="56" t="n">
        <f aca="false">J69*asia_coupon</f>
        <v>5.57488819562847</v>
      </c>
      <c r="L70" s="56" t="n">
        <f aca="false">SUMPRODUCT((Events!$B$6:$B$174&lt;=$A70)*(Events!$C$6:$C$174&gt;=$A70)*(Events!$E$6:$E$174="Loan")*(Events!$F$6:$F$174="Europe")*Events!$H$6:$H$174)</f>
        <v>0</v>
      </c>
      <c r="M70" s="56" t="n">
        <f aca="false">O69*Paths!AA70</f>
        <v>0.0512320855295222</v>
      </c>
      <c r="N70" s="56" t="n">
        <f aca="false">IF($A70=1918,russia_writeoff*(O69+L70),0)</f>
        <v>0</v>
      </c>
      <c r="O70" s="56" t="n">
        <f aca="false">O69+L70-M70-N70</f>
        <v>1.65650409878788</v>
      </c>
      <c r="P70" s="56" t="n">
        <f aca="false">O69*Paths!Z70*Paths!AB70</f>
        <v>0.0853868092158703</v>
      </c>
      <c r="Q70" s="56" t="n">
        <f aca="false">SUMPRODUCT((Events!$B$6:$B$174&lt;=$A70)*(Events!$C$6:$C$174&gt;=$A70)*(Events!$E$6:$E$174="Loan")*(Events!$F$6:$F$174="Rescue")*Events!$H$6:$H$174)</f>
        <v>0</v>
      </c>
      <c r="R70" s="56" t="n">
        <f aca="false">0</f>
        <v>0</v>
      </c>
      <c r="S70" s="56" t="n">
        <f aca="false">0</f>
        <v>0</v>
      </c>
      <c r="T70" s="56" t="n">
        <f aca="false">T69+Q70-R70-S70</f>
        <v>0</v>
      </c>
      <c r="U70" s="56" t="n">
        <f aca="false">T69*rescue_coupon</f>
        <v>0</v>
      </c>
      <c r="V70" s="56" t="n">
        <f aca="false">B70+G70+L70+Q70</f>
        <v>0</v>
      </c>
      <c r="W70" s="56" t="n">
        <f aca="false">C70+H70+M70+R70</f>
        <v>6.43533371167141</v>
      </c>
      <c r="X70" s="56" t="n">
        <f aca="false">E70+J70+O70+T70</f>
        <v>154.874943126193</v>
      </c>
      <c r="Y70" s="56" t="n">
        <f aca="false">F70+K70+P70+U70</f>
        <v>8.57232185967764</v>
      </c>
    </row>
    <row r="71" customFormat="false" ht="14.25" hidden="false" customHeight="false" outlineLevel="0" collapsed="false">
      <c r="A71" s="61" t="n">
        <v>1911</v>
      </c>
      <c r="B71" s="56" t="n">
        <f aca="false">SUMPRODUCT((Events!$B$6:$B$174&lt;=$A71)*(Events!$C$6:$C$174&gt;=$A71)*(Events!$E$6:$E$174="Loan")*(Events!$F$6:$F$174="Continental")*Events!$H$6:$H$174)</f>
        <v>0</v>
      </c>
      <c r="C71" s="56" t="n">
        <f aca="false">E70*cont_repay</f>
        <v>2.23645198451197</v>
      </c>
      <c r="D71" s="56" t="n">
        <f aca="false">0</f>
        <v>0</v>
      </c>
      <c r="E71" s="56" t="n">
        <f aca="false">E70+B71-C71-D71</f>
        <v>53.6748476282874</v>
      </c>
      <c r="F71" s="56" t="n">
        <f aca="false">E70*cont_coupon</f>
        <v>2.79556498063997</v>
      </c>
      <c r="G71" s="56" t="n">
        <f aca="false">SUMPRODUCT((Events!$B$6:$B$174&lt;=$A71)*(Events!$C$6:$C$174&gt;=$A71)*(Events!$E$6:$E$174="Loan")*(Events!$F$6:$F$174="Asia")*Events!$H$6:$H$174)</f>
        <v>0</v>
      </c>
      <c r="H71" s="56" t="n">
        <f aca="false">J70*asia_repay</f>
        <v>3.89228557658424</v>
      </c>
      <c r="I71" s="56" t="n">
        <f aca="false">0</f>
        <v>0</v>
      </c>
      <c r="J71" s="56" t="n">
        <f aca="false">J70+G71-H71-I71</f>
        <v>93.4148538380218</v>
      </c>
      <c r="K71" s="56" t="n">
        <f aca="false">J70*asia_coupon</f>
        <v>5.35189266780333</v>
      </c>
      <c r="L71" s="56" t="n">
        <f aca="false">SUMPRODUCT((Events!$B$6:$B$174&lt;=$A71)*(Events!$C$6:$C$174&gt;=$A71)*(Events!$E$6:$E$174="Loan")*(Events!$F$6:$F$174="Europe")*Events!$H$6:$H$174)</f>
        <v>0</v>
      </c>
      <c r="M71" s="56" t="n">
        <f aca="false">O70*Paths!AA71</f>
        <v>0.0496951229636365</v>
      </c>
      <c r="N71" s="56" t="n">
        <f aca="false">IF($A71=1918,russia_writeoff*(O70+L71),0)</f>
        <v>0</v>
      </c>
      <c r="O71" s="56" t="n">
        <f aca="false">O70+L71-M71-N71</f>
        <v>1.60680897582425</v>
      </c>
      <c r="P71" s="56" t="n">
        <f aca="false">O70*Paths!Z71*Paths!AB71</f>
        <v>0.0828252049393942</v>
      </c>
      <c r="Q71" s="56" t="n">
        <f aca="false">SUMPRODUCT((Events!$B$6:$B$174&lt;=$A71)*(Events!$C$6:$C$174&gt;=$A71)*(Events!$E$6:$E$174="Loan")*(Events!$F$6:$F$174="Rescue")*Events!$H$6:$H$174)</f>
        <v>0</v>
      </c>
      <c r="R71" s="56" t="n">
        <f aca="false">0</f>
        <v>0</v>
      </c>
      <c r="S71" s="56" t="n">
        <f aca="false">0</f>
        <v>0</v>
      </c>
      <c r="T71" s="56" t="n">
        <f aca="false">T70+Q71-R71-S71</f>
        <v>0</v>
      </c>
      <c r="U71" s="56" t="n">
        <f aca="false">T70*rescue_coupon</f>
        <v>0</v>
      </c>
      <c r="V71" s="56" t="n">
        <f aca="false">B71+G71+L71+Q71</f>
        <v>0</v>
      </c>
      <c r="W71" s="56" t="n">
        <f aca="false">C71+H71+M71+R71</f>
        <v>6.17843268405985</v>
      </c>
      <c r="X71" s="56" t="n">
        <f aca="false">E71+J71+O71+T71</f>
        <v>148.696510442133</v>
      </c>
      <c r="Y71" s="56" t="n">
        <f aca="false">F71+K71+P71+U71</f>
        <v>8.23028285338269</v>
      </c>
    </row>
    <row r="72" customFormat="false" ht="14.25" hidden="false" customHeight="false" outlineLevel="0" collapsed="false">
      <c r="A72" s="61" t="n">
        <v>1912</v>
      </c>
      <c r="B72" s="56" t="n">
        <f aca="false">SUMPRODUCT((Events!$B$6:$B$174&lt;=$A72)*(Events!$C$6:$C$174&gt;=$A72)*(Events!$E$6:$E$174="Loan")*(Events!$F$6:$F$174="Continental")*Events!$H$6:$H$174)</f>
        <v>0</v>
      </c>
      <c r="C72" s="56" t="n">
        <f aca="false">E71*cont_repay</f>
        <v>2.14699390513149</v>
      </c>
      <c r="D72" s="56" t="n">
        <f aca="false">0</f>
        <v>0</v>
      </c>
      <c r="E72" s="56" t="n">
        <f aca="false">E71+B72-C72-D72</f>
        <v>51.5278537231559</v>
      </c>
      <c r="F72" s="56" t="n">
        <f aca="false">E71*cont_coupon</f>
        <v>2.68374238141437</v>
      </c>
      <c r="G72" s="56" t="n">
        <f aca="false">SUMPRODUCT((Events!$B$6:$B$174&lt;=$A72)*(Events!$C$6:$C$174&gt;=$A72)*(Events!$E$6:$E$174="Loan")*(Events!$F$6:$F$174="Asia")*Events!$H$6:$H$174)</f>
        <v>0</v>
      </c>
      <c r="H72" s="56" t="n">
        <f aca="false">J71*asia_repay</f>
        <v>3.73659415352087</v>
      </c>
      <c r="I72" s="56" t="n">
        <f aca="false">0</f>
        <v>0</v>
      </c>
      <c r="J72" s="56" t="n">
        <f aca="false">J71+G72-H72-I72</f>
        <v>89.6782596845009</v>
      </c>
      <c r="K72" s="56" t="n">
        <f aca="false">J71*asia_coupon</f>
        <v>5.1378169610912</v>
      </c>
      <c r="L72" s="56" t="n">
        <f aca="false">SUMPRODUCT((Events!$B$6:$B$174&lt;=$A72)*(Events!$C$6:$C$174&gt;=$A72)*(Events!$E$6:$E$174="Loan")*(Events!$F$6:$F$174="Europe")*Events!$H$6:$H$174)</f>
        <v>0</v>
      </c>
      <c r="M72" s="56" t="n">
        <f aca="false">O71*Paths!AA72</f>
        <v>0.0482042692747274</v>
      </c>
      <c r="N72" s="56" t="n">
        <f aca="false">IF($A72=1918,russia_writeoff*(O71+L72),0)</f>
        <v>0</v>
      </c>
      <c r="O72" s="56" t="n">
        <f aca="false">O71+L72-M72-N72</f>
        <v>1.55860470654952</v>
      </c>
      <c r="P72" s="56" t="n">
        <f aca="false">O71*Paths!Z72*Paths!AB72</f>
        <v>0.0803404487912124</v>
      </c>
      <c r="Q72" s="56" t="n">
        <f aca="false">SUMPRODUCT((Events!$B$6:$B$174&lt;=$A72)*(Events!$C$6:$C$174&gt;=$A72)*(Events!$E$6:$E$174="Loan")*(Events!$F$6:$F$174="Rescue")*Events!$H$6:$H$174)</f>
        <v>0</v>
      </c>
      <c r="R72" s="56" t="n">
        <f aca="false">0</f>
        <v>0</v>
      </c>
      <c r="S72" s="56" t="n">
        <f aca="false">0</f>
        <v>0</v>
      </c>
      <c r="T72" s="56" t="n">
        <f aca="false">T71+Q72-R72-S72</f>
        <v>0</v>
      </c>
      <c r="U72" s="56" t="n">
        <f aca="false">T71*rescue_coupon</f>
        <v>0</v>
      </c>
      <c r="V72" s="56" t="n">
        <f aca="false">B72+G72+L72+Q72</f>
        <v>0</v>
      </c>
      <c r="W72" s="56" t="n">
        <f aca="false">C72+H72+M72+R72</f>
        <v>5.93179232792709</v>
      </c>
      <c r="X72" s="56" t="n">
        <f aca="false">E72+J72+O72+T72</f>
        <v>142.764718114206</v>
      </c>
      <c r="Y72" s="56" t="n">
        <f aca="false">F72+K72+P72+U72</f>
        <v>7.90189979129678</v>
      </c>
    </row>
    <row r="73" customFormat="false" ht="14.25" hidden="false" customHeight="false" outlineLevel="0" collapsed="false">
      <c r="A73" s="61" t="n">
        <v>1913</v>
      </c>
      <c r="B73" s="56" t="n">
        <f aca="false">SUMPRODUCT((Events!$B$6:$B$174&lt;=$A73)*(Events!$C$6:$C$174&gt;=$A73)*(Events!$E$6:$E$174="Loan")*(Events!$F$6:$F$174="Continental")*Events!$H$6:$H$174)</f>
        <v>0</v>
      </c>
      <c r="C73" s="56" t="n">
        <f aca="false">E72*cont_repay</f>
        <v>2.06111414892624</v>
      </c>
      <c r="D73" s="56" t="n">
        <f aca="false">0</f>
        <v>0</v>
      </c>
      <c r="E73" s="56" t="n">
        <f aca="false">E72+B73-C73-D73</f>
        <v>49.4667395742296</v>
      </c>
      <c r="F73" s="56" t="n">
        <f aca="false">E72*cont_coupon</f>
        <v>2.57639268615779</v>
      </c>
      <c r="G73" s="56" t="n">
        <f aca="false">SUMPRODUCT((Events!$B$6:$B$174&lt;=$A73)*(Events!$C$6:$C$174&gt;=$A73)*(Events!$E$6:$E$174="Loan")*(Events!$F$6:$F$174="Asia")*Events!$H$6:$H$174)</f>
        <v>0</v>
      </c>
      <c r="H73" s="56" t="n">
        <f aca="false">J72*asia_repay</f>
        <v>3.58713038738004</v>
      </c>
      <c r="I73" s="56" t="n">
        <f aca="false">0</f>
        <v>0</v>
      </c>
      <c r="J73" s="56" t="n">
        <f aca="false">J72+G73-H73-I73</f>
        <v>86.0911292971209</v>
      </c>
      <c r="K73" s="56" t="n">
        <f aca="false">J72*asia_coupon</f>
        <v>4.93230428264755</v>
      </c>
      <c r="L73" s="56" t="n">
        <f aca="false">SUMPRODUCT((Events!$B$6:$B$174&lt;=$A73)*(Events!$C$6:$C$174&gt;=$A73)*(Events!$E$6:$E$174="Loan")*(Events!$F$6:$F$174="Europe")*Events!$H$6:$H$174)</f>
        <v>0</v>
      </c>
      <c r="M73" s="56" t="n">
        <f aca="false">O72*Paths!AA73</f>
        <v>0.0467581411964856</v>
      </c>
      <c r="N73" s="56" t="n">
        <f aca="false">IF($A73=1918,russia_writeoff*(O72+L73),0)</f>
        <v>0</v>
      </c>
      <c r="O73" s="56" t="n">
        <f aca="false">O72+L73-M73-N73</f>
        <v>1.51184656535303</v>
      </c>
      <c r="P73" s="56" t="n">
        <f aca="false">O72*Paths!Z73*Paths!AB73</f>
        <v>0.077930235327476</v>
      </c>
      <c r="Q73" s="56" t="n">
        <f aca="false">SUMPRODUCT((Events!$B$6:$B$174&lt;=$A73)*(Events!$C$6:$C$174&gt;=$A73)*(Events!$E$6:$E$174="Loan")*(Events!$F$6:$F$174="Rescue")*Events!$H$6:$H$174)</f>
        <v>0</v>
      </c>
      <c r="R73" s="56" t="n">
        <f aca="false">0</f>
        <v>0</v>
      </c>
      <c r="S73" s="56" t="n">
        <f aca="false">0</f>
        <v>0</v>
      </c>
      <c r="T73" s="56" t="n">
        <f aca="false">T72+Q73-R73-S73</f>
        <v>0</v>
      </c>
      <c r="U73" s="56" t="n">
        <f aca="false">T72*rescue_coupon</f>
        <v>0</v>
      </c>
      <c r="V73" s="56" t="n">
        <f aca="false">B73+G73+L73+Q73</f>
        <v>0</v>
      </c>
      <c r="W73" s="56" t="n">
        <f aca="false">C73+H73+M73+R73</f>
        <v>5.69500267750276</v>
      </c>
      <c r="X73" s="56" t="n">
        <f aca="false">E73+J73+O73+T73</f>
        <v>137.069715436704</v>
      </c>
      <c r="Y73" s="56" t="n">
        <f aca="false">F73+K73+P73+U73</f>
        <v>7.58662720413282</v>
      </c>
    </row>
    <row r="74" customFormat="false" ht="14.25" hidden="false" customHeight="false" outlineLevel="0" collapsed="false">
      <c r="A74" s="64" t="n">
        <v>1914</v>
      </c>
      <c r="B74" s="56" t="n">
        <f aca="false">SUMPRODUCT((Events!$B$6:$B$174&lt;=$A74)*(Events!$C$6:$C$174&gt;=$A74)*(Events!$E$6:$E$174="Loan")*(Events!$F$6:$F$174="Continental")*Events!$H$6:$H$174)</f>
        <v>0</v>
      </c>
      <c r="C74" s="56" t="n">
        <f aca="false">E73*cont_repay</f>
        <v>1.97866958296919</v>
      </c>
      <c r="D74" s="56" t="n">
        <f aca="false">0</f>
        <v>0</v>
      </c>
      <c r="E74" s="56" t="n">
        <f aca="false">E73+B74-C74-D74</f>
        <v>47.4880699912604</v>
      </c>
      <c r="F74" s="56" t="n">
        <f aca="false">E73*cont_coupon</f>
        <v>2.47333697871148</v>
      </c>
      <c r="G74" s="56" t="n">
        <f aca="false">SUMPRODUCT((Events!$B$6:$B$174&lt;=$A74)*(Events!$C$6:$C$174&gt;=$A74)*(Events!$E$6:$E$174="Loan")*(Events!$F$6:$F$174="Asia")*Events!$H$6:$H$174)</f>
        <v>0</v>
      </c>
      <c r="H74" s="56" t="n">
        <f aca="false">J73*asia_repay</f>
        <v>3.44364517188484</v>
      </c>
      <c r="I74" s="56" t="n">
        <f aca="false">0</f>
        <v>0</v>
      </c>
      <c r="J74" s="56" t="n">
        <f aca="false">J73+G74-H74-I74</f>
        <v>82.6474841252361</v>
      </c>
      <c r="K74" s="56" t="n">
        <f aca="false">J73*asia_coupon</f>
        <v>4.73501211134165</v>
      </c>
      <c r="L74" s="56" t="n">
        <f aca="false">SUMPRODUCT((Events!$B$6:$B$174&lt;=$A74)*(Events!$C$6:$C$174&gt;=$A74)*(Events!$E$6:$E$174="Loan")*(Events!$F$6:$F$174="Europe")*Events!$H$6:$H$174)</f>
        <v>85</v>
      </c>
      <c r="M74" s="56" t="n">
        <f aca="false">O73*Paths!AA74</f>
        <v>0</v>
      </c>
      <c r="N74" s="56" t="n">
        <f aca="false">IF($A74=1918,russia_writeoff*(O73+L74),0)</f>
        <v>0</v>
      </c>
      <c r="O74" s="56" t="n">
        <f aca="false">O73+L74-M74-N74</f>
        <v>86.511846565353</v>
      </c>
      <c r="P74" s="56" t="n">
        <f aca="false">O73*Paths!Z74*Paths!AB74</f>
        <v>0.0755923282676517</v>
      </c>
      <c r="Q74" s="56" t="n">
        <f aca="false">SUMPRODUCT((Events!$B$6:$B$174&lt;=$A74)*(Events!$C$6:$C$174&gt;=$A74)*(Events!$E$6:$E$174="Loan")*(Events!$F$6:$F$174="Rescue")*Events!$H$6:$H$174)</f>
        <v>0</v>
      </c>
      <c r="R74" s="56" t="n">
        <f aca="false">0</f>
        <v>0</v>
      </c>
      <c r="S74" s="56" t="n">
        <f aca="false">0</f>
        <v>0</v>
      </c>
      <c r="T74" s="56" t="n">
        <f aca="false">T73+Q74-R74-S74</f>
        <v>0</v>
      </c>
      <c r="U74" s="56" t="n">
        <f aca="false">T73*rescue_coupon</f>
        <v>0</v>
      </c>
      <c r="V74" s="56" t="n">
        <f aca="false">B74+G74+L74+Q74</f>
        <v>85</v>
      </c>
      <c r="W74" s="56" t="n">
        <f aca="false">C74+H74+M74+R74</f>
        <v>5.42231475485402</v>
      </c>
      <c r="X74" s="56" t="n">
        <f aca="false">E74+J74+O74+T74</f>
        <v>216.64740068185</v>
      </c>
      <c r="Y74" s="56" t="n">
        <f aca="false">F74+K74+P74+U74</f>
        <v>7.28394141832078</v>
      </c>
    </row>
    <row r="75" customFormat="false" ht="14.25" hidden="false" customHeight="false" outlineLevel="0" collapsed="false">
      <c r="A75" s="64" t="n">
        <v>1915</v>
      </c>
      <c r="B75" s="56" t="n">
        <f aca="false">SUMPRODUCT((Events!$B$6:$B$174&lt;=$A75)*(Events!$C$6:$C$174&gt;=$A75)*(Events!$E$6:$E$174="Loan")*(Events!$F$6:$F$174="Continental")*Events!$H$6:$H$174)</f>
        <v>0</v>
      </c>
      <c r="C75" s="56" t="n">
        <f aca="false">E74*cont_repay</f>
        <v>1.89952279965042</v>
      </c>
      <c r="D75" s="56" t="n">
        <f aca="false">0</f>
        <v>0</v>
      </c>
      <c r="E75" s="56" t="n">
        <f aca="false">E74+B75-C75-D75</f>
        <v>45.58854719161</v>
      </c>
      <c r="F75" s="56" t="n">
        <f aca="false">E74*cont_coupon</f>
        <v>2.37440349956302</v>
      </c>
      <c r="G75" s="56" t="n">
        <f aca="false">SUMPRODUCT((Events!$B$6:$B$174&lt;=$A75)*(Events!$C$6:$C$174&gt;=$A75)*(Events!$E$6:$E$174="Loan")*(Events!$F$6:$F$174="Asia")*Events!$H$6:$H$174)</f>
        <v>0</v>
      </c>
      <c r="H75" s="56" t="n">
        <f aca="false">J74*asia_repay</f>
        <v>3.30589936500944</v>
      </c>
      <c r="I75" s="56" t="n">
        <f aca="false">0</f>
        <v>0</v>
      </c>
      <c r="J75" s="56" t="n">
        <f aca="false">J74+G75-H75-I75</f>
        <v>79.3415847602266</v>
      </c>
      <c r="K75" s="56" t="n">
        <f aca="false">J74*asia_coupon</f>
        <v>4.54561162688798</v>
      </c>
      <c r="L75" s="56" t="n">
        <f aca="false">SUMPRODUCT((Events!$B$6:$B$174&lt;=$A75)*(Events!$C$6:$C$174&gt;=$A75)*(Events!$E$6:$E$174="Loan")*(Events!$F$6:$F$174="Europe")*Events!$H$6:$H$174)</f>
        <v>226.61</v>
      </c>
      <c r="M75" s="56" t="n">
        <f aca="false">O74*Paths!AA75</f>
        <v>0</v>
      </c>
      <c r="N75" s="56" t="n">
        <f aca="false">IF($A75=1918,russia_writeoff*(O74+L75),0)</f>
        <v>0</v>
      </c>
      <c r="O75" s="56" t="n">
        <f aca="false">O74+L75-M75-N75</f>
        <v>313.121846565353</v>
      </c>
      <c r="P75" s="56" t="n">
        <f aca="false">O74*Paths!Z75*Paths!AB75</f>
        <v>4.32559232826765</v>
      </c>
      <c r="Q75" s="56" t="n">
        <f aca="false">SUMPRODUCT((Events!$B$6:$B$174&lt;=$A75)*(Events!$C$6:$C$174&gt;=$A75)*(Events!$E$6:$E$174="Loan")*(Events!$F$6:$F$174="Rescue")*Events!$H$6:$H$174)</f>
        <v>0</v>
      </c>
      <c r="R75" s="56" t="n">
        <f aca="false">0</f>
        <v>0</v>
      </c>
      <c r="S75" s="56" t="n">
        <f aca="false">0</f>
        <v>0</v>
      </c>
      <c r="T75" s="56" t="n">
        <f aca="false">T74+Q75-R75-S75</f>
        <v>0</v>
      </c>
      <c r="U75" s="56" t="n">
        <f aca="false">T74*rescue_coupon</f>
        <v>0</v>
      </c>
      <c r="V75" s="56" t="n">
        <f aca="false">B75+G75+L75+Q75</f>
        <v>226.61</v>
      </c>
      <c r="W75" s="56" t="n">
        <f aca="false">C75+H75+M75+R75</f>
        <v>5.20542216465986</v>
      </c>
      <c r="X75" s="56" t="n">
        <f aca="false">E75+J75+O75+T75</f>
        <v>438.05197851719</v>
      </c>
      <c r="Y75" s="56" t="n">
        <f aca="false">F75+K75+P75+U75</f>
        <v>11.2456074547187</v>
      </c>
    </row>
    <row r="76" customFormat="false" ht="14.25" hidden="false" customHeight="false" outlineLevel="0" collapsed="false">
      <c r="A76" s="64" t="n">
        <v>1916</v>
      </c>
      <c r="B76" s="56" t="n">
        <f aca="false">SUMPRODUCT((Events!$B$6:$B$174&lt;=$A76)*(Events!$C$6:$C$174&gt;=$A76)*(Events!$E$6:$E$174="Loan")*(Events!$F$6:$F$174="Continental")*Events!$H$6:$H$174)</f>
        <v>0</v>
      </c>
      <c r="C76" s="56" t="n">
        <f aca="false">E75*cont_repay</f>
        <v>1.8235418876644</v>
      </c>
      <c r="D76" s="56" t="n">
        <f aca="false">0</f>
        <v>0</v>
      </c>
      <c r="E76" s="56" t="n">
        <f aca="false">E75+B76-C76-D76</f>
        <v>43.7650053039456</v>
      </c>
      <c r="F76" s="56" t="n">
        <f aca="false">E75*cont_coupon</f>
        <v>2.2794273595805</v>
      </c>
      <c r="G76" s="56" t="n">
        <f aca="false">SUMPRODUCT((Events!$B$6:$B$174&lt;=$A76)*(Events!$C$6:$C$174&gt;=$A76)*(Events!$E$6:$E$174="Loan")*(Events!$F$6:$F$174="Asia")*Events!$H$6:$H$174)</f>
        <v>0</v>
      </c>
      <c r="H76" s="56" t="n">
        <f aca="false">J75*asia_repay</f>
        <v>3.17366339040906</v>
      </c>
      <c r="I76" s="56" t="n">
        <f aca="false">0</f>
        <v>0</v>
      </c>
      <c r="J76" s="56" t="n">
        <f aca="false">J75+G76-H76-I76</f>
        <v>76.1679213698176</v>
      </c>
      <c r="K76" s="56" t="n">
        <f aca="false">J75*asia_coupon</f>
        <v>4.36378716181246</v>
      </c>
      <c r="L76" s="56" t="n">
        <f aca="false">SUMPRODUCT((Events!$B$6:$B$174&lt;=$A76)*(Events!$C$6:$C$174&gt;=$A76)*(Events!$E$6:$E$174="Loan")*(Events!$F$6:$F$174="Europe")*Events!$H$6:$H$174)</f>
        <v>396.61</v>
      </c>
      <c r="M76" s="56" t="n">
        <f aca="false">O75*Paths!AA76</f>
        <v>0</v>
      </c>
      <c r="N76" s="56" t="n">
        <f aca="false">IF($A76=1918,russia_writeoff*(O75+L76),0)</f>
        <v>0</v>
      </c>
      <c r="O76" s="56" t="n">
        <f aca="false">O75+L76-M76-N76</f>
        <v>709.731846565353</v>
      </c>
      <c r="P76" s="56" t="n">
        <f aca="false">O75*Paths!Z76*Paths!AB76</f>
        <v>15.6560923282677</v>
      </c>
      <c r="Q76" s="56" t="n">
        <f aca="false">SUMPRODUCT((Events!$B$6:$B$174&lt;=$A76)*(Events!$C$6:$C$174&gt;=$A76)*(Events!$E$6:$E$174="Loan")*(Events!$F$6:$F$174="Rescue")*Events!$H$6:$H$174)</f>
        <v>0</v>
      </c>
      <c r="R76" s="56" t="n">
        <f aca="false">0</f>
        <v>0</v>
      </c>
      <c r="S76" s="56" t="n">
        <f aca="false">0</f>
        <v>0</v>
      </c>
      <c r="T76" s="56" t="n">
        <f aca="false">T75+Q76-R76-S76</f>
        <v>0</v>
      </c>
      <c r="U76" s="56" t="n">
        <f aca="false">T75*rescue_coupon</f>
        <v>0</v>
      </c>
      <c r="V76" s="56" t="n">
        <f aca="false">B76+G76+L76+Q76</f>
        <v>396.61</v>
      </c>
      <c r="W76" s="56" t="n">
        <f aca="false">C76+H76+M76+R76</f>
        <v>4.99720527807347</v>
      </c>
      <c r="X76" s="56" t="n">
        <f aca="false">E76+J76+O76+T76</f>
        <v>829.664773239116</v>
      </c>
      <c r="Y76" s="56" t="n">
        <f aca="false">F76+K76+P76+U76</f>
        <v>22.2993068496606</v>
      </c>
    </row>
    <row r="77" customFormat="false" ht="14.25" hidden="false" customHeight="false" outlineLevel="0" collapsed="false">
      <c r="A77" s="64" t="n">
        <v>1917</v>
      </c>
      <c r="B77" s="56" t="n">
        <f aca="false">SUMPRODUCT((Events!$B$6:$B$174&lt;=$A77)*(Events!$C$6:$C$174&gt;=$A77)*(Events!$E$6:$E$174="Loan")*(Events!$F$6:$F$174="Continental")*Events!$H$6:$H$174)</f>
        <v>0</v>
      </c>
      <c r="C77" s="56" t="n">
        <f aca="false">E76*cont_repay</f>
        <v>1.75060021215783</v>
      </c>
      <c r="D77" s="56" t="n">
        <f aca="false">0</f>
        <v>0</v>
      </c>
      <c r="E77" s="56" t="n">
        <f aca="false">E76+B77-C77-D77</f>
        <v>42.0144050917878</v>
      </c>
      <c r="F77" s="56" t="n">
        <f aca="false">E76*cont_coupon</f>
        <v>2.18825026519728</v>
      </c>
      <c r="G77" s="56" t="n">
        <f aca="false">SUMPRODUCT((Events!$B$6:$B$174&lt;=$A77)*(Events!$C$6:$C$174&gt;=$A77)*(Events!$E$6:$E$174="Loan")*(Events!$F$6:$F$174="Asia")*Events!$H$6:$H$174)</f>
        <v>0</v>
      </c>
      <c r="H77" s="56" t="n">
        <f aca="false">J76*asia_repay</f>
        <v>3.0467168547927</v>
      </c>
      <c r="I77" s="56" t="n">
        <f aca="false">0</f>
        <v>0</v>
      </c>
      <c r="J77" s="56" t="n">
        <f aca="false">J76+G77-H77-I77</f>
        <v>73.1212045150248</v>
      </c>
      <c r="K77" s="56" t="n">
        <f aca="false">J76*asia_coupon</f>
        <v>4.18923567533997</v>
      </c>
      <c r="L77" s="56" t="n">
        <f aca="false">SUMPRODUCT((Events!$B$6:$B$174&lt;=$A77)*(Events!$C$6:$C$174&gt;=$A77)*(Events!$E$6:$E$174="Loan")*(Events!$F$6:$F$174="Europe")*Events!$H$6:$H$174)</f>
        <v>510</v>
      </c>
      <c r="M77" s="56" t="n">
        <f aca="false">O76*Paths!AA77</f>
        <v>0</v>
      </c>
      <c r="N77" s="56" t="n">
        <f aca="false">IF($A77=1918,russia_writeoff*(O76+L77),0)</f>
        <v>0</v>
      </c>
      <c r="O77" s="56" t="n">
        <f aca="false">O76+L77-M77-N77</f>
        <v>1219.73184656535</v>
      </c>
      <c r="P77" s="56" t="n">
        <f aca="false">O76*Paths!Z77*Paths!AB77</f>
        <v>35.4865923282677</v>
      </c>
      <c r="Q77" s="56" t="n">
        <f aca="false">SUMPRODUCT((Events!$B$6:$B$174&lt;=$A77)*(Events!$C$6:$C$174&gt;=$A77)*(Events!$E$6:$E$174="Loan")*(Events!$F$6:$F$174="Rescue")*Events!$H$6:$H$174)</f>
        <v>0</v>
      </c>
      <c r="R77" s="56" t="n">
        <f aca="false">0</f>
        <v>0</v>
      </c>
      <c r="S77" s="56" t="n">
        <f aca="false">0</f>
        <v>0</v>
      </c>
      <c r="T77" s="56" t="n">
        <f aca="false">T76+Q77-R77-S77</f>
        <v>0</v>
      </c>
      <c r="U77" s="56" t="n">
        <f aca="false">T76*rescue_coupon</f>
        <v>0</v>
      </c>
      <c r="V77" s="56" t="n">
        <f aca="false">B77+G77+L77+Q77</f>
        <v>510</v>
      </c>
      <c r="W77" s="56" t="n">
        <f aca="false">C77+H77+M77+R77</f>
        <v>4.79731706695053</v>
      </c>
      <c r="X77" s="56" t="n">
        <f aca="false">E77+J77+O77+T77</f>
        <v>1334.86745617217</v>
      </c>
      <c r="Y77" s="56" t="n">
        <f aca="false">F77+K77+P77+U77</f>
        <v>41.8640782688049</v>
      </c>
    </row>
    <row r="78" customFormat="false" ht="14.25" hidden="false" customHeight="false" outlineLevel="0" collapsed="false">
      <c r="A78" s="64" t="n">
        <v>1918</v>
      </c>
      <c r="B78" s="56" t="n">
        <f aca="false">SUMPRODUCT((Events!$B$6:$B$174&lt;=$A78)*(Events!$C$6:$C$174&gt;=$A78)*(Events!$E$6:$E$174="Loan")*(Events!$F$6:$F$174="Continental")*Events!$H$6:$H$174)</f>
        <v>0</v>
      </c>
      <c r="C78" s="56" t="n">
        <f aca="false">E77*cont_repay</f>
        <v>1.68057620367151</v>
      </c>
      <c r="D78" s="56" t="n">
        <f aca="false">0</f>
        <v>0</v>
      </c>
      <c r="E78" s="56" t="n">
        <f aca="false">E77+B78-C78-D78</f>
        <v>40.3338288881163</v>
      </c>
      <c r="F78" s="56" t="n">
        <f aca="false">E77*cont_coupon</f>
        <v>2.10072025458939</v>
      </c>
      <c r="G78" s="56" t="n">
        <f aca="false">SUMPRODUCT((Events!$B$6:$B$174&lt;=$A78)*(Events!$C$6:$C$174&gt;=$A78)*(Events!$E$6:$E$174="Loan")*(Events!$F$6:$F$174="Asia")*Events!$H$6:$H$174)</f>
        <v>17</v>
      </c>
      <c r="H78" s="56" t="n">
        <f aca="false">J77*asia_repay</f>
        <v>2.92484818060099</v>
      </c>
      <c r="I78" s="56" t="n">
        <f aca="false">0</f>
        <v>0</v>
      </c>
      <c r="J78" s="56" t="n">
        <f aca="false">J77+G78-H78-I78</f>
        <v>87.1963563344239</v>
      </c>
      <c r="K78" s="56" t="n">
        <f aca="false">J77*asia_coupon</f>
        <v>4.02166624832637</v>
      </c>
      <c r="L78" s="56" t="n">
        <f aca="false">SUMPRODUCT((Events!$B$6:$B$174&lt;=$A78)*(Events!$C$6:$C$174&gt;=$A78)*(Events!$E$6:$E$174="Loan")*(Events!$F$6:$F$174="Europe")*Events!$H$6:$H$174)</f>
        <v>481.78</v>
      </c>
      <c r="M78" s="56" t="n">
        <f aca="false">O77*Paths!AA78</f>
        <v>0</v>
      </c>
      <c r="N78" s="56" t="n">
        <f aca="false">IF($A78=1918,russia_writeoff*(O77+L78),0)</f>
        <v>204.181421587842</v>
      </c>
      <c r="O78" s="56" t="n">
        <f aca="false">O77+L78-M78-N78</f>
        <v>1497.33042497751</v>
      </c>
      <c r="P78" s="56" t="n">
        <f aca="false">O77*Paths!Z78*Paths!AB78</f>
        <v>60.9865923282677</v>
      </c>
      <c r="Q78" s="56" t="n">
        <f aca="false">SUMPRODUCT((Events!$B$6:$B$174&lt;=$A78)*(Events!$C$6:$C$174&gt;=$A78)*(Events!$E$6:$E$174="Loan")*(Events!$F$6:$F$174="Rescue")*Events!$H$6:$H$174)</f>
        <v>0</v>
      </c>
      <c r="R78" s="56" t="n">
        <f aca="false">0</f>
        <v>0</v>
      </c>
      <c r="S78" s="56" t="n">
        <f aca="false">0</f>
        <v>0</v>
      </c>
      <c r="T78" s="56" t="n">
        <f aca="false">T77+Q78-R78-S78</f>
        <v>0</v>
      </c>
      <c r="U78" s="56" t="n">
        <f aca="false">T77*rescue_coupon</f>
        <v>0</v>
      </c>
      <c r="V78" s="56" t="n">
        <f aca="false">B78+G78+L78+Q78</f>
        <v>498.78</v>
      </c>
      <c r="W78" s="56" t="n">
        <f aca="false">C78+H78+M78+R78</f>
        <v>4.60542438427251</v>
      </c>
      <c r="X78" s="56" t="n">
        <f aca="false">E78+J78+O78+T78</f>
        <v>1624.86061020005</v>
      </c>
      <c r="Y78" s="56" t="n">
        <f aca="false">F78+K78+P78+U78</f>
        <v>67.1089788311834</v>
      </c>
    </row>
    <row r="79" customFormat="false" ht="14.25" hidden="false" customHeight="false" outlineLevel="0" collapsed="false">
      <c r="A79" s="64" t="n">
        <v>1919</v>
      </c>
      <c r="B79" s="56" t="n">
        <f aca="false">SUMPRODUCT((Events!$B$6:$B$174&lt;=$A79)*(Events!$C$6:$C$174&gt;=$A79)*(Events!$E$6:$E$174="Loan")*(Events!$F$6:$F$174="Continental")*Events!$H$6:$H$174)</f>
        <v>0</v>
      </c>
      <c r="C79" s="56" t="n">
        <f aca="false">E78*cont_repay</f>
        <v>1.61335315552465</v>
      </c>
      <c r="D79" s="56" t="n">
        <f aca="false">0</f>
        <v>0</v>
      </c>
      <c r="E79" s="56" t="n">
        <f aca="false">E78+B79-C79-D79</f>
        <v>38.7204757325916</v>
      </c>
      <c r="F79" s="56" t="n">
        <f aca="false">E78*cont_coupon</f>
        <v>2.01669144440581</v>
      </c>
      <c r="G79" s="56" t="n">
        <f aca="false">SUMPRODUCT((Events!$B$6:$B$174&lt;=$A79)*(Events!$C$6:$C$174&gt;=$A79)*(Events!$E$6:$E$174="Loan")*(Events!$F$6:$F$174="Asia")*Events!$H$6:$H$174)</f>
        <v>17</v>
      </c>
      <c r="H79" s="56" t="n">
        <f aca="false">J78*asia_repay</f>
        <v>3.48785425337695</v>
      </c>
      <c r="I79" s="56" t="n">
        <f aca="false">0</f>
        <v>0</v>
      </c>
      <c r="J79" s="56" t="n">
        <f aca="false">J78+G79-H79-I79</f>
        <v>100.708502081047</v>
      </c>
      <c r="K79" s="56" t="n">
        <f aca="false">J78*asia_coupon</f>
        <v>4.79579959839331</v>
      </c>
      <c r="L79" s="56" t="n">
        <f aca="false">SUMPRODUCT((Events!$B$6:$B$174&lt;=$A79)*(Events!$C$6:$C$174&gt;=$A79)*(Events!$E$6:$E$174="Loan")*(Events!$F$6:$F$174="Europe")*Events!$H$6:$H$174)</f>
        <v>0</v>
      </c>
      <c r="M79" s="56" t="n">
        <f aca="false">O78*Paths!AA79</f>
        <v>0</v>
      </c>
      <c r="N79" s="56" t="n">
        <f aca="false">IF($A79=1918,russia_writeoff*(O78+L79),0)</f>
        <v>0</v>
      </c>
      <c r="O79" s="56" t="n">
        <f aca="false">O78+L79-M79-N79</f>
        <v>1497.33042497751</v>
      </c>
      <c r="P79" s="56" t="n">
        <f aca="false">O78*Paths!Z79*Paths!AB79</f>
        <v>74.8665212488755</v>
      </c>
      <c r="Q79" s="56" t="n">
        <f aca="false">SUMPRODUCT((Events!$B$6:$B$174&lt;=$A79)*(Events!$C$6:$C$174&gt;=$A79)*(Events!$E$6:$E$174="Loan")*(Events!$F$6:$F$174="Rescue")*Events!$H$6:$H$174)</f>
        <v>0</v>
      </c>
      <c r="R79" s="56" t="n">
        <f aca="false">0</f>
        <v>0</v>
      </c>
      <c r="S79" s="56" t="n">
        <f aca="false">0</f>
        <v>0</v>
      </c>
      <c r="T79" s="56" t="n">
        <f aca="false">T78+Q79-R79-S79</f>
        <v>0</v>
      </c>
      <c r="U79" s="56" t="n">
        <f aca="false">T78*rescue_coupon</f>
        <v>0</v>
      </c>
      <c r="V79" s="56" t="n">
        <f aca="false">B79+G79+L79+Q79</f>
        <v>17</v>
      </c>
      <c r="W79" s="56" t="n">
        <f aca="false">C79+H79+M79+R79</f>
        <v>5.10120740890161</v>
      </c>
      <c r="X79" s="56" t="n">
        <f aca="false">E79+J79+O79+T79</f>
        <v>1636.75940279115</v>
      </c>
      <c r="Y79" s="56" t="n">
        <f aca="false">F79+K79+P79+U79</f>
        <v>81.6790122916747</v>
      </c>
    </row>
    <row r="80" customFormat="false" ht="14.25" hidden="false" customHeight="false" outlineLevel="0" collapsed="false">
      <c r="A80" s="64" t="n">
        <v>1920</v>
      </c>
      <c r="B80" s="56" t="n">
        <f aca="false">SUMPRODUCT((Events!$B$6:$B$174&lt;=$A80)*(Events!$C$6:$C$174&gt;=$A80)*(Events!$E$6:$E$174="Loan")*(Events!$F$6:$F$174="Continental")*Events!$H$6:$H$174)</f>
        <v>0</v>
      </c>
      <c r="C80" s="56" t="n">
        <f aca="false">E79*cont_repay</f>
        <v>1.54881902930367</v>
      </c>
      <c r="D80" s="56" t="n">
        <f aca="false">0</f>
        <v>0</v>
      </c>
      <c r="E80" s="56" t="n">
        <f aca="false">E79+B80-C80-D80</f>
        <v>37.171656703288</v>
      </c>
      <c r="F80" s="56" t="n">
        <f aca="false">E79*cont_coupon</f>
        <v>1.93602378662958</v>
      </c>
      <c r="G80" s="56" t="n">
        <f aca="false">SUMPRODUCT((Events!$B$6:$B$174&lt;=$A80)*(Events!$C$6:$C$174&gt;=$A80)*(Events!$E$6:$E$174="Loan")*(Events!$F$6:$F$174="Asia")*Events!$H$6:$H$174)</f>
        <v>17</v>
      </c>
      <c r="H80" s="56" t="n">
        <f aca="false">J79*asia_repay</f>
        <v>4.02834008324188</v>
      </c>
      <c r="I80" s="56" t="n">
        <f aca="false">0</f>
        <v>0</v>
      </c>
      <c r="J80" s="56" t="n">
        <f aca="false">J79+G80-H80-I80</f>
        <v>113.680161997805</v>
      </c>
      <c r="K80" s="56" t="n">
        <f aca="false">J79*asia_coupon</f>
        <v>5.53896761445758</v>
      </c>
      <c r="L80" s="56" t="n">
        <f aca="false">SUMPRODUCT((Events!$B$6:$B$174&lt;=$A80)*(Events!$C$6:$C$174&gt;=$A80)*(Events!$E$6:$E$174="Loan")*(Events!$F$6:$F$174="Europe")*Events!$H$6:$H$174)</f>
        <v>0</v>
      </c>
      <c r="M80" s="56" t="n">
        <f aca="false">O79*Paths!AA80</f>
        <v>0</v>
      </c>
      <c r="N80" s="56" t="n">
        <f aca="false">IF($A80=1918,russia_writeoff*(O79+L80),0)</f>
        <v>0</v>
      </c>
      <c r="O80" s="56" t="n">
        <f aca="false">O79+L80-M80-N80</f>
        <v>1497.33042497751</v>
      </c>
      <c r="P80" s="56" t="n">
        <f aca="false">O79*Paths!Z80*Paths!AB80</f>
        <v>74.8665212488755</v>
      </c>
      <c r="Q80" s="56" t="n">
        <f aca="false">SUMPRODUCT((Events!$B$6:$B$174&lt;=$A80)*(Events!$C$6:$C$174&gt;=$A80)*(Events!$E$6:$E$174="Loan")*(Events!$F$6:$F$174="Rescue")*Events!$H$6:$H$174)</f>
        <v>0</v>
      </c>
      <c r="R80" s="56" t="n">
        <f aca="false">0</f>
        <v>0</v>
      </c>
      <c r="S80" s="56" t="n">
        <f aca="false">0</f>
        <v>0</v>
      </c>
      <c r="T80" s="56" t="n">
        <f aca="false">T79+Q80-R80-S80</f>
        <v>0</v>
      </c>
      <c r="U80" s="56" t="n">
        <f aca="false">T79*rescue_coupon</f>
        <v>0</v>
      </c>
      <c r="V80" s="56" t="n">
        <f aca="false">B80+G80+L80+Q80</f>
        <v>17</v>
      </c>
      <c r="W80" s="56" t="n">
        <f aca="false">C80+H80+M80+R80</f>
        <v>5.57715911254554</v>
      </c>
      <c r="X80" s="56" t="n">
        <f aca="false">E80+J80+O80+T80</f>
        <v>1648.1822436786</v>
      </c>
      <c r="Y80" s="56" t="n">
        <f aca="false">F80+K80+P80+U80</f>
        <v>82.3415126499627</v>
      </c>
    </row>
    <row r="81" customFormat="false" ht="14.25" hidden="false" customHeight="false" outlineLevel="0" collapsed="false">
      <c r="A81" s="64" t="n">
        <v>1921</v>
      </c>
      <c r="B81" s="56" t="n">
        <f aca="false">SUMPRODUCT((Events!$B$6:$B$174&lt;=$A81)*(Events!$C$6:$C$174&gt;=$A81)*(Events!$E$6:$E$174="Loan")*(Events!$F$6:$F$174="Continental")*Events!$H$6:$H$174)</f>
        <v>0</v>
      </c>
      <c r="C81" s="56" t="n">
        <f aca="false">E80*cont_repay</f>
        <v>1.48686626813152</v>
      </c>
      <c r="D81" s="56" t="n">
        <f aca="false">0</f>
        <v>0</v>
      </c>
      <c r="E81" s="56" t="n">
        <f aca="false">E80+B81-C81-D81</f>
        <v>35.6847904351565</v>
      </c>
      <c r="F81" s="56" t="n">
        <f aca="false">E80*cont_coupon</f>
        <v>1.8585828351644</v>
      </c>
      <c r="G81" s="56" t="n">
        <f aca="false">SUMPRODUCT((Events!$B$6:$B$174&lt;=$A81)*(Events!$C$6:$C$174&gt;=$A81)*(Events!$E$6:$E$174="Loan")*(Events!$F$6:$F$174="Asia")*Events!$H$6:$H$174)</f>
        <v>17</v>
      </c>
      <c r="H81" s="56" t="n">
        <f aca="false">J80*asia_repay</f>
        <v>4.5472064799122</v>
      </c>
      <c r="I81" s="56" t="n">
        <f aca="false">0</f>
        <v>0</v>
      </c>
      <c r="J81" s="56" t="n">
        <f aca="false">J80+G81-H81-I81</f>
        <v>126.132955517893</v>
      </c>
      <c r="K81" s="56" t="n">
        <f aca="false">J80*asia_coupon</f>
        <v>6.25240890987928</v>
      </c>
      <c r="L81" s="56" t="n">
        <f aca="false">SUMPRODUCT((Events!$B$6:$B$174&lt;=$A81)*(Events!$C$6:$C$174&gt;=$A81)*(Events!$E$6:$E$174="Loan")*(Events!$F$6:$F$174="Europe")*Events!$H$6:$H$174)</f>
        <v>0</v>
      </c>
      <c r="M81" s="56" t="n">
        <f aca="false">O80*Paths!AA81</f>
        <v>0</v>
      </c>
      <c r="N81" s="56" t="n">
        <f aca="false">IF($A81=1918,russia_writeoff*(O80+L81),0)</f>
        <v>0</v>
      </c>
      <c r="O81" s="56" t="n">
        <f aca="false">O80+L81-M81-N81</f>
        <v>1497.33042497751</v>
      </c>
      <c r="P81" s="56" t="n">
        <f aca="false">O80*Paths!Z81*Paths!AB81</f>
        <v>74.8665212488755</v>
      </c>
      <c r="Q81" s="56" t="n">
        <f aca="false">SUMPRODUCT((Events!$B$6:$B$174&lt;=$A81)*(Events!$C$6:$C$174&gt;=$A81)*(Events!$E$6:$E$174="Loan")*(Events!$F$6:$F$174="Rescue")*Events!$H$6:$H$174)</f>
        <v>0</v>
      </c>
      <c r="R81" s="56" t="n">
        <f aca="false">0</f>
        <v>0</v>
      </c>
      <c r="S81" s="56" t="n">
        <f aca="false">0</f>
        <v>0</v>
      </c>
      <c r="T81" s="56" t="n">
        <f aca="false">T80+Q81-R81-S81</f>
        <v>0</v>
      </c>
      <c r="U81" s="56" t="n">
        <f aca="false">T80*rescue_coupon</f>
        <v>0</v>
      </c>
      <c r="V81" s="56" t="n">
        <f aca="false">B81+G81+L81+Q81</f>
        <v>17</v>
      </c>
      <c r="W81" s="56" t="n">
        <f aca="false">C81+H81+M81+R81</f>
        <v>6.03407274804372</v>
      </c>
      <c r="X81" s="56" t="n">
        <f aca="false">E81+J81+O81+T81</f>
        <v>1659.14817093056</v>
      </c>
      <c r="Y81" s="56" t="n">
        <f aca="false">F81+K81+P81+U81</f>
        <v>82.9775129939192</v>
      </c>
    </row>
    <row r="82" customFormat="false" ht="14.25" hidden="false" customHeight="false" outlineLevel="0" collapsed="false">
      <c r="A82" s="64" t="n">
        <v>1922</v>
      </c>
      <c r="B82" s="56" t="n">
        <f aca="false">SUMPRODUCT((Events!$B$6:$B$174&lt;=$A82)*(Events!$C$6:$C$174&gt;=$A82)*(Events!$E$6:$E$174="Loan")*(Events!$F$6:$F$174="Continental")*Events!$H$6:$H$174)</f>
        <v>0</v>
      </c>
      <c r="C82" s="56" t="n">
        <f aca="false">E81*cont_repay</f>
        <v>1.42739161740626</v>
      </c>
      <c r="D82" s="56" t="n">
        <f aca="false">0</f>
        <v>0</v>
      </c>
      <c r="E82" s="56" t="n">
        <f aca="false">E81+B82-C82-D82</f>
        <v>34.2573988177502</v>
      </c>
      <c r="F82" s="56" t="n">
        <f aca="false">E81*cont_coupon</f>
        <v>1.78423952175782</v>
      </c>
      <c r="G82" s="56" t="n">
        <f aca="false">SUMPRODUCT((Events!$B$6:$B$174&lt;=$A82)*(Events!$C$6:$C$174&gt;=$A82)*(Events!$E$6:$E$174="Loan")*(Events!$F$6:$F$174="Asia")*Events!$H$6:$H$174)</f>
        <v>17</v>
      </c>
      <c r="H82" s="56" t="n">
        <f aca="false">J81*asia_repay</f>
        <v>5.04531822071571</v>
      </c>
      <c r="I82" s="56" t="n">
        <f aca="false">0</f>
        <v>0</v>
      </c>
      <c r="J82" s="56" t="n">
        <f aca="false">J81+G82-H82-I82</f>
        <v>138.087637297177</v>
      </c>
      <c r="K82" s="56" t="n">
        <f aca="false">J81*asia_coupon</f>
        <v>6.93731255348411</v>
      </c>
      <c r="L82" s="56" t="n">
        <f aca="false">SUMPRODUCT((Events!$B$6:$B$174&lt;=$A82)*(Events!$C$6:$C$174&gt;=$A82)*(Events!$E$6:$E$174="Loan")*(Events!$F$6:$F$174="Europe")*Events!$H$6:$H$174)</f>
        <v>0</v>
      </c>
      <c r="M82" s="56" t="n">
        <f aca="false">O81*Paths!AA82</f>
        <v>0</v>
      </c>
      <c r="N82" s="56" t="n">
        <f aca="false">IF($A82=1918,russia_writeoff*(O81+L82),0)</f>
        <v>0</v>
      </c>
      <c r="O82" s="56" t="n">
        <f aca="false">O81+L82-M82-N82</f>
        <v>1497.33042497751</v>
      </c>
      <c r="P82" s="56" t="n">
        <f aca="false">O81*Paths!Z82*Paths!AB82</f>
        <v>74.8665212488755</v>
      </c>
      <c r="Q82" s="56" t="n">
        <f aca="false">SUMPRODUCT((Events!$B$6:$B$174&lt;=$A82)*(Events!$C$6:$C$174&gt;=$A82)*(Events!$E$6:$E$174="Loan")*(Events!$F$6:$F$174="Rescue")*Events!$H$6:$H$174)</f>
        <v>0</v>
      </c>
      <c r="R82" s="56" t="n">
        <f aca="false">0</f>
        <v>0</v>
      </c>
      <c r="S82" s="56" t="n">
        <f aca="false">0</f>
        <v>0</v>
      </c>
      <c r="T82" s="56" t="n">
        <f aca="false">T81+Q82-R82-S82</f>
        <v>0</v>
      </c>
      <c r="U82" s="56" t="n">
        <f aca="false">T81*rescue_coupon</f>
        <v>0</v>
      </c>
      <c r="V82" s="56" t="n">
        <f aca="false">B82+G82+L82+Q82</f>
        <v>17</v>
      </c>
      <c r="W82" s="56" t="n">
        <f aca="false">C82+H82+M82+R82</f>
        <v>6.47270983812197</v>
      </c>
      <c r="X82" s="56" t="n">
        <f aca="false">E82+J82+O82+T82</f>
        <v>1669.67546109244</v>
      </c>
      <c r="Y82" s="56" t="n">
        <f aca="false">F82+K82+P82+U82</f>
        <v>83.5880733241175</v>
      </c>
    </row>
    <row r="83" customFormat="false" ht="14.25" hidden="false" customHeight="false" outlineLevel="0" collapsed="false">
      <c r="A83" s="61" t="n">
        <v>1923</v>
      </c>
      <c r="B83" s="56" t="n">
        <f aca="false">SUMPRODUCT((Events!$B$6:$B$174&lt;=$A83)*(Events!$C$6:$C$174&gt;=$A83)*(Events!$E$6:$E$174="Loan")*(Events!$F$6:$F$174="Continental")*Events!$H$6:$H$174)</f>
        <v>0</v>
      </c>
      <c r="C83" s="56" t="n">
        <f aca="false">E82*cont_repay</f>
        <v>1.37029595271001</v>
      </c>
      <c r="D83" s="56" t="n">
        <f aca="false">0</f>
        <v>0</v>
      </c>
      <c r="E83" s="56" t="n">
        <f aca="false">E82+B83-C83-D83</f>
        <v>32.8871028650402</v>
      </c>
      <c r="F83" s="56" t="n">
        <f aca="false">E82*cont_coupon</f>
        <v>1.71286994088751</v>
      </c>
      <c r="G83" s="56" t="n">
        <f aca="false">SUMPRODUCT((Events!$B$6:$B$174&lt;=$A83)*(Events!$C$6:$C$174&gt;=$A83)*(Events!$E$6:$E$174="Loan")*(Events!$F$6:$F$174="Asia")*Events!$H$6:$H$174)</f>
        <v>50</v>
      </c>
      <c r="H83" s="56" t="n">
        <f aca="false">J82*asia_repay</f>
        <v>5.52350549188709</v>
      </c>
      <c r="I83" s="56" t="n">
        <f aca="false">0</f>
        <v>0</v>
      </c>
      <c r="J83" s="56" t="n">
        <f aca="false">J82+G83-H83-I83</f>
        <v>182.56413180529</v>
      </c>
      <c r="K83" s="56" t="n">
        <f aca="false">J82*asia_coupon</f>
        <v>7.59482005134474</v>
      </c>
      <c r="L83" s="56" t="n">
        <f aca="false">SUMPRODUCT((Events!$B$6:$B$174&lt;=$A83)*(Events!$C$6:$C$174&gt;=$A83)*(Events!$E$6:$E$174="Loan")*(Events!$F$6:$F$174="Europe")*Events!$H$6:$H$174)</f>
        <v>0</v>
      </c>
      <c r="M83" s="56" t="n">
        <f aca="false">O82*Paths!AA83</f>
        <v>23.9572867996402</v>
      </c>
      <c r="N83" s="56" t="n">
        <f aca="false">IF($A83=1918,russia_writeoff*(O82+L83),0)</f>
        <v>0</v>
      </c>
      <c r="O83" s="56" t="n">
        <f aca="false">O82+L83-M83-N83</f>
        <v>1473.37313817787</v>
      </c>
      <c r="P83" s="56" t="n">
        <f aca="false">O82*Paths!Z83*Paths!AB83</f>
        <v>49.4119040242579</v>
      </c>
      <c r="Q83" s="56" t="n">
        <f aca="false">SUMPRODUCT((Events!$B$6:$B$174&lt;=$A83)*(Events!$C$6:$C$174&gt;=$A83)*(Events!$E$6:$E$174="Loan")*(Events!$F$6:$F$174="Rescue")*Events!$H$6:$H$174)</f>
        <v>0</v>
      </c>
      <c r="R83" s="56" t="n">
        <f aca="false">0</f>
        <v>0</v>
      </c>
      <c r="S83" s="56" t="n">
        <f aca="false">0</f>
        <v>0</v>
      </c>
      <c r="T83" s="56" t="n">
        <f aca="false">T82+Q83-R83-S83</f>
        <v>0</v>
      </c>
      <c r="U83" s="56" t="n">
        <f aca="false">T82*rescue_coupon</f>
        <v>0</v>
      </c>
      <c r="V83" s="56" t="n">
        <f aca="false">B83+G83+L83+Q83</f>
        <v>50</v>
      </c>
      <c r="W83" s="56" t="n">
        <f aca="false">C83+H83+M83+R83</f>
        <v>30.8510882442373</v>
      </c>
      <c r="X83" s="56" t="n">
        <f aca="false">E83+J83+O83+T83</f>
        <v>1688.8243728482</v>
      </c>
      <c r="Y83" s="56" t="n">
        <f aca="false">F83+K83+P83+U83</f>
        <v>58.7195940164901</v>
      </c>
    </row>
    <row r="84" customFormat="false" ht="14.25" hidden="false" customHeight="false" outlineLevel="0" collapsed="false">
      <c r="A84" s="61" t="n">
        <v>1924</v>
      </c>
      <c r="B84" s="56" t="n">
        <f aca="false">SUMPRODUCT((Events!$B$6:$B$174&lt;=$A84)*(Events!$C$6:$C$174&gt;=$A84)*(Events!$E$6:$E$174="Loan")*(Events!$F$6:$F$174="Continental")*Events!$H$6:$H$174)</f>
        <v>0</v>
      </c>
      <c r="C84" s="56" t="n">
        <f aca="false">E83*cont_repay</f>
        <v>1.31548411460161</v>
      </c>
      <c r="D84" s="56" t="n">
        <f aca="false">0</f>
        <v>0</v>
      </c>
      <c r="E84" s="56" t="n">
        <f aca="false">E83+B84-C84-D84</f>
        <v>31.5716187504386</v>
      </c>
      <c r="F84" s="56" t="n">
        <f aca="false">E83*cont_coupon</f>
        <v>1.64435514325201</v>
      </c>
      <c r="G84" s="56" t="n">
        <f aca="false">SUMPRODUCT((Events!$B$6:$B$174&lt;=$A84)*(Events!$C$6:$C$174&gt;=$A84)*(Events!$E$6:$E$174="Loan")*(Events!$F$6:$F$174="Asia")*Events!$H$6:$H$174)</f>
        <v>0</v>
      </c>
      <c r="H84" s="56" t="n">
        <f aca="false">J83*asia_repay</f>
        <v>7.3025652722116</v>
      </c>
      <c r="I84" s="56" t="n">
        <f aca="false">0</f>
        <v>0</v>
      </c>
      <c r="J84" s="56" t="n">
        <f aca="false">J83+G84-H84-I84</f>
        <v>175.261566533078</v>
      </c>
      <c r="K84" s="56" t="n">
        <f aca="false">J83*asia_coupon</f>
        <v>10.041027249291</v>
      </c>
      <c r="L84" s="56" t="n">
        <f aca="false">SUMPRODUCT((Events!$B$6:$B$174&lt;=$A84)*(Events!$C$6:$C$174&gt;=$A84)*(Events!$E$6:$E$174="Loan")*(Events!$F$6:$F$174="Europe")*Events!$H$6:$H$174)</f>
        <v>0</v>
      </c>
      <c r="M84" s="56" t="n">
        <f aca="false">O83*Paths!AA84</f>
        <v>23.5739702108459</v>
      </c>
      <c r="N84" s="56" t="n">
        <f aca="false">IF($A84=1918,russia_writeoff*(O83+L84),0)</f>
        <v>0</v>
      </c>
      <c r="O84" s="56" t="n">
        <f aca="false">O83+L84-M84-N84</f>
        <v>1449.79916796702</v>
      </c>
      <c r="P84" s="56" t="n">
        <f aca="false">O83*Paths!Z84*Paths!AB84</f>
        <v>48.6213135598697</v>
      </c>
      <c r="Q84" s="56" t="n">
        <f aca="false">SUMPRODUCT((Events!$B$6:$B$174&lt;=$A84)*(Events!$C$6:$C$174&gt;=$A84)*(Events!$E$6:$E$174="Loan")*(Events!$F$6:$F$174="Rescue")*Events!$H$6:$H$174)</f>
        <v>0</v>
      </c>
      <c r="R84" s="56" t="n">
        <f aca="false">0</f>
        <v>0</v>
      </c>
      <c r="S84" s="56" t="n">
        <f aca="false">0</f>
        <v>0</v>
      </c>
      <c r="T84" s="56" t="n">
        <f aca="false">T83+Q84-R84-S84</f>
        <v>0</v>
      </c>
      <c r="U84" s="56" t="n">
        <f aca="false">T83*rescue_coupon</f>
        <v>0</v>
      </c>
      <c r="V84" s="56" t="n">
        <f aca="false">B84+G84+L84+Q84</f>
        <v>0</v>
      </c>
      <c r="W84" s="56" t="n">
        <f aca="false">C84+H84+M84+R84</f>
        <v>32.1920195976591</v>
      </c>
      <c r="X84" s="56" t="n">
        <f aca="false">E84+J84+O84+T84</f>
        <v>1656.63235325054</v>
      </c>
      <c r="Y84" s="56" t="n">
        <f aca="false">F84+K84+P84+U84</f>
        <v>60.3066959524127</v>
      </c>
    </row>
    <row r="85" customFormat="false" ht="14.25" hidden="false" customHeight="false" outlineLevel="0" collapsed="false">
      <c r="A85" s="61" t="n">
        <v>1925</v>
      </c>
      <c r="B85" s="56" t="n">
        <f aca="false">SUMPRODUCT((Events!$B$6:$B$174&lt;=$A85)*(Events!$C$6:$C$174&gt;=$A85)*(Events!$E$6:$E$174="Loan")*(Events!$F$6:$F$174="Continental")*Events!$H$6:$H$174)</f>
        <v>0</v>
      </c>
      <c r="C85" s="56" t="n">
        <f aca="false">E84*cont_repay</f>
        <v>1.26286475001754</v>
      </c>
      <c r="D85" s="56" t="n">
        <f aca="false">0</f>
        <v>0</v>
      </c>
      <c r="E85" s="56" t="n">
        <f aca="false">E84+B85-C85-D85</f>
        <v>30.308754000421</v>
      </c>
      <c r="F85" s="56" t="n">
        <f aca="false">E84*cont_coupon</f>
        <v>1.57858093752193</v>
      </c>
      <c r="G85" s="56" t="n">
        <f aca="false">SUMPRODUCT((Events!$B$6:$B$174&lt;=$A85)*(Events!$C$6:$C$174&gt;=$A85)*(Events!$E$6:$E$174="Loan")*(Events!$F$6:$F$174="Asia")*Events!$H$6:$H$174)</f>
        <v>0</v>
      </c>
      <c r="H85" s="56" t="n">
        <f aca="false">J84*asia_repay</f>
        <v>7.01046266132314</v>
      </c>
      <c r="I85" s="56" t="n">
        <f aca="false">0</f>
        <v>0</v>
      </c>
      <c r="J85" s="56" t="n">
        <f aca="false">J84+G85-H85-I85</f>
        <v>168.251103871755</v>
      </c>
      <c r="K85" s="56" t="n">
        <f aca="false">J84*asia_coupon</f>
        <v>9.63938615931932</v>
      </c>
      <c r="L85" s="56" t="n">
        <f aca="false">SUMPRODUCT((Events!$B$6:$B$174&lt;=$A85)*(Events!$C$6:$C$174&gt;=$A85)*(Events!$E$6:$E$174="Loan")*(Events!$F$6:$F$174="Europe")*Events!$H$6:$H$174)</f>
        <v>0</v>
      </c>
      <c r="M85" s="56" t="n">
        <f aca="false">O84*Paths!AA85</f>
        <v>23.1967866874724</v>
      </c>
      <c r="N85" s="56" t="n">
        <f aca="false">IF($A85=1918,russia_writeoff*(O84+L85),0)</f>
        <v>0</v>
      </c>
      <c r="O85" s="56" t="n">
        <f aca="false">O84+L85-M85-N85</f>
        <v>1426.60238127955</v>
      </c>
      <c r="P85" s="56" t="n">
        <f aca="false">O84*Paths!Z85*Paths!AB85</f>
        <v>47.8433725429118</v>
      </c>
      <c r="Q85" s="56" t="n">
        <f aca="false">SUMPRODUCT((Events!$B$6:$B$174&lt;=$A85)*(Events!$C$6:$C$174&gt;=$A85)*(Events!$E$6:$E$174="Loan")*(Events!$F$6:$F$174="Rescue")*Events!$H$6:$H$174)</f>
        <v>0</v>
      </c>
      <c r="R85" s="56" t="n">
        <f aca="false">0</f>
        <v>0</v>
      </c>
      <c r="S85" s="56" t="n">
        <f aca="false">0</f>
        <v>0</v>
      </c>
      <c r="T85" s="56" t="n">
        <f aca="false">T84+Q85-R85-S85</f>
        <v>0</v>
      </c>
      <c r="U85" s="56" t="n">
        <f aca="false">T84*rescue_coupon</f>
        <v>0</v>
      </c>
      <c r="V85" s="56" t="n">
        <f aca="false">B85+G85+L85+Q85</f>
        <v>0</v>
      </c>
      <c r="W85" s="56" t="n">
        <f aca="false">C85+H85+M85+R85</f>
        <v>31.4701140988131</v>
      </c>
      <c r="X85" s="56" t="n">
        <f aca="false">E85+J85+O85+T85</f>
        <v>1625.16223915173</v>
      </c>
      <c r="Y85" s="56" t="n">
        <f aca="false">F85+K85+P85+U85</f>
        <v>59.0613396397531</v>
      </c>
    </row>
    <row r="86" customFormat="false" ht="14.25" hidden="false" customHeight="false" outlineLevel="0" collapsed="false">
      <c r="A86" s="61" t="n">
        <v>1926</v>
      </c>
      <c r="B86" s="56" t="n">
        <f aca="false">SUMPRODUCT((Events!$B$6:$B$174&lt;=$A86)*(Events!$C$6:$C$174&gt;=$A86)*(Events!$E$6:$E$174="Loan")*(Events!$F$6:$F$174="Continental")*Events!$H$6:$H$174)</f>
        <v>0</v>
      </c>
      <c r="C86" s="56" t="n">
        <f aca="false">E85*cont_repay</f>
        <v>1.21235016001684</v>
      </c>
      <c r="D86" s="56" t="n">
        <f aca="false">0</f>
        <v>0</v>
      </c>
      <c r="E86" s="56" t="n">
        <f aca="false">E85+B86-C86-D86</f>
        <v>29.0964038404042</v>
      </c>
      <c r="F86" s="56" t="n">
        <f aca="false">E85*cont_coupon</f>
        <v>1.51543770002105</v>
      </c>
      <c r="G86" s="56" t="n">
        <f aca="false">SUMPRODUCT((Events!$B$6:$B$174&lt;=$A86)*(Events!$C$6:$C$174&gt;=$A86)*(Events!$E$6:$E$174="Loan")*(Events!$F$6:$F$174="Asia")*Events!$H$6:$H$174)</f>
        <v>0</v>
      </c>
      <c r="H86" s="56" t="n">
        <f aca="false">J85*asia_repay</f>
        <v>6.73004415487021</v>
      </c>
      <c r="I86" s="56" t="n">
        <f aca="false">0</f>
        <v>0</v>
      </c>
      <c r="J86" s="56" t="n">
        <f aca="false">J85+G86-H86-I86</f>
        <v>161.521059716885</v>
      </c>
      <c r="K86" s="56" t="n">
        <f aca="false">J85*asia_coupon</f>
        <v>9.25381071294654</v>
      </c>
      <c r="L86" s="56" t="n">
        <f aca="false">SUMPRODUCT((Events!$B$6:$B$174&lt;=$A86)*(Events!$C$6:$C$174&gt;=$A86)*(Events!$E$6:$E$174="Loan")*(Events!$F$6:$F$174="Europe")*Events!$H$6:$H$174)</f>
        <v>0</v>
      </c>
      <c r="M86" s="56" t="n">
        <f aca="false">O85*Paths!AA86</f>
        <v>22.8256381004728</v>
      </c>
      <c r="N86" s="56" t="n">
        <f aca="false">IF($A86=1918,russia_writeoff*(O85+L86),0)</f>
        <v>0</v>
      </c>
      <c r="O86" s="56" t="n">
        <f aca="false">O85+L86-M86-N86</f>
        <v>1403.77674317908</v>
      </c>
      <c r="P86" s="56" t="n">
        <f aca="false">O85*Paths!Z86*Paths!AB86</f>
        <v>47.0778785822252</v>
      </c>
      <c r="Q86" s="56" t="n">
        <f aca="false">SUMPRODUCT((Events!$B$6:$B$174&lt;=$A86)*(Events!$C$6:$C$174&gt;=$A86)*(Events!$E$6:$E$174="Loan")*(Events!$F$6:$F$174="Rescue")*Events!$H$6:$H$174)</f>
        <v>0</v>
      </c>
      <c r="R86" s="56" t="n">
        <f aca="false">0</f>
        <v>0</v>
      </c>
      <c r="S86" s="56" t="n">
        <f aca="false">0</f>
        <v>0</v>
      </c>
      <c r="T86" s="56" t="n">
        <f aca="false">T85+Q86-R86-S86</f>
        <v>0</v>
      </c>
      <c r="U86" s="56" t="n">
        <f aca="false">T85*rescue_coupon</f>
        <v>0</v>
      </c>
      <c r="V86" s="56" t="n">
        <f aca="false">B86+G86+L86+Q86</f>
        <v>0</v>
      </c>
      <c r="W86" s="56" t="n">
        <f aca="false">C86+H86+M86+R86</f>
        <v>30.7680324153599</v>
      </c>
      <c r="X86" s="56" t="n">
        <f aca="false">E86+J86+O86+T86</f>
        <v>1594.39420673637</v>
      </c>
      <c r="Y86" s="56" t="n">
        <f aca="false">F86+K86+P86+U86</f>
        <v>57.8471269951928</v>
      </c>
    </row>
    <row r="87" customFormat="false" ht="14.25" hidden="false" customHeight="false" outlineLevel="0" collapsed="false">
      <c r="A87" s="61" t="n">
        <v>1927</v>
      </c>
      <c r="B87" s="56" t="n">
        <f aca="false">SUMPRODUCT((Events!$B$6:$B$174&lt;=$A87)*(Events!$C$6:$C$174&gt;=$A87)*(Events!$E$6:$E$174="Loan")*(Events!$F$6:$F$174="Continental")*Events!$H$6:$H$174)</f>
        <v>0</v>
      </c>
      <c r="C87" s="56" t="n">
        <f aca="false">E86*cont_repay</f>
        <v>1.16385615361617</v>
      </c>
      <c r="D87" s="56" t="n">
        <f aca="false">0</f>
        <v>0</v>
      </c>
      <c r="E87" s="56" t="n">
        <f aca="false">E86+B87-C87-D87</f>
        <v>27.932547686788</v>
      </c>
      <c r="F87" s="56" t="n">
        <f aca="false">E86*cont_coupon</f>
        <v>1.45482019202021</v>
      </c>
      <c r="G87" s="56" t="n">
        <f aca="false">SUMPRODUCT((Events!$B$6:$B$174&lt;=$A87)*(Events!$C$6:$C$174&gt;=$A87)*(Events!$E$6:$E$174="Loan")*(Events!$F$6:$F$174="Asia")*Events!$H$6:$H$174)+'Japan rescue'!D89</f>
        <v>165.620411505982</v>
      </c>
      <c r="H87" s="56" t="n">
        <f aca="false">(J86-0)*asia_repay+'Japan rescue'!G89</f>
        <v>6.4608423886754</v>
      </c>
      <c r="I87" s="56" t="n">
        <f aca="false">0</f>
        <v>0</v>
      </c>
      <c r="J87" s="56" t="n">
        <f aca="false">J86+G87-H87-I87</f>
        <v>320.680628834192</v>
      </c>
      <c r="K87" s="56" t="n">
        <f aca="false">(J86-0)*asia_coupon+'Japan rescue'!K89</f>
        <v>14.1973131535789</v>
      </c>
      <c r="L87" s="56" t="n">
        <f aca="false">SUMPRODUCT((Events!$B$6:$B$174&lt;=$A87)*(Events!$C$6:$C$174&gt;=$A87)*(Events!$E$6:$E$174="Loan")*(Events!$F$6:$F$174="Europe")*Events!$H$6:$H$174)</f>
        <v>0</v>
      </c>
      <c r="M87" s="56" t="n">
        <f aca="false">O86*Paths!AA87</f>
        <v>22.4604278908653</v>
      </c>
      <c r="N87" s="56" t="n">
        <f aca="false">IF($A87=1918,russia_writeoff*(O86+L87),0)</f>
        <v>0</v>
      </c>
      <c r="O87" s="56" t="n">
        <f aca="false">O86+L87-M87-N87</f>
        <v>1381.31631528821</v>
      </c>
      <c r="P87" s="56" t="n">
        <f aca="false">O86*Paths!Z87*Paths!AB87</f>
        <v>46.3246325249096</v>
      </c>
      <c r="Q87" s="56" t="n">
        <f aca="false">SUMPRODUCT((Events!$B$6:$B$174&lt;=$A87)*(Events!$C$6:$C$174&gt;=$A87)*(Events!$E$6:$E$174="Loan")*(Events!$F$6:$F$174="Rescue")*Events!$H$6:$H$174)</f>
        <v>0</v>
      </c>
      <c r="R87" s="56" t="n">
        <f aca="false">0</f>
        <v>0</v>
      </c>
      <c r="S87" s="56" t="n">
        <f aca="false">0</f>
        <v>0</v>
      </c>
      <c r="T87" s="56" t="n">
        <f aca="false">T86+Q87-R87-S87</f>
        <v>0</v>
      </c>
      <c r="U87" s="56" t="n">
        <f aca="false">T86*rescue_coupon</f>
        <v>0</v>
      </c>
      <c r="V87" s="56" t="n">
        <f aca="false">B87+G87+L87+Q87</f>
        <v>165.620411505982</v>
      </c>
      <c r="W87" s="56" t="n">
        <f aca="false">C87+H87+M87+R87</f>
        <v>30.0851264331568</v>
      </c>
      <c r="X87" s="56" t="n">
        <f aca="false">E87+J87+O87+T87</f>
        <v>1729.92949180919</v>
      </c>
      <c r="Y87" s="56" t="n">
        <f aca="false">F87+K87+P87+U87</f>
        <v>61.9767658705088</v>
      </c>
    </row>
    <row r="88" customFormat="false" ht="14.25" hidden="false" customHeight="false" outlineLevel="0" collapsed="false">
      <c r="A88" s="61" t="n">
        <v>1928</v>
      </c>
      <c r="B88" s="56" t="n">
        <f aca="false">SUMPRODUCT((Events!$B$6:$B$174&lt;=$A88)*(Events!$C$6:$C$174&gt;=$A88)*(Events!$E$6:$E$174="Loan")*(Events!$F$6:$F$174="Continental")*Events!$H$6:$H$174)</f>
        <v>0</v>
      </c>
      <c r="C88" s="56" t="n">
        <f aca="false">E87*cont_repay</f>
        <v>1.11730190747152</v>
      </c>
      <c r="D88" s="56" t="n">
        <f aca="false">0</f>
        <v>0</v>
      </c>
      <c r="E88" s="56" t="n">
        <f aca="false">E87+B88-C88-D88</f>
        <v>26.8152457793165</v>
      </c>
      <c r="F88" s="56" t="n">
        <f aca="false">E87*cont_coupon</f>
        <v>1.3966273843394</v>
      </c>
      <c r="G88" s="56" t="n">
        <f aca="false">SUMPRODUCT((Events!$B$6:$B$174&lt;=$A88)*(Events!$C$6:$C$174&gt;=$A88)*(Events!$E$6:$E$174="Loan")*(Events!$F$6:$F$174="Asia")*Events!$H$6:$H$174)+'Japan rescue'!D90</f>
        <v>0</v>
      </c>
      <c r="H88" s="56" t="n">
        <f aca="false">(J87-'Japan rescue'!I89)*asia_repay+'Japan rescue'!G90</f>
        <v>6.20240869312839</v>
      </c>
      <c r="I88" s="56" t="n">
        <f aca="false">0</f>
        <v>0</v>
      </c>
      <c r="J88" s="56" t="n">
        <f aca="false">J87+G88-H88-I88</f>
        <v>314.478220141063</v>
      </c>
      <c r="K88" s="56" t="n">
        <f aca="false">(J87-'Japan rescue'!I89)*asia_coupon+'Japan rescue'!K90</f>
        <v>17.6374345858806</v>
      </c>
      <c r="L88" s="56" t="n">
        <f aca="false">SUMPRODUCT((Events!$B$6:$B$174&lt;=$A88)*(Events!$C$6:$C$174&gt;=$A88)*(Events!$E$6:$E$174="Loan")*(Events!$F$6:$F$174="Europe")*Events!$H$6:$H$174)</f>
        <v>0</v>
      </c>
      <c r="M88" s="56" t="n">
        <f aca="false">O87*Paths!AA88</f>
        <v>22.1010610446114</v>
      </c>
      <c r="N88" s="56" t="n">
        <f aca="false">IF($A88=1918,russia_writeoff*(O87+L88),0)</f>
        <v>0</v>
      </c>
      <c r="O88" s="56" t="n">
        <f aca="false">O87+L88-M88-N88</f>
        <v>1359.2152542436</v>
      </c>
      <c r="P88" s="56" t="n">
        <f aca="false">O87*Paths!Z88*Paths!AB88</f>
        <v>45.5834384045111</v>
      </c>
      <c r="Q88" s="56" t="n">
        <f aca="false">SUMPRODUCT((Events!$B$6:$B$174&lt;=$A88)*(Events!$C$6:$C$174&gt;=$A88)*(Events!$E$6:$E$174="Loan")*(Events!$F$6:$F$174="Rescue")*Events!$H$6:$H$174)</f>
        <v>0</v>
      </c>
      <c r="R88" s="56" t="n">
        <f aca="false">0</f>
        <v>0</v>
      </c>
      <c r="S88" s="56" t="n">
        <f aca="false">0</f>
        <v>0</v>
      </c>
      <c r="T88" s="56" t="n">
        <f aca="false">T87+Q88-R88-S88</f>
        <v>0</v>
      </c>
      <c r="U88" s="56" t="n">
        <f aca="false">T87*rescue_coupon</f>
        <v>0</v>
      </c>
      <c r="V88" s="56" t="n">
        <f aca="false">B88+G88+L88+Q88</f>
        <v>0</v>
      </c>
      <c r="W88" s="56" t="n">
        <f aca="false">C88+H88+M88+R88</f>
        <v>29.4207716452113</v>
      </c>
      <c r="X88" s="56" t="n">
        <f aca="false">E88+J88+O88+T88</f>
        <v>1700.50872016398</v>
      </c>
      <c r="Y88" s="56" t="n">
        <f aca="false">F88+K88+P88+U88</f>
        <v>64.617500374731</v>
      </c>
    </row>
    <row r="89" customFormat="false" ht="14.25" hidden="false" customHeight="false" outlineLevel="0" collapsed="false">
      <c r="A89" s="61" t="n">
        <v>1929</v>
      </c>
      <c r="B89" s="56" t="n">
        <f aca="false">SUMPRODUCT((Events!$B$6:$B$174&lt;=$A89)*(Events!$C$6:$C$174&gt;=$A89)*(Events!$E$6:$E$174="Loan")*(Events!$F$6:$F$174="Continental")*Events!$H$6:$H$174)</f>
        <v>0</v>
      </c>
      <c r="C89" s="56" t="n">
        <f aca="false">E88*cont_repay</f>
        <v>1.07260983117266</v>
      </c>
      <c r="D89" s="56" t="n">
        <f aca="false">0</f>
        <v>0</v>
      </c>
      <c r="E89" s="56" t="n">
        <f aca="false">E88+B89-C89-D89</f>
        <v>25.7426359481438</v>
      </c>
      <c r="F89" s="56" t="n">
        <f aca="false">E88*cont_coupon</f>
        <v>1.34076228896583</v>
      </c>
      <c r="G89" s="56" t="n">
        <f aca="false">SUMPRODUCT((Events!$B$6:$B$174&lt;=$A89)*(Events!$C$6:$C$174&gt;=$A89)*(Events!$E$6:$E$174="Loan")*(Events!$F$6:$F$174="Asia")*Events!$H$6:$H$174)+'Japan rescue'!D91</f>
        <v>0</v>
      </c>
      <c r="H89" s="56" t="n">
        <f aca="false">(J88-'Japan rescue'!I90)*asia_repay+'Japan rescue'!G91</f>
        <v>39.0783946465997</v>
      </c>
      <c r="I89" s="56" t="n">
        <f aca="false">0</f>
        <v>0</v>
      </c>
      <c r="J89" s="56" t="n">
        <f aca="false">J88+G89-H89-I89</f>
        <v>275.399825494464</v>
      </c>
      <c r="K89" s="56" t="n">
        <f aca="false">(J88-'Japan rescue'!I90)*asia_coupon+'Japan rescue'!K91</f>
        <v>17.2963021077585</v>
      </c>
      <c r="L89" s="56" t="n">
        <f aca="false">SUMPRODUCT((Events!$B$6:$B$174&lt;=$A89)*(Events!$C$6:$C$174&gt;=$A89)*(Events!$E$6:$E$174="Loan")*(Events!$F$6:$F$174="Europe")*Events!$H$6:$H$174)</f>
        <v>0</v>
      </c>
      <c r="M89" s="56" t="n">
        <f aca="false">O88*Paths!AA89</f>
        <v>21.7474440678976</v>
      </c>
      <c r="N89" s="56" t="n">
        <f aca="false">IF($A89=1918,russia_writeoff*(O88+L89),0)</f>
        <v>0</v>
      </c>
      <c r="O89" s="56" t="n">
        <f aca="false">O88+L89-M89-N89</f>
        <v>1337.4678101757</v>
      </c>
      <c r="P89" s="56" t="n">
        <f aca="false">O88*Paths!Z89*Paths!AB89</f>
        <v>44.8541033900389</v>
      </c>
      <c r="Q89" s="56" t="n">
        <f aca="false">SUMPRODUCT((Events!$B$6:$B$174&lt;=$A89)*(Events!$C$6:$C$174&gt;=$A89)*(Events!$E$6:$E$174="Loan")*(Events!$F$6:$F$174="Rescue")*Events!$H$6:$H$174)</f>
        <v>0</v>
      </c>
      <c r="R89" s="56" t="n">
        <f aca="false">0</f>
        <v>0</v>
      </c>
      <c r="S89" s="56" t="n">
        <f aca="false">0</f>
        <v>0</v>
      </c>
      <c r="T89" s="56" t="n">
        <f aca="false">T88+Q89-R89-S89</f>
        <v>0</v>
      </c>
      <c r="U89" s="56" t="n">
        <f aca="false">T88*rescue_coupon</f>
        <v>0</v>
      </c>
      <c r="V89" s="56" t="n">
        <f aca="false">B89+G89+L89+Q89</f>
        <v>0</v>
      </c>
      <c r="W89" s="56" t="n">
        <f aca="false">C89+H89+M89+R89</f>
        <v>61.89844854567</v>
      </c>
      <c r="X89" s="56" t="n">
        <f aca="false">E89+J89+O89+T89</f>
        <v>1638.61027161831</v>
      </c>
      <c r="Y89" s="56" t="n">
        <f aca="false">F89+K89+P89+U89</f>
        <v>63.4911677867632</v>
      </c>
    </row>
    <row r="90" customFormat="false" ht="14.25" hidden="false" customHeight="false" outlineLevel="0" collapsed="false">
      <c r="A90" s="61" t="n">
        <v>1930</v>
      </c>
      <c r="B90" s="56" t="n">
        <f aca="false">SUMPRODUCT((Events!$B$6:$B$174&lt;=$A90)*(Events!$C$6:$C$174&gt;=$A90)*(Events!$E$6:$E$174="Loan")*(Events!$F$6:$F$174="Continental")*Events!$H$6:$H$174)</f>
        <v>0</v>
      </c>
      <c r="C90" s="56" t="n">
        <f aca="false">E89*cont_repay</f>
        <v>1.02970543792575</v>
      </c>
      <c r="D90" s="56" t="n">
        <f aca="false">0</f>
        <v>0</v>
      </c>
      <c r="E90" s="56" t="n">
        <f aca="false">E89+B90-C90-D90</f>
        <v>24.7129305102181</v>
      </c>
      <c r="F90" s="56" t="n">
        <f aca="false">E89*cont_coupon</f>
        <v>1.28713179740719</v>
      </c>
      <c r="G90" s="56" t="n">
        <f aca="false">SUMPRODUCT((Events!$B$6:$B$174&lt;=$A90)*(Events!$C$6:$C$174&gt;=$A90)*(Events!$E$6:$E$174="Loan")*(Events!$F$6:$F$174="Asia")*Events!$H$6:$H$174)+'Japan rescue'!D92</f>
        <v>0</v>
      </c>
      <c r="H90" s="56" t="n">
        <f aca="false">(J89-'Japan rescue'!I91)*asia_repay+'Japan rescue'!G92</f>
        <v>38.8402221527836</v>
      </c>
      <c r="I90" s="56" t="n">
        <f aca="false">0</f>
        <v>0</v>
      </c>
      <c r="J90" s="56" t="n">
        <f aca="false">J89+G90-H90-I90</f>
        <v>236.55960334168</v>
      </c>
      <c r="K90" s="56" t="n">
        <f aca="false">(J89-'Japan rescue'!I91)*asia_coupon+'Japan rescue'!K92</f>
        <v>15.1469904021955</v>
      </c>
      <c r="L90" s="56" t="n">
        <f aca="false">SUMPRODUCT((Events!$B$6:$B$174&lt;=$A90)*(Events!$C$6:$C$174&gt;=$A90)*(Events!$E$6:$E$174="Loan")*(Events!$F$6:$F$174="Europe")*Events!$H$6:$H$174)</f>
        <v>0</v>
      </c>
      <c r="M90" s="56" t="n">
        <f aca="false">O89*Paths!AA90</f>
        <v>21.3994849628113</v>
      </c>
      <c r="N90" s="56" t="n">
        <f aca="false">IF($A90=1918,russia_writeoff*(O89+L90),0)</f>
        <v>0</v>
      </c>
      <c r="O90" s="56" t="n">
        <f aca="false">O89+L90-M90-N90</f>
        <v>1316.06832521289</v>
      </c>
      <c r="P90" s="56" t="n">
        <f aca="false">O89*Paths!Z90*Paths!AB90</f>
        <v>44.1364377357983</v>
      </c>
      <c r="Q90" s="56" t="n">
        <f aca="false">SUMPRODUCT((Events!$B$6:$B$174&lt;=$A90)*(Events!$C$6:$C$174&gt;=$A90)*(Events!$E$6:$E$174="Loan")*(Events!$F$6:$F$174="Rescue")*Events!$H$6:$H$174)</f>
        <v>0</v>
      </c>
      <c r="R90" s="56" t="n">
        <f aca="false">0</f>
        <v>0</v>
      </c>
      <c r="S90" s="56" t="n">
        <f aca="false">0</f>
        <v>0</v>
      </c>
      <c r="T90" s="56" t="n">
        <f aca="false">T89+Q90-R90-S90</f>
        <v>0</v>
      </c>
      <c r="U90" s="56" t="n">
        <f aca="false">T89*rescue_coupon</f>
        <v>0</v>
      </c>
      <c r="V90" s="56" t="n">
        <f aca="false">B90+G90+L90+Q90</f>
        <v>0</v>
      </c>
      <c r="W90" s="56" t="n">
        <f aca="false">C90+H90+M90+R90</f>
        <v>61.2694125535206</v>
      </c>
      <c r="X90" s="56" t="n">
        <f aca="false">E90+J90+O90+T90</f>
        <v>1577.34085906479</v>
      </c>
      <c r="Y90" s="56" t="n">
        <f aca="false">F90+K90+P90+U90</f>
        <v>60.570559935401</v>
      </c>
    </row>
    <row r="91" customFormat="false" ht="14.25" hidden="false" customHeight="false" outlineLevel="0" collapsed="false">
      <c r="A91" s="61" t="n">
        <v>1931</v>
      </c>
      <c r="B91" s="56" t="n">
        <f aca="false">SUMPRODUCT((Events!$B$6:$B$174&lt;=$A91)*(Events!$C$6:$C$174&gt;=$A91)*(Events!$E$6:$E$174="Loan")*(Events!$F$6:$F$174="Continental")*Events!$H$6:$H$174)</f>
        <v>0</v>
      </c>
      <c r="C91" s="56" t="n">
        <f aca="false">E90*cont_repay</f>
        <v>0.988517220408724</v>
      </c>
      <c r="D91" s="56" t="n">
        <f aca="false">0</f>
        <v>0</v>
      </c>
      <c r="E91" s="56" t="n">
        <f aca="false">E90+B91-C91-D91</f>
        <v>23.7244132898094</v>
      </c>
      <c r="F91" s="56" t="n">
        <f aca="false">E90*cont_coupon</f>
        <v>1.2356465255109</v>
      </c>
      <c r="G91" s="56" t="n">
        <f aca="false">SUMPRODUCT((Events!$B$6:$B$174&lt;=$A91)*(Events!$C$6:$C$174&gt;=$A91)*(Events!$E$6:$E$174="Loan")*(Events!$F$6:$F$174="Asia")*Events!$H$6:$H$174)+'Japan rescue'!D93</f>
        <v>0</v>
      </c>
      <c r="H91" s="56" t="n">
        <f aca="false">(J90-'Japan rescue'!I92)*asia_repay+'Japan rescue'!G93</f>
        <v>38.6115765587201</v>
      </c>
      <c r="I91" s="56" t="n">
        <f aca="false">0</f>
        <v>0</v>
      </c>
      <c r="J91" s="56" t="n">
        <f aca="false">J90+G91-H91-I91</f>
        <v>197.94802678296</v>
      </c>
      <c r="K91" s="56" t="n">
        <f aca="false">(J90-'Japan rescue'!I92)*asia_coupon+'Japan rescue'!K93</f>
        <v>13.0107781837924</v>
      </c>
      <c r="L91" s="56" t="n">
        <f aca="false">SUMPRODUCT((Events!$B$6:$B$174&lt;=$A91)*(Events!$C$6:$C$174&gt;=$A91)*(Events!$E$6:$E$174="Loan")*(Events!$F$6:$F$174="Europe")*Events!$H$6:$H$174)</f>
        <v>0</v>
      </c>
      <c r="M91" s="56" t="n">
        <f aca="false">O90*Paths!AA91</f>
        <v>0</v>
      </c>
      <c r="N91" s="56" t="n">
        <f aca="false">IF($A91=1918,russia_writeoff*(O90+L91),0)</f>
        <v>0</v>
      </c>
      <c r="O91" s="56" t="n">
        <f aca="false">O90+L91-M91-N91</f>
        <v>1316.06832521289</v>
      </c>
      <c r="P91" s="56" t="n">
        <f aca="false">O90*Paths!Z91*Paths!AB91</f>
        <v>0</v>
      </c>
      <c r="Q91" s="56" t="n">
        <f aca="false">SUMPRODUCT((Events!$B$6:$B$174&lt;=$A91)*(Events!$C$6:$C$174&gt;=$A91)*(Events!$E$6:$E$174="Loan")*(Events!$F$6:$F$174="Rescue")*Events!$H$6:$H$174)</f>
        <v>240</v>
      </c>
      <c r="R91" s="56" t="n">
        <f aca="false">0</f>
        <v>0</v>
      </c>
      <c r="S91" s="56" t="n">
        <f aca="false">0</f>
        <v>0</v>
      </c>
      <c r="T91" s="56" t="n">
        <f aca="false">T90+Q91-R91-S91</f>
        <v>240</v>
      </c>
      <c r="U91" s="56" t="n">
        <f aca="false">T90*rescue_coupon</f>
        <v>0</v>
      </c>
      <c r="V91" s="56" t="n">
        <f aca="false">B91+G91+L91+Q91</f>
        <v>240</v>
      </c>
      <c r="W91" s="56" t="n">
        <f aca="false">C91+H91+M91+R91</f>
        <v>39.6000937791288</v>
      </c>
      <c r="X91" s="56" t="n">
        <f aca="false">E91+J91+O91+T91</f>
        <v>1777.74076528566</v>
      </c>
      <c r="Y91" s="56" t="n">
        <f aca="false">F91+K91+P91+U91</f>
        <v>14.2464247093033</v>
      </c>
    </row>
    <row r="92" customFormat="false" ht="14.25" hidden="false" customHeight="false" outlineLevel="0" collapsed="false">
      <c r="A92" s="61" t="n">
        <v>1932</v>
      </c>
      <c r="B92" s="56" t="n">
        <f aca="false">SUMPRODUCT((Events!$B$6:$B$174&lt;=$A92)*(Events!$C$6:$C$174&gt;=$A92)*(Events!$E$6:$E$174="Loan")*(Events!$F$6:$F$174="Continental")*Events!$H$6:$H$174)</f>
        <v>0</v>
      </c>
      <c r="C92" s="56" t="n">
        <f aca="false">E91*cont_repay</f>
        <v>0.948976531592375</v>
      </c>
      <c r="D92" s="56" t="n">
        <f aca="false">0</f>
        <v>0</v>
      </c>
      <c r="E92" s="56" t="n">
        <f aca="false">E91+B92-C92-D92</f>
        <v>22.775436758217</v>
      </c>
      <c r="F92" s="56" t="n">
        <f aca="false">E91*cont_coupon</f>
        <v>1.18622066449047</v>
      </c>
      <c r="G92" s="56" t="n">
        <f aca="false">SUMPRODUCT((Events!$B$6:$B$174&lt;=$A92)*(Events!$C$6:$C$174&gt;=$A92)*(Events!$E$6:$E$174="Loan")*(Events!$F$6:$F$174="Asia")*Events!$H$6:$H$174)+'Japan rescue'!D94</f>
        <v>0</v>
      </c>
      <c r="H92" s="56" t="n">
        <f aca="false">(J91-'Japan rescue'!I93)*asia_repay+'Japan rescue'!G94</f>
        <v>38.3920767884191</v>
      </c>
      <c r="I92" s="56" t="n">
        <f aca="false">0</f>
        <v>0</v>
      </c>
      <c r="J92" s="56" t="n">
        <f aca="false">J91+G92-H92-I92</f>
        <v>159.555949994541</v>
      </c>
      <c r="K92" s="56" t="n">
        <f aca="false">(J91-'Japan rescue'!I93)*asia_coupon+'Japan rescue'!K94</f>
        <v>10.8871414730628</v>
      </c>
      <c r="L92" s="56" t="n">
        <f aca="false">SUMPRODUCT((Events!$B$6:$B$174&lt;=$A92)*(Events!$C$6:$C$174&gt;=$A92)*(Events!$E$6:$E$174="Loan")*(Events!$F$6:$F$174="Europe")*Events!$H$6:$H$174)</f>
        <v>0</v>
      </c>
      <c r="M92" s="56" t="n">
        <f aca="false">O91*Paths!AA92</f>
        <v>0</v>
      </c>
      <c r="N92" s="56" t="n">
        <f aca="false">IF($A92=1918,russia_writeoff*(O91+L92),0)</f>
        <v>0</v>
      </c>
      <c r="O92" s="56" t="n">
        <f aca="false">O91+L92-M92-N92</f>
        <v>1316.06832521289</v>
      </c>
      <c r="P92" s="56" t="n">
        <f aca="false">O91*Paths!Z92*Paths!AB92</f>
        <v>0</v>
      </c>
      <c r="Q92" s="56" t="n">
        <f aca="false">SUMPRODUCT((Events!$B$6:$B$174&lt;=$A92)*(Events!$C$6:$C$174&gt;=$A92)*(Events!$E$6:$E$174="Loan")*(Events!$F$6:$F$174="Rescue")*Events!$H$6:$H$174)</f>
        <v>160</v>
      </c>
      <c r="R92" s="56" t="n">
        <f aca="false">0</f>
        <v>0</v>
      </c>
      <c r="S92" s="56" t="n">
        <f aca="false">0</f>
        <v>0</v>
      </c>
      <c r="T92" s="56" t="n">
        <f aca="false">T91+Q92-R92-S92</f>
        <v>400</v>
      </c>
      <c r="U92" s="56" t="n">
        <f aca="false">T91*rescue_coupon</f>
        <v>9.6</v>
      </c>
      <c r="V92" s="56" t="n">
        <f aca="false">B92+G92+L92+Q92</f>
        <v>160</v>
      </c>
      <c r="W92" s="56" t="n">
        <f aca="false">C92+H92+M92+R92</f>
        <v>39.3410533200115</v>
      </c>
      <c r="X92" s="56" t="n">
        <f aca="false">E92+J92+O92+T92</f>
        <v>1898.39971196565</v>
      </c>
      <c r="Y92" s="56" t="n">
        <f aca="false">F92+K92+P92+U92</f>
        <v>21.6733621375533</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55" hidden="false" customHeight="false" outlineLevel="0" collapsed="false">
      <c r="A1" s="19" t="s">
        <v>1353</v>
      </c>
    </row>
    <row r="2" customFormat="false" ht="14.25" hidden="false" customHeight="false" outlineLevel="0" collapsed="false">
      <c r="A2" s="3" t="s">
        <v>1354</v>
      </c>
    </row>
    <row r="3" customFormat="false" ht="14.25" hidden="false" customHeight="false" outlineLevel="0" collapsed="false">
      <c r="A3" s="20" t="s">
        <v>1166</v>
      </c>
    </row>
    <row r="4" customFormat="false" ht="14.25" hidden="false" customHeight="false" outlineLevel="0" collapsed="false">
      <c r="B4" s="58" t="s">
        <v>1355</v>
      </c>
      <c r="C4" s="58"/>
      <c r="D4" s="58"/>
      <c r="E4" s="58"/>
      <c r="F4" s="58"/>
      <c r="G4" s="58" t="s">
        <v>1356</v>
      </c>
      <c r="H4" s="58"/>
      <c r="I4" s="58"/>
      <c r="J4" s="58"/>
      <c r="K4" s="58"/>
      <c r="L4" s="58"/>
      <c r="M4" s="58"/>
    </row>
    <row r="5" customFormat="false" ht="54" hidden="false" customHeight="true" outlineLevel="0" collapsed="false">
      <c r="A5" s="60" t="s">
        <v>103</v>
      </c>
      <c r="B5" s="7" t="s">
        <v>1357</v>
      </c>
      <c r="C5" s="7" t="s">
        <v>1358</v>
      </c>
      <c r="D5" s="7" t="s">
        <v>1359</v>
      </c>
      <c r="E5" s="7" t="s">
        <v>1360</v>
      </c>
      <c r="F5" s="7" t="s">
        <v>1361</v>
      </c>
      <c r="G5" s="7" t="s">
        <v>1362</v>
      </c>
      <c r="H5" s="7" t="s">
        <v>1363</v>
      </c>
      <c r="I5" s="7" t="s">
        <v>1364</v>
      </c>
      <c r="J5" s="7" t="s">
        <v>1365</v>
      </c>
      <c r="K5" s="7" t="s">
        <v>1366</v>
      </c>
      <c r="L5" s="7" t="s">
        <v>1367</v>
      </c>
      <c r="M5" s="7" t="s">
        <v>1368</v>
      </c>
    </row>
    <row r="6" customFormat="false" ht="14.25" hidden="false" customHeight="false" outlineLevel="0" collapsed="false">
      <c r="A6" s="61" t="n">
        <v>1846</v>
      </c>
      <c r="B6" s="56" t="n">
        <f aca="false">0</f>
        <v>0</v>
      </c>
      <c r="C6" s="72" t="n">
        <f aca="false">Resources!R6</f>
        <v>0</v>
      </c>
      <c r="D6" s="56" t="n">
        <f aca="false">IF($A6&gt;=1850,Economy!O6*ext_gold,0)</f>
        <v>0</v>
      </c>
      <c r="E6" s="56" t="n">
        <f aca="false">SUMPRODUCT((Events!$B$6:$B$174&lt;=$A6)*(Events!$C$6:$C$174&gt;=$A6)*(Events!$E$6:$E$174="Loan")*(Events!$J$6:$J$174="Yes")*Events!$H$6:$H$174)+SUMPRODUCT((Events!$B$6:$B$174&lt;=$A6)*(Events!$C$6:$C$174&gt;=$A6)*(Events!$E$6:$E$174="Purchase")*(Events!$J$6:$J$174="Yes")*Events!$H$6:$H$174)</f>
        <v>0</v>
      </c>
      <c r="F6" s="56" t="n">
        <f aca="false">MAX(0,B6+C6+D6-E6)</f>
        <v>0</v>
      </c>
      <c r="G6" s="56" t="n">
        <f aca="false">IF(OR($A6=1931,$A6=1932),cb_buy/2,0)</f>
        <v>0</v>
      </c>
      <c r="H6" s="56" t="n">
        <f aca="false">0</f>
        <v>0</v>
      </c>
      <c r="I6" s="56" t="n">
        <f aca="false">Economy!O6*money_ratio+H6</f>
        <v>1.33702275</v>
      </c>
      <c r="J6" s="56" t="n">
        <f aca="false">I6*gold_cover</f>
        <v>0.5348091</v>
      </c>
      <c r="K6" s="56" t="n">
        <f aca="false">F6-J6</f>
        <v>-0.5348091</v>
      </c>
      <c r="L6" s="66" t="n">
        <f aca="false">IF(I6&gt;0,F6/I6,0)</f>
        <v>0</v>
      </c>
      <c r="M6" s="66" t="n">
        <f aca="false">IF(Paths!AD6&gt;0,F6/Paths!AD6,0)</f>
        <v>0</v>
      </c>
    </row>
    <row r="7" customFormat="false" ht="14.25" hidden="false" customHeight="false" outlineLevel="0" collapsed="false">
      <c r="A7" s="61" t="n">
        <v>1847</v>
      </c>
      <c r="B7" s="56" t="n">
        <f aca="false">F6</f>
        <v>0</v>
      </c>
      <c r="C7" s="72" t="n">
        <f aca="false">Resources!R7</f>
        <v>0</v>
      </c>
      <c r="D7" s="56" t="n">
        <f aca="false">IF($A7&gt;=1850,Economy!O7*ext_gold,0)</f>
        <v>0</v>
      </c>
      <c r="E7" s="56" t="n">
        <f aca="false">SUMPRODUCT((Events!$B$6:$B$174&lt;=$A7)*(Events!$C$6:$C$174&gt;=$A7)*(Events!$E$6:$E$174="Loan")*(Events!$J$6:$J$174="Yes")*Events!$H$6:$H$174)+SUMPRODUCT((Events!$B$6:$B$174&lt;=$A7)*(Events!$C$6:$C$174&gt;=$A7)*(Events!$E$6:$E$174="Purchase")*(Events!$J$6:$J$174="Yes")*Events!$H$6:$H$174)</f>
        <v>0</v>
      </c>
      <c r="F7" s="56" t="n">
        <f aca="false">MAX(0,B7+C7+D7-E7)</f>
        <v>0</v>
      </c>
      <c r="G7" s="56" t="n">
        <f aca="false">IF(OR($A7=1931,$A7=1932),cb_buy/2,0)</f>
        <v>0</v>
      </c>
      <c r="H7" s="56" t="n">
        <f aca="false">H6+G7</f>
        <v>0</v>
      </c>
      <c r="I7" s="56" t="n">
        <f aca="false">Economy!O7*money_ratio+H7</f>
        <v>1.4275228149</v>
      </c>
      <c r="J7" s="56" t="n">
        <f aca="false">I7*gold_cover</f>
        <v>0.57100912596</v>
      </c>
      <c r="K7" s="56" t="n">
        <f aca="false">F7-J7</f>
        <v>-0.57100912596</v>
      </c>
      <c r="L7" s="66" t="n">
        <f aca="false">IF(I7&gt;0,F7/I7,0)</f>
        <v>0</v>
      </c>
      <c r="M7" s="66" t="n">
        <f aca="false">IF(Paths!AD7&gt;0,F7/Paths!AD7,0)</f>
        <v>0</v>
      </c>
    </row>
    <row r="8" customFormat="false" ht="14.25" hidden="false" customHeight="false" outlineLevel="0" collapsed="false">
      <c r="A8" s="61" t="n">
        <v>1848</v>
      </c>
      <c r="B8" s="56" t="n">
        <f aca="false">F7</f>
        <v>0</v>
      </c>
      <c r="C8" s="72" t="n">
        <f aca="false">Resources!R8</f>
        <v>2</v>
      </c>
      <c r="D8" s="56" t="n">
        <f aca="false">IF($A8&gt;=1850,Economy!O8*ext_gold,0)</f>
        <v>0</v>
      </c>
      <c r="E8" s="56" t="n">
        <f aca="false">SUMPRODUCT((Events!$B$6:$B$174&lt;=$A8)*(Events!$C$6:$C$174&gt;=$A8)*(Events!$E$6:$E$174="Loan")*(Events!$J$6:$J$174="Yes")*Events!$H$6:$H$174)+SUMPRODUCT((Events!$B$6:$B$174&lt;=$A8)*(Events!$C$6:$C$174&gt;=$A8)*(Events!$E$6:$E$174="Purchase")*(Events!$J$6:$J$174="Yes")*Events!$H$6:$H$174)</f>
        <v>0</v>
      </c>
      <c r="F8" s="56" t="n">
        <f aca="false">MAX(0,B8+C8+D8-E8)</f>
        <v>2</v>
      </c>
      <c r="G8" s="56" t="n">
        <f aca="false">IF(OR($A8=1931,$A8=1932),cb_buy/2,0)</f>
        <v>0</v>
      </c>
      <c r="H8" s="56" t="n">
        <f aca="false">H7+G8</f>
        <v>0</v>
      </c>
      <c r="I8" s="56" t="n">
        <f aca="false">Economy!O8*money_ratio+H8</f>
        <v>2.05213221532077</v>
      </c>
      <c r="J8" s="56" t="n">
        <f aca="false">I8*gold_cover</f>
        <v>0.820852886128307</v>
      </c>
      <c r="K8" s="56" t="n">
        <f aca="false">F8-J8</f>
        <v>1.17914711387169</v>
      </c>
      <c r="L8" s="66" t="n">
        <f aca="false">IF(I8&gt;0,F8/I8,0)</f>
        <v>0.974596073814562</v>
      </c>
      <c r="M8" s="66" t="n">
        <f aca="false">IF(Paths!AD8&gt;0,F8/Paths!AD8,0)</f>
        <v>0.00133333333333333</v>
      </c>
    </row>
    <row r="9" customFormat="false" ht="14.25" hidden="false" customHeight="false" outlineLevel="0" collapsed="false">
      <c r="A9" s="61" t="n">
        <v>1849</v>
      </c>
      <c r="B9" s="56" t="n">
        <f aca="false">F8</f>
        <v>2</v>
      </c>
      <c r="C9" s="72" t="n">
        <f aca="false">Resources!R9</f>
        <v>8</v>
      </c>
      <c r="D9" s="56" t="n">
        <f aca="false">IF($A9&gt;=1850,Economy!O9*ext_gold,0)</f>
        <v>0</v>
      </c>
      <c r="E9" s="56" t="n">
        <f aca="false">SUMPRODUCT((Events!$B$6:$B$174&lt;=$A9)*(Events!$C$6:$C$174&gt;=$A9)*(Events!$E$6:$E$174="Loan")*(Events!$J$6:$J$174="Yes")*Events!$H$6:$H$174)+SUMPRODUCT((Events!$B$6:$B$174&lt;=$A9)*(Events!$C$6:$C$174&gt;=$A9)*(Events!$E$6:$E$174="Purchase")*(Events!$J$6:$J$174="Yes")*Events!$H$6:$H$174)</f>
        <v>0</v>
      </c>
      <c r="F9" s="56" t="n">
        <f aca="false">MAX(0,B9+C9+D9-E9)</f>
        <v>10</v>
      </c>
      <c r="G9" s="56" t="n">
        <f aca="false">IF(OR($A9=1931,$A9=1932),cb_buy/2,0)</f>
        <v>0</v>
      </c>
      <c r="H9" s="56" t="n">
        <f aca="false">H8+G9</f>
        <v>0</v>
      </c>
      <c r="I9" s="56" t="n">
        <f aca="false">Economy!O9*money_ratio+H9</f>
        <v>4.92823149987241</v>
      </c>
      <c r="J9" s="56" t="n">
        <f aca="false">I9*gold_cover</f>
        <v>1.97129259994896</v>
      </c>
      <c r="K9" s="56" t="n">
        <f aca="false">F9-J9</f>
        <v>8.02870740005104</v>
      </c>
      <c r="L9" s="66" t="n">
        <f aca="false">IF(I9&gt;0,F9/I9,0)</f>
        <v>2.02912545814029</v>
      </c>
      <c r="M9" s="66" t="n">
        <f aca="false">IF(Paths!AD9&gt;0,F9/Paths!AD9,0)</f>
        <v>0.00666666666666667</v>
      </c>
    </row>
    <row r="10" customFormat="false" ht="14.25" hidden="false" customHeight="false" outlineLevel="0" collapsed="false">
      <c r="A10" s="61" t="n">
        <v>1850</v>
      </c>
      <c r="B10" s="56" t="n">
        <f aca="false">F9</f>
        <v>10</v>
      </c>
      <c r="C10" s="72" t="n">
        <f aca="false">Resources!R10</f>
        <v>8.2</v>
      </c>
      <c r="D10" s="56" t="n">
        <f aca="false">IF($A10&gt;=1850,Economy!O10*ext_gold,0)</f>
        <v>0.154676065105506</v>
      </c>
      <c r="E10" s="56" t="n">
        <f aca="false">SUMPRODUCT((Events!$B$6:$B$174&lt;=$A10)*(Events!$C$6:$C$174&gt;=$A10)*(Events!$E$6:$E$174="Loan")*(Events!$J$6:$J$174="Yes")*Events!$H$6:$H$174)+SUMPRODUCT((Events!$B$6:$B$174&lt;=$A10)*(Events!$C$6:$C$174&gt;=$A10)*(Events!$E$6:$E$174="Purchase")*(Events!$J$6:$J$174="Yes")*Events!$H$6:$H$174)</f>
        <v>0</v>
      </c>
      <c r="F10" s="56" t="n">
        <f aca="false">MAX(0,B10+C10+D10-E10)</f>
        <v>18.3546760651055</v>
      </c>
      <c r="G10" s="56" t="n">
        <f aca="false">IF(OR($A10=1931,$A10=1932),cb_buy/2,0)</f>
        <v>0</v>
      </c>
      <c r="H10" s="56" t="n">
        <f aca="false">H9+G10</f>
        <v>0</v>
      </c>
      <c r="I10" s="56" t="n">
        <f aca="false">Economy!O10*money_ratio+H10</f>
        <v>5.41366227869271</v>
      </c>
      <c r="J10" s="56" t="n">
        <f aca="false">I10*gold_cover</f>
        <v>2.16546491147708</v>
      </c>
      <c r="K10" s="56" t="n">
        <f aca="false">F10-J10</f>
        <v>16.1892111536284</v>
      </c>
      <c r="L10" s="66" t="n">
        <f aca="false">IF(I10&gt;0,F10/I10,0)</f>
        <v>3.39043610779832</v>
      </c>
      <c r="M10" s="66" t="n">
        <f aca="false">IF(Paths!AD10&gt;0,F10/Paths!AD10,0)</f>
        <v>0.0122364507100703</v>
      </c>
    </row>
    <row r="11" customFormat="false" ht="14.25" hidden="false" customHeight="false" outlineLevel="0" collapsed="false">
      <c r="A11" s="61" t="n">
        <v>1851</v>
      </c>
      <c r="B11" s="56" t="n">
        <f aca="false">F10</f>
        <v>18.3546760651055</v>
      </c>
      <c r="C11" s="72" t="n">
        <f aca="false">Resources!R11</f>
        <v>15</v>
      </c>
      <c r="D11" s="56" t="n">
        <f aca="false">IF($A11&gt;=1850,Economy!O11*ext_gold,0)</f>
        <v>0.211387813064332</v>
      </c>
      <c r="E11" s="56" t="n">
        <f aca="false">SUMPRODUCT((Events!$B$6:$B$174&lt;=$A11)*(Events!$C$6:$C$174&gt;=$A11)*(Events!$E$6:$E$174="Loan")*(Events!$J$6:$J$174="Yes")*Events!$H$6:$H$174)+SUMPRODUCT((Events!$B$6:$B$174&lt;=$A11)*(Events!$C$6:$C$174&gt;=$A11)*(Events!$E$6:$E$174="Purchase")*(Events!$J$6:$J$174="Yes")*Events!$H$6:$H$174)</f>
        <v>0</v>
      </c>
      <c r="F11" s="56" t="n">
        <f aca="false">MAX(0,B11+C11+D11-E11)</f>
        <v>33.5660638781698</v>
      </c>
      <c r="G11" s="56" t="n">
        <f aca="false">IF(OR($A11=1931,$A11=1932),cb_buy/2,0)</f>
        <v>0</v>
      </c>
      <c r="H11" s="56" t="n">
        <f aca="false">H10+G11</f>
        <v>0</v>
      </c>
      <c r="I11" s="56" t="n">
        <f aca="false">Economy!O11*money_ratio+H11</f>
        <v>7.39857345725161</v>
      </c>
      <c r="J11" s="56" t="n">
        <f aca="false">I11*gold_cover</f>
        <v>2.95942938290064</v>
      </c>
      <c r="K11" s="56" t="n">
        <f aca="false">F11-J11</f>
        <v>30.6066344952692</v>
      </c>
      <c r="L11" s="66" t="n">
        <f aca="false">IF(I11&gt;0,F11/I11,0)</f>
        <v>4.53682917012475</v>
      </c>
      <c r="M11" s="66" t="n">
        <f aca="false">IF(Paths!AD11&gt;0,F11/Paths!AD11,0)</f>
        <v>0.0218671425916416</v>
      </c>
    </row>
    <row r="12" customFormat="false" ht="14.25" hidden="false" customHeight="false" outlineLevel="0" collapsed="false">
      <c r="A12" s="61" t="n">
        <v>1852</v>
      </c>
      <c r="B12" s="56" t="n">
        <f aca="false">F11</f>
        <v>33.5660638781698</v>
      </c>
      <c r="C12" s="72" t="n">
        <f aca="false">Resources!R12</f>
        <v>16.2</v>
      </c>
      <c r="D12" s="56" t="n">
        <f aca="false">IF($A12&gt;=1850,Economy!O12*ext_gold,0)</f>
        <v>0.237604709254293</v>
      </c>
      <c r="E12" s="56" t="n">
        <f aca="false">SUMPRODUCT((Events!$B$6:$B$174&lt;=$A12)*(Events!$C$6:$C$174&gt;=$A12)*(Events!$E$6:$E$174="Loan")*(Events!$J$6:$J$174="Yes")*Events!$H$6:$H$174)+SUMPRODUCT((Events!$B$6:$B$174&lt;=$A12)*(Events!$C$6:$C$174&gt;=$A12)*(Events!$E$6:$E$174="Purchase")*(Events!$J$6:$J$174="Yes")*Events!$H$6:$H$174)</f>
        <v>0</v>
      </c>
      <c r="F12" s="56" t="n">
        <f aca="false">MAX(0,B12+C12+D12-E12)</f>
        <v>50.0036685874241</v>
      </c>
      <c r="G12" s="56" t="n">
        <f aca="false">IF(OR($A12=1931,$A12=1932),cb_buy/2,0)</f>
        <v>0</v>
      </c>
      <c r="H12" s="56" t="n">
        <f aca="false">H11+G12</f>
        <v>0</v>
      </c>
      <c r="I12" s="56" t="n">
        <f aca="false">Economy!O12*money_ratio+H12</f>
        <v>8.31616482390025</v>
      </c>
      <c r="J12" s="56" t="n">
        <f aca="false">I12*gold_cover</f>
        <v>3.3264659295601</v>
      </c>
      <c r="K12" s="56" t="n">
        <f aca="false">F12-J12</f>
        <v>46.677202657864</v>
      </c>
      <c r="L12" s="66" t="n">
        <f aca="false">IF(I12&gt;0,F12/I12,0)</f>
        <v>6.01282798577008</v>
      </c>
      <c r="M12" s="66" t="n">
        <f aca="false">IF(Paths!AD12&gt;0,F12/Paths!AD12,0)</f>
        <v>0.0318494704378498</v>
      </c>
    </row>
    <row r="13" customFormat="false" ht="14.25" hidden="false" customHeight="false" outlineLevel="0" collapsed="false">
      <c r="A13" s="61" t="n">
        <v>1853</v>
      </c>
      <c r="B13" s="56" t="n">
        <f aca="false">F12</f>
        <v>50.0036685874241</v>
      </c>
      <c r="C13" s="72" t="n">
        <f aca="false">Resources!R13</f>
        <v>13.4</v>
      </c>
      <c r="D13" s="56" t="n">
        <f aca="false">IF($A13&gt;=1850,Economy!O13*ext_gold,0)</f>
        <v>0.238429332993259</v>
      </c>
      <c r="E13" s="56" t="n">
        <f aca="false">SUMPRODUCT((Events!$B$6:$B$174&lt;=$A13)*(Events!$C$6:$C$174&gt;=$A13)*(Events!$E$6:$E$174="Loan")*(Events!$J$6:$J$174="Yes")*Events!$H$6:$H$174)+SUMPRODUCT((Events!$B$6:$B$174&lt;=$A13)*(Events!$C$6:$C$174&gt;=$A13)*(Events!$E$6:$E$174="Purchase")*(Events!$J$6:$J$174="Yes")*Events!$H$6:$H$174)</f>
        <v>0</v>
      </c>
      <c r="F13" s="56" t="n">
        <f aca="false">MAX(0,B13+C13+D13-E13)</f>
        <v>63.6420979204174</v>
      </c>
      <c r="G13" s="56" t="n">
        <f aca="false">IF(OR($A13=1931,$A13=1932),cb_buy/2,0)</f>
        <v>0</v>
      </c>
      <c r="H13" s="56" t="n">
        <f aca="false">H12+G13</f>
        <v>0</v>
      </c>
      <c r="I13" s="56" t="n">
        <f aca="false">Economy!O13*money_ratio+H13</f>
        <v>8.34502665476408</v>
      </c>
      <c r="J13" s="56" t="n">
        <f aca="false">I13*gold_cover</f>
        <v>3.33801066190563</v>
      </c>
      <c r="K13" s="56" t="n">
        <f aca="false">F13-J13</f>
        <v>60.3040872585118</v>
      </c>
      <c r="L13" s="66" t="n">
        <f aca="false">IF(I13&gt;0,F13/I13,0)</f>
        <v>7.62635046636848</v>
      </c>
      <c r="M13" s="66" t="n">
        <f aca="false">IF(Paths!AD13&gt;0,F13/Paths!AD13,0)</f>
        <v>0.039652397458204</v>
      </c>
    </row>
    <row r="14" customFormat="false" ht="14.25" hidden="false" customHeight="false" outlineLevel="0" collapsed="false">
      <c r="A14" s="61" t="n">
        <v>1854</v>
      </c>
      <c r="B14" s="56" t="n">
        <f aca="false">F13</f>
        <v>63.6420979204174</v>
      </c>
      <c r="C14" s="72" t="n">
        <f aca="false">Resources!R14</f>
        <v>13.8</v>
      </c>
      <c r="D14" s="56" t="n">
        <f aca="false">IF($A14&gt;=1850,Economy!O14*ext_gold,0)</f>
        <v>0.256582722923421</v>
      </c>
      <c r="E14" s="56" t="n">
        <f aca="false">SUMPRODUCT((Events!$B$6:$B$174&lt;=$A14)*(Events!$C$6:$C$174&gt;=$A14)*(Events!$E$6:$E$174="Loan")*(Events!$J$6:$J$174="Yes")*Events!$H$6:$H$174)+SUMPRODUCT((Events!$B$6:$B$174&lt;=$A14)*(Events!$C$6:$C$174&gt;=$A14)*(Events!$E$6:$E$174="Purchase")*(Events!$J$6:$J$174="Yes")*Events!$H$6:$H$174)</f>
        <v>0</v>
      </c>
      <c r="F14" s="56" t="n">
        <f aca="false">MAX(0,B14+C14+D14-E14)</f>
        <v>77.6986806433408</v>
      </c>
      <c r="G14" s="56" t="n">
        <f aca="false">IF(OR($A14=1931,$A14=1932),cb_buy/2,0)</f>
        <v>0</v>
      </c>
      <c r="H14" s="56" t="n">
        <f aca="false">H13+G14</f>
        <v>0</v>
      </c>
      <c r="I14" s="56" t="n">
        <f aca="false">Economy!O14*money_ratio+H14</f>
        <v>8.98039530231975</v>
      </c>
      <c r="J14" s="56" t="n">
        <f aca="false">I14*gold_cover</f>
        <v>3.5921581209279</v>
      </c>
      <c r="K14" s="56" t="n">
        <f aca="false">F14-J14</f>
        <v>74.1065225224129</v>
      </c>
      <c r="L14" s="66" t="n">
        <f aca="false">IF(I14&gt;0,F14/I14,0)</f>
        <v>8.65203346040572</v>
      </c>
      <c r="M14" s="66" t="n">
        <f aca="false">IF(Paths!AD14&gt;0,F14/Paths!AD14,0)</f>
        <v>0.04737724429472</v>
      </c>
    </row>
    <row r="15" customFormat="false" ht="14.25" hidden="false" customHeight="false" outlineLevel="0" collapsed="false">
      <c r="A15" s="61" t="n">
        <v>1855</v>
      </c>
      <c r="B15" s="56" t="n">
        <f aca="false">F14</f>
        <v>77.6986806433408</v>
      </c>
      <c r="C15" s="72" t="n">
        <f aca="false">Resources!R15</f>
        <v>11</v>
      </c>
      <c r="D15" s="56" t="n">
        <f aca="false">IF($A15&gt;=1850,Economy!O15*ext_gold,0)</f>
        <v>0.251576694462801</v>
      </c>
      <c r="E15" s="56" t="n">
        <f aca="false">SUMPRODUCT((Events!$B$6:$B$174&lt;=$A15)*(Events!$C$6:$C$174&gt;=$A15)*(Events!$E$6:$E$174="Loan")*(Events!$J$6:$J$174="Yes")*Events!$H$6:$H$174)+SUMPRODUCT((Events!$B$6:$B$174&lt;=$A15)*(Events!$C$6:$C$174&gt;=$A15)*(Events!$E$6:$E$174="Purchase")*(Events!$J$6:$J$174="Yes")*Events!$H$6:$H$174)</f>
        <v>0</v>
      </c>
      <c r="F15" s="56" t="n">
        <f aca="false">MAX(0,B15+C15+D15-E15)</f>
        <v>88.9502573378036</v>
      </c>
      <c r="G15" s="56" t="n">
        <f aca="false">IF(OR($A15=1931,$A15=1932),cb_buy/2,0)</f>
        <v>0</v>
      </c>
      <c r="H15" s="56" t="n">
        <f aca="false">H14+G15</f>
        <v>0</v>
      </c>
      <c r="I15" s="56" t="n">
        <f aca="false">Economy!O15*money_ratio+H15</f>
        <v>8.80518430619804</v>
      </c>
      <c r="J15" s="56" t="n">
        <f aca="false">I15*gold_cover</f>
        <v>3.52207372247922</v>
      </c>
      <c r="K15" s="56" t="n">
        <f aca="false">F15-J15</f>
        <v>85.4281836153244</v>
      </c>
      <c r="L15" s="66" t="n">
        <f aca="false">IF(I15&gt;0,F15/I15,0)</f>
        <v>10.1020324214214</v>
      </c>
      <c r="M15" s="66" t="n">
        <f aca="false">IF(Paths!AD15&gt;0,F15/Paths!AD15,0)</f>
        <v>0.0531046312464499</v>
      </c>
    </row>
    <row r="16" customFormat="false" ht="14.25" hidden="false" customHeight="false" outlineLevel="0" collapsed="false">
      <c r="A16" s="61" t="n">
        <v>1856</v>
      </c>
      <c r="B16" s="56" t="n">
        <f aca="false">F15</f>
        <v>88.9502573378036</v>
      </c>
      <c r="C16" s="72" t="n">
        <f aca="false">Resources!R16</f>
        <v>11.4</v>
      </c>
      <c r="D16" s="56" t="n">
        <f aca="false">IF($A16&gt;=1850,Economy!O16*ext_gold,0)</f>
        <v>0.282997440834694</v>
      </c>
      <c r="E16" s="56" t="n">
        <f aca="false">SUMPRODUCT((Events!$B$6:$B$174&lt;=$A16)*(Events!$C$6:$C$174&gt;=$A16)*(Events!$E$6:$E$174="Loan")*(Events!$J$6:$J$174="Yes")*Events!$H$6:$H$174)+SUMPRODUCT((Events!$B$6:$B$174&lt;=$A16)*(Events!$C$6:$C$174&gt;=$A16)*(Events!$E$6:$E$174="Purchase")*(Events!$J$6:$J$174="Yes")*Events!$H$6:$H$174)</f>
        <v>0</v>
      </c>
      <c r="F16" s="56" t="n">
        <f aca="false">MAX(0,B16+C16+D16-E16)</f>
        <v>100.633254778638</v>
      </c>
      <c r="G16" s="56" t="n">
        <f aca="false">IF(OR($A16=1931,$A16=1932),cb_buy/2,0)</f>
        <v>0</v>
      </c>
      <c r="H16" s="56" t="n">
        <f aca="false">H15+G16</f>
        <v>0</v>
      </c>
      <c r="I16" s="56" t="n">
        <f aca="false">Economy!O16*money_ratio+H16</f>
        <v>9.90491042921429</v>
      </c>
      <c r="J16" s="56" t="n">
        <f aca="false">I16*gold_cover</f>
        <v>3.96196417168572</v>
      </c>
      <c r="K16" s="56" t="n">
        <f aca="false">F16-J16</f>
        <v>96.6712906069526</v>
      </c>
      <c r="L16" s="66" t="n">
        <f aca="false">IF(I16&gt;0,F16/I16,0)</f>
        <v>10.1599358719916</v>
      </c>
      <c r="M16" s="66" t="n">
        <f aca="false">IF(Paths!AD16&gt;0,F16/Paths!AD16,0)</f>
        <v>0.0588498565956949</v>
      </c>
    </row>
    <row r="17" customFormat="false" ht="14.25" hidden="false" customHeight="false" outlineLevel="0" collapsed="false">
      <c r="A17" s="61" t="n">
        <v>1857</v>
      </c>
      <c r="B17" s="56" t="n">
        <f aca="false">F16</f>
        <v>100.633254778638</v>
      </c>
      <c r="C17" s="72" t="n">
        <f aca="false">Resources!R17</f>
        <v>8.6</v>
      </c>
      <c r="D17" s="56" t="n">
        <f aca="false">IF($A17&gt;=1850,Economy!O17*ext_gold,0)</f>
        <v>0.286924461161801</v>
      </c>
      <c r="E17" s="56" t="n">
        <f aca="false">SUMPRODUCT((Events!$B$6:$B$174&lt;=$A17)*(Events!$C$6:$C$174&gt;=$A17)*(Events!$E$6:$E$174="Loan")*(Events!$J$6:$J$174="Yes")*Events!$H$6:$H$174)+SUMPRODUCT((Events!$B$6:$B$174&lt;=$A17)*(Events!$C$6:$C$174&gt;=$A17)*(Events!$E$6:$E$174="Purchase")*(Events!$J$6:$J$174="Yes")*Events!$H$6:$H$174)</f>
        <v>0</v>
      </c>
      <c r="F17" s="56" t="n">
        <f aca="false">MAX(0,B17+C17+D17-E17)</f>
        <v>109.5201792398</v>
      </c>
      <c r="G17" s="56" t="n">
        <f aca="false">IF(OR($A17=1931,$A17=1932),cb_buy/2,0)</f>
        <v>0</v>
      </c>
      <c r="H17" s="56" t="n">
        <f aca="false">H16+G17</f>
        <v>0</v>
      </c>
      <c r="I17" s="56" t="n">
        <f aca="false">Economy!O17*money_ratio+H17</f>
        <v>10.042356140663</v>
      </c>
      <c r="J17" s="56" t="n">
        <f aca="false">I17*gold_cover</f>
        <v>4.01694245626522</v>
      </c>
      <c r="K17" s="56" t="n">
        <f aca="false">F17-J17</f>
        <v>105.503236783535</v>
      </c>
      <c r="L17" s="66" t="n">
        <f aca="false">IF(I17&gt;0,F17/I17,0)</f>
        <v>10.9058250579599</v>
      </c>
      <c r="M17" s="66" t="n">
        <f aca="false">IF(Paths!AD17&gt;0,F17/Paths!AD17,0)</f>
        <v>0.0627622803666476</v>
      </c>
    </row>
    <row r="18" customFormat="false" ht="14.25" hidden="false" customHeight="false" outlineLevel="0" collapsed="false">
      <c r="A18" s="61" t="n">
        <v>1858</v>
      </c>
      <c r="B18" s="56" t="n">
        <f aca="false">F17</f>
        <v>109.5201792398</v>
      </c>
      <c r="C18" s="72" t="n">
        <f aca="false">Resources!R18</f>
        <v>9.4</v>
      </c>
      <c r="D18" s="56" t="n">
        <f aca="false">IF($A18&gt;=1850,Economy!O18*ext_gold,0)</f>
        <v>0.31131061676365</v>
      </c>
      <c r="E18" s="56" t="n">
        <f aca="false">SUMPRODUCT((Events!$B$6:$B$174&lt;=$A18)*(Events!$C$6:$C$174&gt;=$A18)*(Events!$E$6:$E$174="Loan")*(Events!$J$6:$J$174="Yes")*Events!$H$6:$H$174)+SUMPRODUCT((Events!$B$6:$B$174&lt;=$A18)*(Events!$C$6:$C$174&gt;=$A18)*(Events!$E$6:$E$174="Purchase")*(Events!$J$6:$J$174="Yes")*Events!$H$6:$H$174)</f>
        <v>0</v>
      </c>
      <c r="F18" s="56" t="n">
        <f aca="false">MAX(0,B18+C18+D18-E18)</f>
        <v>119.231489856564</v>
      </c>
      <c r="G18" s="56" t="n">
        <f aca="false">IF(OR($A18=1931,$A18=1932),cb_buy/2,0)</f>
        <v>0</v>
      </c>
      <c r="H18" s="56" t="n">
        <f aca="false">H17+G18</f>
        <v>0</v>
      </c>
      <c r="I18" s="56" t="n">
        <f aca="false">Economy!O18*money_ratio+H18</f>
        <v>10.8958715867277</v>
      </c>
      <c r="J18" s="56" t="n">
        <f aca="false">I18*gold_cover</f>
        <v>4.35834863469109</v>
      </c>
      <c r="K18" s="56" t="n">
        <f aca="false">F18-J18</f>
        <v>114.873141221873</v>
      </c>
      <c r="L18" s="66" t="n">
        <f aca="false">IF(I18&gt;0,F18/I18,0)</f>
        <v>10.9428134231868</v>
      </c>
      <c r="M18" s="66" t="n">
        <f aca="false">IF(Paths!AD18&gt;0,F18/Paths!AD18,0)</f>
        <v>0.0669839830654853</v>
      </c>
    </row>
    <row r="19" customFormat="false" ht="14.25" hidden="false" customHeight="false" outlineLevel="0" collapsed="false">
      <c r="A19" s="61" t="n">
        <v>1859</v>
      </c>
      <c r="B19" s="56" t="n">
        <f aca="false">F18</f>
        <v>119.231489856564</v>
      </c>
      <c r="C19" s="72" t="n">
        <f aca="false">Resources!R19</f>
        <v>9.2</v>
      </c>
      <c r="D19" s="56" t="n">
        <f aca="false">IF($A19&gt;=1850,Economy!O19*ext_gold,0)</f>
        <v>0.332095564259886</v>
      </c>
      <c r="E19" s="56" t="n">
        <f aca="false">SUMPRODUCT((Events!$B$6:$B$174&lt;=$A19)*(Events!$C$6:$C$174&gt;=$A19)*(Events!$E$6:$E$174="Loan")*(Events!$J$6:$J$174="Yes")*Events!$H$6:$H$174)+SUMPRODUCT((Events!$B$6:$B$174&lt;=$A19)*(Events!$C$6:$C$174&gt;=$A19)*(Events!$E$6:$E$174="Purchase")*(Events!$J$6:$J$174="Yes")*Events!$H$6:$H$174)</f>
        <v>0</v>
      </c>
      <c r="F19" s="56" t="n">
        <f aca="false">MAX(0,B19+C19+D19-E19)</f>
        <v>128.763585420824</v>
      </c>
      <c r="G19" s="56" t="n">
        <f aca="false">IF(OR($A19=1931,$A19=1932),cb_buy/2,0)</f>
        <v>0</v>
      </c>
      <c r="H19" s="56" t="n">
        <f aca="false">H18+G19</f>
        <v>0</v>
      </c>
      <c r="I19" s="56" t="n">
        <f aca="false">Economy!O19*money_ratio+H19</f>
        <v>11.623344749096</v>
      </c>
      <c r="J19" s="56" t="n">
        <f aca="false">I19*gold_cover</f>
        <v>4.64933789963841</v>
      </c>
      <c r="K19" s="56" t="n">
        <f aca="false">F19-J19</f>
        <v>124.114247521185</v>
      </c>
      <c r="L19" s="66" t="n">
        <f aca="false">IF(I19&gt;0,F19/I19,0)</f>
        <v>11.0780148227848</v>
      </c>
      <c r="M19" s="66" t="n">
        <f aca="false">IF(Paths!AD19&gt;0,F19/Paths!AD19,0)</f>
        <v>0.0709441241988009</v>
      </c>
    </row>
    <row r="20" customFormat="false" ht="14.25" hidden="false" customHeight="false" outlineLevel="0" collapsed="false">
      <c r="A20" s="61" t="n">
        <v>1860</v>
      </c>
      <c r="B20" s="56" t="n">
        <f aca="false">F19</f>
        <v>128.763585420824</v>
      </c>
      <c r="C20" s="72" t="n">
        <f aca="false">Resources!R20</f>
        <v>9</v>
      </c>
      <c r="D20" s="56" t="n">
        <f aca="false">IF($A20&gt;=1850,Economy!O20*ext_gold,0)</f>
        <v>0.350010734650555</v>
      </c>
      <c r="E20" s="56" t="n">
        <f aca="false">SUMPRODUCT((Events!$B$6:$B$174&lt;=$A20)*(Events!$C$6:$C$174&gt;=$A20)*(Events!$E$6:$E$174="Loan")*(Events!$J$6:$J$174="Yes")*Events!$H$6:$H$174)+SUMPRODUCT((Events!$B$6:$B$174&lt;=$A20)*(Events!$C$6:$C$174&gt;=$A20)*(Events!$E$6:$E$174="Purchase")*(Events!$J$6:$J$174="Yes")*Events!$H$6:$H$174)</f>
        <v>0</v>
      </c>
      <c r="F20" s="56" t="n">
        <f aca="false">MAX(0,B20+C20+D20-E20)</f>
        <v>138.113596155474</v>
      </c>
      <c r="G20" s="56" t="n">
        <f aca="false">IF(OR($A20=1931,$A20=1932),cb_buy/2,0)</f>
        <v>0</v>
      </c>
      <c r="H20" s="56" t="n">
        <f aca="false">H19+G20</f>
        <v>0</v>
      </c>
      <c r="I20" s="56" t="n">
        <f aca="false">Economy!O20*money_ratio+H20</f>
        <v>12.2503757127694</v>
      </c>
      <c r="J20" s="56" t="n">
        <f aca="false">I20*gold_cover</f>
        <v>4.90015028510777</v>
      </c>
      <c r="K20" s="56" t="n">
        <f aca="false">F20-J20</f>
        <v>133.213445870366</v>
      </c>
      <c r="L20" s="66" t="n">
        <f aca="false">IF(I20&gt;0,F20/I20,0)</f>
        <v>11.274233492407</v>
      </c>
      <c r="M20" s="66" t="n">
        <f aca="false">IF(Paths!AD20&gt;0,F20/Paths!AD20,0)</f>
        <v>0.074655997921878</v>
      </c>
    </row>
    <row r="21" customFormat="false" ht="14.25" hidden="false" customHeight="false" outlineLevel="0" collapsed="false">
      <c r="A21" s="64" t="n">
        <v>1861</v>
      </c>
      <c r="B21" s="56" t="n">
        <f aca="false">F20</f>
        <v>138.113596155474</v>
      </c>
      <c r="C21" s="72" t="n">
        <f aca="false">Resources!R21</f>
        <v>8.2</v>
      </c>
      <c r="D21" s="56" t="n">
        <f aca="false">IF($A21&gt;=1850,Economy!O21*ext_gold,0)</f>
        <v>0.360933845745993</v>
      </c>
      <c r="E21" s="56" t="n">
        <f aca="false">SUMPRODUCT((Events!$B$6:$B$174&lt;=$A21)*(Events!$C$6:$C$174&gt;=$A21)*(Events!$E$6:$E$174="Loan")*(Events!$J$6:$J$174="Yes")*Events!$H$6:$H$174)+SUMPRODUCT((Events!$B$6:$B$174&lt;=$A21)*(Events!$C$6:$C$174&gt;=$A21)*(Events!$E$6:$E$174="Purchase")*(Events!$J$6:$J$174="Yes")*Events!$H$6:$H$174)</f>
        <v>0</v>
      </c>
      <c r="F21" s="56" t="n">
        <f aca="false">MAX(0,B21+C21+D21-E21)</f>
        <v>146.67453000122</v>
      </c>
      <c r="G21" s="56" t="n">
        <f aca="false">IF(OR($A21=1931,$A21=1932),cb_buy/2,0)</f>
        <v>0</v>
      </c>
      <c r="H21" s="56" t="n">
        <f aca="false">H20+G21</f>
        <v>0</v>
      </c>
      <c r="I21" s="56" t="n">
        <f aca="false">Economy!O21*money_ratio+H21</f>
        <v>12.6326846011098</v>
      </c>
      <c r="J21" s="56" t="n">
        <f aca="false">I21*gold_cover</f>
        <v>5.05307384044391</v>
      </c>
      <c r="K21" s="56" t="n">
        <f aca="false">F21-J21</f>
        <v>141.621456160776</v>
      </c>
      <c r="L21" s="66" t="n">
        <f aca="false">IF(I21&gt;0,F21/I21,0)</f>
        <v>11.6107173283132</v>
      </c>
      <c r="M21" s="66" t="n">
        <f aca="false">IF(Paths!AD21&gt;0,F21/Paths!AD21,0)</f>
        <v>0.0778114217513104</v>
      </c>
    </row>
    <row r="22" customFormat="false" ht="14.25" hidden="false" customHeight="false" outlineLevel="0" collapsed="false">
      <c r="A22" s="64" t="n">
        <v>1862</v>
      </c>
      <c r="B22" s="56" t="n">
        <f aca="false">F21</f>
        <v>146.67453000122</v>
      </c>
      <c r="C22" s="72" t="n">
        <f aca="false">Resources!R22</f>
        <v>7.6</v>
      </c>
      <c r="D22" s="56" t="n">
        <f aca="false">IF($A22&gt;=1850,Economy!O22*ext_gold,0)</f>
        <v>0.415912456708736</v>
      </c>
      <c r="E22" s="56" t="n">
        <f aca="false">SUMPRODUCT((Events!$B$6:$B$174&lt;=$A22)*(Events!$C$6:$C$174&gt;=$A22)*(Events!$E$6:$E$174="Loan")*(Events!$J$6:$J$174="Yes")*Events!$H$6:$H$174)+SUMPRODUCT((Events!$B$6:$B$174&lt;=$A22)*(Events!$C$6:$C$174&gt;=$A22)*(Events!$E$6:$E$174="Purchase")*(Events!$J$6:$J$174="Yes")*Events!$H$6:$H$174)</f>
        <v>0</v>
      </c>
      <c r="F22" s="56" t="n">
        <f aca="false">MAX(0,B22+C22+D22-E22)</f>
        <v>154.690442457929</v>
      </c>
      <c r="G22" s="56" t="n">
        <f aca="false">IF(OR($A22=1931,$A22=1932),cb_buy/2,0)</f>
        <v>0</v>
      </c>
      <c r="H22" s="56" t="n">
        <f aca="false">H21+G22</f>
        <v>0</v>
      </c>
      <c r="I22" s="56" t="n">
        <f aca="false">Economy!O22*money_ratio+H22</f>
        <v>14.5569359848058</v>
      </c>
      <c r="J22" s="56" t="n">
        <f aca="false">I22*gold_cover</f>
        <v>5.8227743939223</v>
      </c>
      <c r="K22" s="56" t="n">
        <f aca="false">F22-J22</f>
        <v>148.867668064007</v>
      </c>
      <c r="L22" s="66" t="n">
        <f aca="false">IF(I22&gt;0,F22/I22,0)</f>
        <v>10.626579839287</v>
      </c>
      <c r="M22" s="66" t="n">
        <f aca="false">IF(Paths!AD22&gt;0,F22/Paths!AD22,0)</f>
        <v>0.0805679387801713</v>
      </c>
    </row>
    <row r="23" customFormat="false" ht="14.25" hidden="false" customHeight="false" outlineLevel="0" collapsed="false">
      <c r="A23" s="64" t="n">
        <v>1863</v>
      </c>
      <c r="B23" s="56" t="n">
        <f aca="false">F22</f>
        <v>154.690442457929</v>
      </c>
      <c r="C23" s="72" t="n">
        <f aca="false">Resources!R23</f>
        <v>7.6</v>
      </c>
      <c r="D23" s="56" t="n">
        <f aca="false">IF($A23&gt;=1850,Economy!O23*ext_gold,0)</f>
        <v>0.518311455621933</v>
      </c>
      <c r="E23" s="56" t="n">
        <f aca="false">SUMPRODUCT((Events!$B$6:$B$174&lt;=$A23)*(Events!$C$6:$C$174&gt;=$A23)*(Events!$E$6:$E$174="Loan")*(Events!$J$6:$J$174="Yes")*Events!$H$6:$H$174)+SUMPRODUCT((Events!$B$6:$B$174&lt;=$A23)*(Events!$C$6:$C$174&gt;=$A23)*(Events!$E$6:$E$174="Purchase")*(Events!$J$6:$J$174="Yes")*Events!$H$6:$H$174)</f>
        <v>0</v>
      </c>
      <c r="F23" s="56" t="n">
        <f aca="false">MAX(0,B23+C23+D23-E23)</f>
        <v>162.808753913551</v>
      </c>
      <c r="G23" s="56" t="n">
        <f aca="false">IF(OR($A23=1931,$A23=1932),cb_buy/2,0)</f>
        <v>0</v>
      </c>
      <c r="H23" s="56" t="n">
        <f aca="false">H22+G23</f>
        <v>0</v>
      </c>
      <c r="I23" s="56" t="n">
        <f aca="false">Economy!O23*money_ratio+H23</f>
        <v>18.1409009467677</v>
      </c>
      <c r="J23" s="56" t="n">
        <f aca="false">I23*gold_cover</f>
        <v>7.25636037870707</v>
      </c>
      <c r="K23" s="56" t="n">
        <f aca="false">F23-J23</f>
        <v>155.552393534844</v>
      </c>
      <c r="L23" s="66" t="n">
        <f aca="false">IF(I23&gt;0,F23/I23,0)</f>
        <v>8.97467851190489</v>
      </c>
      <c r="M23" s="66" t="n">
        <f aca="false">IF(Paths!AD23&gt;0,F23/Paths!AD23,0)</f>
        <v>0.0832781349941437</v>
      </c>
    </row>
    <row r="24" customFormat="false" ht="14.25" hidden="false" customHeight="false" outlineLevel="0" collapsed="false">
      <c r="A24" s="64" t="n">
        <v>1864</v>
      </c>
      <c r="B24" s="56" t="n">
        <f aca="false">F23</f>
        <v>162.808753913551</v>
      </c>
      <c r="C24" s="72" t="n">
        <f aca="false">Resources!R24</f>
        <v>11.8</v>
      </c>
      <c r="D24" s="56" t="n">
        <f aca="false">IF($A24&gt;=1850,Economy!O24*ext_gold,0)</f>
        <v>0.62897238093662</v>
      </c>
      <c r="E24" s="56" t="n">
        <f aca="false">SUMPRODUCT((Events!$B$6:$B$174&lt;=$A24)*(Events!$C$6:$C$174&gt;=$A24)*(Events!$E$6:$E$174="Loan")*(Events!$J$6:$J$174="Yes")*Events!$H$6:$H$174)+SUMPRODUCT((Events!$B$6:$B$174&lt;=$A24)*(Events!$C$6:$C$174&gt;=$A24)*(Events!$E$6:$E$174="Purchase")*(Events!$J$6:$J$174="Yes")*Events!$H$6:$H$174)</f>
        <v>0</v>
      </c>
      <c r="F24" s="56" t="n">
        <f aca="false">MAX(0,B24+C24+D24-E24)</f>
        <v>175.237726294487</v>
      </c>
      <c r="G24" s="56" t="n">
        <f aca="false">IF(OR($A24=1931,$A24=1932),cb_buy/2,0)</f>
        <v>0</v>
      </c>
      <c r="H24" s="56" t="n">
        <f aca="false">H23+G24</f>
        <v>0</v>
      </c>
      <c r="I24" s="56" t="n">
        <f aca="false">Economy!O24*money_ratio+H24</f>
        <v>22.0140333327817</v>
      </c>
      <c r="J24" s="56" t="n">
        <f aca="false">I24*gold_cover</f>
        <v>8.80561333311268</v>
      </c>
      <c r="K24" s="56" t="n">
        <f aca="false">F24-J24</f>
        <v>166.432112961375</v>
      </c>
      <c r="L24" s="66" t="n">
        <f aca="false">IF(I24&gt;0,F24/I24,0)</f>
        <v>7.96027350578851</v>
      </c>
      <c r="M24" s="66" t="n">
        <f aca="false">IF(Paths!AD24&gt;0,F24/Paths!AD24,0)</f>
        <v>0.0880591589419535</v>
      </c>
    </row>
    <row r="25" customFormat="false" ht="14.25" hidden="false" customHeight="false" outlineLevel="0" collapsed="false">
      <c r="A25" s="64" t="n">
        <v>1865</v>
      </c>
      <c r="B25" s="56" t="n">
        <f aca="false">F24</f>
        <v>175.237726294487</v>
      </c>
      <c r="C25" s="72" t="n">
        <f aca="false">Resources!R25</f>
        <v>11.6</v>
      </c>
      <c r="D25" s="56" t="n">
        <f aca="false">IF($A25&gt;=1850,Economy!O25*ext_gold,0)</f>
        <v>0.686317600280506</v>
      </c>
      <c r="E25" s="56" t="n">
        <f aca="false">SUMPRODUCT((Events!$B$6:$B$174&lt;=$A25)*(Events!$C$6:$C$174&gt;=$A25)*(Events!$E$6:$E$174="Loan")*(Events!$J$6:$J$174="Yes")*Events!$H$6:$H$174)+SUMPRODUCT((Events!$B$6:$B$174&lt;=$A25)*(Events!$C$6:$C$174&gt;=$A25)*(Events!$E$6:$E$174="Purchase")*(Events!$J$6:$J$174="Yes")*Events!$H$6:$H$174)</f>
        <v>0</v>
      </c>
      <c r="F25" s="56" t="n">
        <f aca="false">MAX(0,B25+C25+D25-E25)</f>
        <v>187.524043894768</v>
      </c>
      <c r="G25" s="56" t="n">
        <f aca="false">IF(OR($A25=1931,$A25=1932),cb_buy/2,0)</f>
        <v>0</v>
      </c>
      <c r="H25" s="56" t="n">
        <f aca="false">H24+G25</f>
        <v>0</v>
      </c>
      <c r="I25" s="56" t="n">
        <f aca="false">Economy!O25*money_ratio+H25</f>
        <v>24.0211160098177</v>
      </c>
      <c r="J25" s="56" t="n">
        <f aca="false">I25*gold_cover</f>
        <v>9.60844640392708</v>
      </c>
      <c r="K25" s="56" t="n">
        <f aca="false">F25-J25</f>
        <v>177.915597490841</v>
      </c>
      <c r="L25" s="66" t="n">
        <f aca="false">IF(I25&gt;0,F25/I25,0)</f>
        <v>7.80663328956593</v>
      </c>
      <c r="M25" s="66" t="n">
        <f aca="false">IF(Paths!AD25&gt;0,F25/Paths!AD25,0)</f>
        <v>0.0926044661208731</v>
      </c>
    </row>
    <row r="26" customFormat="false" ht="14.25" hidden="false" customHeight="false" outlineLevel="0" collapsed="false">
      <c r="A26" s="61" t="n">
        <v>1866</v>
      </c>
      <c r="B26" s="56" t="n">
        <f aca="false">F25</f>
        <v>187.524043894768</v>
      </c>
      <c r="C26" s="72" t="n">
        <f aca="false">Resources!R26</f>
        <v>11.2</v>
      </c>
      <c r="D26" s="56" t="n">
        <f aca="false">IF($A26&gt;=1850,Economy!O26*ext_gold,0)</f>
        <v>0.733502688175672</v>
      </c>
      <c r="E26" s="56" t="n">
        <f aca="false">SUMPRODUCT((Events!$B$6:$B$174&lt;=$A26)*(Events!$C$6:$C$174&gt;=$A26)*(Events!$E$6:$E$174="Loan")*(Events!$J$6:$J$174="Yes")*Events!$H$6:$H$174)+SUMPRODUCT((Events!$B$6:$B$174&lt;=$A26)*(Events!$C$6:$C$174&gt;=$A26)*(Events!$E$6:$E$174="Purchase")*(Events!$J$6:$J$174="Yes")*Events!$H$6:$H$174)</f>
        <v>5.71428571428571</v>
      </c>
      <c r="F26" s="56" t="n">
        <f aca="false">MAX(0,B26+C26+D26-E26)</f>
        <v>193.743260868658</v>
      </c>
      <c r="G26" s="56" t="n">
        <f aca="false">IF(OR($A26=1931,$A26=1932),cb_buy/2,0)</f>
        <v>0</v>
      </c>
      <c r="H26" s="56" t="n">
        <f aca="false">H25+G26</f>
        <v>0</v>
      </c>
      <c r="I26" s="56" t="n">
        <f aca="false">Economy!O26*money_ratio+H26</f>
        <v>25.6725940861485</v>
      </c>
      <c r="J26" s="56" t="n">
        <f aca="false">I26*gold_cover</f>
        <v>10.2690376344594</v>
      </c>
      <c r="K26" s="56" t="n">
        <f aca="false">F26-J26</f>
        <v>183.474223234199</v>
      </c>
      <c r="L26" s="66" t="n">
        <f aca="false">IF(I26&gt;0,F26/I26,0)</f>
        <v>7.54669591310178</v>
      </c>
      <c r="M26" s="66" t="n">
        <f aca="false">IF(Paths!AD26&gt;0,F26/Paths!AD26,0)</f>
        <v>0.0940501266352708</v>
      </c>
    </row>
    <row r="27" customFormat="false" ht="14.25" hidden="false" customHeight="false" outlineLevel="0" collapsed="false">
      <c r="A27" s="61" t="n">
        <v>1867</v>
      </c>
      <c r="B27" s="56" t="n">
        <f aca="false">F26</f>
        <v>193.743260868658</v>
      </c>
      <c r="C27" s="72" t="n">
        <f aca="false">Resources!R27</f>
        <v>10</v>
      </c>
      <c r="D27" s="56" t="n">
        <f aca="false">IF($A27&gt;=1850,Economy!O27*ext_gold,0)</f>
        <v>0.797796439901777</v>
      </c>
      <c r="E27" s="56" t="n">
        <f aca="false">SUMPRODUCT((Events!$B$6:$B$174&lt;=$A27)*(Events!$C$6:$C$174&gt;=$A27)*(Events!$E$6:$E$174="Loan")*(Events!$J$6:$J$174="Yes")*Events!$H$6:$H$174)+SUMPRODUCT((Events!$B$6:$B$174&lt;=$A27)*(Events!$C$6:$C$174&gt;=$A27)*(Events!$E$6:$E$174="Purchase")*(Events!$J$6:$J$174="Yes")*Events!$H$6:$H$174)</f>
        <v>23.9142857142857</v>
      </c>
      <c r="F27" s="56" t="n">
        <f aca="false">MAX(0,B27+C27+D27-E27)</f>
        <v>180.626771594274</v>
      </c>
      <c r="G27" s="56" t="n">
        <f aca="false">IF(OR($A27=1931,$A27=1932),cb_buy/2,0)</f>
        <v>0</v>
      </c>
      <c r="H27" s="56" t="n">
        <f aca="false">H26+G27</f>
        <v>0</v>
      </c>
      <c r="I27" s="56" t="n">
        <f aca="false">Economy!O27*money_ratio+H27</f>
        <v>27.9228753965622</v>
      </c>
      <c r="J27" s="56" t="n">
        <f aca="false">I27*gold_cover</f>
        <v>11.1691501586249</v>
      </c>
      <c r="K27" s="56" t="n">
        <f aca="false">F27-J27</f>
        <v>169.457621435649</v>
      </c>
      <c r="L27" s="66" t="n">
        <f aca="false">IF(I27&gt;0,F27/I27,0)</f>
        <v>6.46877404382617</v>
      </c>
      <c r="M27" s="66" t="n">
        <f aca="false">IF(Paths!AD27&gt;0,F27/Paths!AD27,0)</f>
        <v>0.0862180294006081</v>
      </c>
    </row>
    <row r="28" customFormat="false" ht="14.25" hidden="false" customHeight="false" outlineLevel="0" collapsed="false">
      <c r="A28" s="61" t="n">
        <v>1868</v>
      </c>
      <c r="B28" s="56" t="n">
        <f aca="false">F27</f>
        <v>180.626771594274</v>
      </c>
      <c r="C28" s="72" t="n">
        <f aca="false">Resources!R28</f>
        <v>8.53333333333334</v>
      </c>
      <c r="D28" s="56" t="n">
        <f aca="false">IF($A28&gt;=1850,Economy!O28*ext_gold,0)</f>
        <v>0.868521344471055</v>
      </c>
      <c r="E28" s="56" t="n">
        <f aca="false">SUMPRODUCT((Events!$B$6:$B$174&lt;=$A28)*(Events!$C$6:$C$174&gt;=$A28)*(Events!$E$6:$E$174="Loan")*(Events!$J$6:$J$174="Yes")*Events!$H$6:$H$174)+SUMPRODUCT((Events!$B$6:$B$174&lt;=$A28)*(Events!$C$6:$C$174&gt;=$A28)*(Events!$E$6:$E$174="Purchase")*(Events!$J$6:$J$174="Yes")*Events!$H$6:$H$174)</f>
        <v>6.71428571428571</v>
      </c>
      <c r="F28" s="56" t="n">
        <f aca="false">MAX(0,B28+C28+D28-E28)</f>
        <v>183.314340557793</v>
      </c>
      <c r="G28" s="56" t="n">
        <f aca="false">IF(OR($A28=1931,$A28=1932),cb_buy/2,0)</f>
        <v>0</v>
      </c>
      <c r="H28" s="56" t="n">
        <f aca="false">H27+G28</f>
        <v>0</v>
      </c>
      <c r="I28" s="56" t="n">
        <f aca="false">Economy!O28*money_ratio+H28</f>
        <v>30.3982470564869</v>
      </c>
      <c r="J28" s="56" t="n">
        <f aca="false">I28*gold_cover</f>
        <v>12.1592988225948</v>
      </c>
      <c r="K28" s="56" t="n">
        <f aca="false">F28-J28</f>
        <v>171.155041735198</v>
      </c>
      <c r="L28" s="66" t="n">
        <f aca="false">IF(I28&gt;0,F28/I28,0)</f>
        <v>6.03042472209507</v>
      </c>
      <c r="M28" s="66" t="n">
        <f aca="false">IF(Paths!AD28&gt;0,F28/Paths!AD28,0)</f>
        <v>0.0860630706844097</v>
      </c>
    </row>
    <row r="29" customFormat="false" ht="14.25" hidden="false" customHeight="false" outlineLevel="0" collapsed="false">
      <c r="A29" s="61" t="n">
        <v>1869</v>
      </c>
      <c r="B29" s="56" t="n">
        <f aca="false">F28</f>
        <v>183.314340557793</v>
      </c>
      <c r="C29" s="72" t="n">
        <f aca="false">Resources!R29</f>
        <v>8.46666666666666</v>
      </c>
      <c r="D29" s="56" t="n">
        <f aca="false">IF($A29&gt;=1850,Economy!O29*ext_gold,0)</f>
        <v>0.943224127916458</v>
      </c>
      <c r="E29" s="56" t="n">
        <f aca="false">SUMPRODUCT((Events!$B$6:$B$174&lt;=$A29)*(Events!$C$6:$C$174&gt;=$A29)*(Events!$E$6:$E$174="Loan")*(Events!$J$6:$J$174="Yes")*Events!$H$6:$H$174)+SUMPRODUCT((Events!$B$6:$B$174&lt;=$A29)*(Events!$C$6:$C$174&gt;=$A29)*(Events!$E$6:$E$174="Purchase")*(Events!$J$6:$J$174="Yes")*Events!$H$6:$H$174)</f>
        <v>6.71428571428571</v>
      </c>
      <c r="F29" s="56" t="n">
        <f aca="false">MAX(0,B29+C29+D29-E29)</f>
        <v>186.00994563809</v>
      </c>
      <c r="G29" s="56" t="n">
        <f aca="false">IF(OR($A29=1931,$A29=1932),cb_buy/2,0)</f>
        <v>0</v>
      </c>
      <c r="H29" s="56" t="n">
        <f aca="false">H28+G29</f>
        <v>0</v>
      </c>
      <c r="I29" s="56" t="n">
        <f aca="false">Economy!O29*money_ratio+H29</f>
        <v>33.012844477076</v>
      </c>
      <c r="J29" s="56" t="n">
        <f aca="false">I29*gold_cover</f>
        <v>13.2051377908304</v>
      </c>
      <c r="K29" s="56" t="n">
        <f aca="false">F29-J29</f>
        <v>172.80480784726</v>
      </c>
      <c r="L29" s="66" t="n">
        <f aca="false">IF(I29&gt;0,F29/I29,0)</f>
        <v>5.63447193310635</v>
      </c>
      <c r="M29" s="66" t="n">
        <f aca="false">IF(Paths!AD29&gt;0,F29/Paths!AD29,0)</f>
        <v>0.0859168340129746</v>
      </c>
    </row>
    <row r="30" customFormat="false" ht="14.25" hidden="false" customHeight="false" outlineLevel="0" collapsed="false">
      <c r="A30" s="64" t="n">
        <v>1870</v>
      </c>
      <c r="B30" s="56" t="n">
        <f aca="false">F29</f>
        <v>186.00994563809</v>
      </c>
      <c r="C30" s="72" t="n">
        <f aca="false">Resources!R30</f>
        <v>8.4</v>
      </c>
      <c r="D30" s="56" t="n">
        <f aca="false">IF($A30&gt;=1850,Economy!O30*ext_gold,0)</f>
        <v>1.02895389868853</v>
      </c>
      <c r="E30" s="56" t="n">
        <f aca="false">SUMPRODUCT((Events!$B$6:$B$174&lt;=$A30)*(Events!$C$6:$C$174&gt;=$A30)*(Events!$E$6:$E$174="Loan")*(Events!$J$6:$J$174="Yes")*Events!$H$6:$H$174)+SUMPRODUCT((Events!$B$6:$B$174&lt;=$A30)*(Events!$C$6:$C$174&gt;=$A30)*(Events!$E$6:$E$174="Purchase")*(Events!$J$6:$J$174="Yes")*Events!$H$6:$H$174)</f>
        <v>6.71428571428571</v>
      </c>
      <c r="F30" s="56" t="n">
        <f aca="false">MAX(0,B30+C30+D30-E30)</f>
        <v>188.724613822493</v>
      </c>
      <c r="G30" s="56" t="n">
        <f aca="false">IF(OR($A30=1931,$A30=1932),cb_buy/2,0)</f>
        <v>0</v>
      </c>
      <c r="H30" s="56" t="n">
        <f aca="false">H29+G30</f>
        <v>0</v>
      </c>
      <c r="I30" s="56" t="n">
        <f aca="false">Economy!O30*money_ratio+H30</f>
        <v>36.0133864540985</v>
      </c>
      <c r="J30" s="56" t="n">
        <f aca="false">I30*gold_cover</f>
        <v>14.4053545816394</v>
      </c>
      <c r="K30" s="56" t="n">
        <f aca="false">F30-J30</f>
        <v>174.319259240853</v>
      </c>
      <c r="L30" s="66" t="n">
        <f aca="false">IF(I30&gt;0,F30/I30,0)</f>
        <v>5.24040176180141</v>
      </c>
      <c r="M30" s="66" t="n">
        <f aca="false">IF(Paths!AD30&gt;0,F30/Paths!AD30,0)</f>
        <v>0.0857839153738604</v>
      </c>
    </row>
    <row r="31" customFormat="false" ht="14.25" hidden="false" customHeight="false" outlineLevel="0" collapsed="false">
      <c r="A31" s="64" t="n">
        <v>1871</v>
      </c>
      <c r="B31" s="56" t="n">
        <f aca="false">F30</f>
        <v>188.724613822493</v>
      </c>
      <c r="C31" s="72" t="n">
        <f aca="false">Resources!R31</f>
        <v>8.9</v>
      </c>
      <c r="D31" s="56" t="n">
        <f aca="false">IF($A31&gt;=1850,Economy!O31*ext_gold,0)</f>
        <v>1.10598717390336</v>
      </c>
      <c r="E31" s="56" t="n">
        <f aca="false">SUMPRODUCT((Events!$B$6:$B$174&lt;=$A31)*(Events!$C$6:$C$174&gt;=$A31)*(Events!$E$6:$E$174="Loan")*(Events!$J$6:$J$174="Yes")*Events!$H$6:$H$174)+SUMPRODUCT((Events!$B$6:$B$174&lt;=$A31)*(Events!$C$6:$C$174&gt;=$A31)*(Events!$E$6:$E$174="Purchase")*(Events!$J$6:$J$174="Yes")*Events!$H$6:$H$174)</f>
        <v>6.71428571428571</v>
      </c>
      <c r="F31" s="56" t="n">
        <f aca="false">MAX(0,B31+C31+D31-E31)</f>
        <v>192.016315282111</v>
      </c>
      <c r="G31" s="56" t="n">
        <f aca="false">IF(OR($A31=1931,$A31=1932),cb_buy/2,0)</f>
        <v>0</v>
      </c>
      <c r="H31" s="56" t="n">
        <f aca="false">H30+G31</f>
        <v>0</v>
      </c>
      <c r="I31" s="56" t="n">
        <f aca="false">Economy!O31*money_ratio+H31</f>
        <v>38.7095510866175</v>
      </c>
      <c r="J31" s="56" t="n">
        <f aca="false">I31*gold_cover</f>
        <v>15.483820434647</v>
      </c>
      <c r="K31" s="56" t="n">
        <f aca="false">F31-J31</f>
        <v>176.532494847463</v>
      </c>
      <c r="L31" s="66" t="n">
        <f aca="false">IF(I31&gt;0,F31/I31,0)</f>
        <v>4.9604376669843</v>
      </c>
      <c r="M31" s="66" t="n">
        <f aca="false">IF(Paths!AD31&gt;0,F31/Paths!AD31,0)</f>
        <v>0.0847754151355896</v>
      </c>
    </row>
    <row r="32" customFormat="false" ht="14.25" hidden="false" customHeight="false" outlineLevel="0" collapsed="false">
      <c r="A32" s="61" t="n">
        <v>1872</v>
      </c>
      <c r="B32" s="56" t="n">
        <f aca="false">F31</f>
        <v>192.016315282111</v>
      </c>
      <c r="C32" s="72" t="n">
        <f aca="false">Resources!R32</f>
        <v>9.4</v>
      </c>
      <c r="D32" s="56" t="n">
        <f aca="false">IF($A32&gt;=1850,Economy!O32*ext_gold,0)</f>
        <v>1.18519694351313</v>
      </c>
      <c r="E32" s="56" t="n">
        <f aca="false">SUMPRODUCT((Events!$B$6:$B$174&lt;=$A32)*(Events!$C$6:$C$174&gt;=$A32)*(Events!$E$6:$E$174="Loan")*(Events!$J$6:$J$174="Yes")*Events!$H$6:$H$174)+SUMPRODUCT((Events!$B$6:$B$174&lt;=$A32)*(Events!$C$6:$C$174&gt;=$A32)*(Events!$E$6:$E$174="Purchase")*(Events!$J$6:$J$174="Yes")*Events!$H$6:$H$174)</f>
        <v>5.71428571428571</v>
      </c>
      <c r="F32" s="56" t="n">
        <f aca="false">MAX(0,B32+C32+D32-E32)</f>
        <v>196.887226511338</v>
      </c>
      <c r="G32" s="56" t="n">
        <f aca="false">IF(OR($A32=1931,$A32=1932),cb_buy/2,0)</f>
        <v>0</v>
      </c>
      <c r="H32" s="56" t="n">
        <f aca="false">H31+G32</f>
        <v>0</v>
      </c>
      <c r="I32" s="56" t="n">
        <f aca="false">Economy!O32*money_ratio+H32</f>
        <v>41.4818930229595</v>
      </c>
      <c r="J32" s="56" t="n">
        <f aca="false">I32*gold_cover</f>
        <v>16.5927572091838</v>
      </c>
      <c r="K32" s="56" t="n">
        <f aca="false">F32-J32</f>
        <v>180.294469302154</v>
      </c>
      <c r="L32" s="66" t="n">
        <f aca="false">IF(I32&gt;0,F32/I32,0)</f>
        <v>4.74634140737898</v>
      </c>
      <c r="M32" s="66" t="n">
        <f aca="false">IF(Paths!AD32&gt;0,F32/Paths!AD32,0)</f>
        <v>0.0845009555842652</v>
      </c>
    </row>
    <row r="33" customFormat="false" ht="14.25" hidden="false" customHeight="false" outlineLevel="0" collapsed="false">
      <c r="A33" s="61" t="n">
        <v>1873</v>
      </c>
      <c r="B33" s="56" t="n">
        <f aca="false">F32</f>
        <v>196.887226511338</v>
      </c>
      <c r="C33" s="72" t="n">
        <f aca="false">Resources!R33</f>
        <v>11</v>
      </c>
      <c r="D33" s="56" t="n">
        <f aca="false">IF($A33&gt;=1850,Economy!O33*ext_gold,0)</f>
        <v>1.25714922593185</v>
      </c>
      <c r="E33" s="56" t="n">
        <f aca="false">SUMPRODUCT((Events!$B$6:$B$174&lt;=$A33)*(Events!$C$6:$C$174&gt;=$A33)*(Events!$E$6:$E$174="Loan")*(Events!$J$6:$J$174="Yes")*Events!$H$6:$H$174)+SUMPRODUCT((Events!$B$6:$B$174&lt;=$A33)*(Events!$C$6:$C$174&gt;=$A33)*(Events!$E$6:$E$174="Purchase")*(Events!$J$6:$J$174="Yes")*Events!$H$6:$H$174)</f>
        <v>0</v>
      </c>
      <c r="F33" s="56" t="n">
        <f aca="false">MAX(0,B33+C33+D33-E33)</f>
        <v>209.14437573727</v>
      </c>
      <c r="G33" s="56" t="n">
        <f aca="false">IF(OR($A33=1931,$A33=1932),cb_buy/2,0)</f>
        <v>0</v>
      </c>
      <c r="H33" s="56" t="n">
        <f aca="false">H32+G33</f>
        <v>0</v>
      </c>
      <c r="I33" s="56" t="n">
        <f aca="false">Economy!O33*money_ratio+H33</f>
        <v>44.0002229076148</v>
      </c>
      <c r="J33" s="56" t="n">
        <f aca="false">I33*gold_cover</f>
        <v>17.6000891630459</v>
      </c>
      <c r="K33" s="56" t="n">
        <f aca="false">F33-J33</f>
        <v>191.544286574224</v>
      </c>
      <c r="L33" s="66" t="n">
        <f aca="false">IF(I33&gt;0,F33/I33,0)</f>
        <v>4.75325718636472</v>
      </c>
      <c r="M33" s="66" t="n">
        <f aca="false">IF(Paths!AD33&gt;0,F33/Paths!AD33,0)</f>
        <v>0.0873254178443715</v>
      </c>
    </row>
    <row r="34" customFormat="false" ht="14.25" hidden="false" customHeight="false" outlineLevel="0" collapsed="false">
      <c r="A34" s="61" t="n">
        <v>1874</v>
      </c>
      <c r="B34" s="56" t="n">
        <f aca="false">F33</f>
        <v>209.14437573727</v>
      </c>
      <c r="C34" s="72" t="n">
        <f aca="false">Resources!R34</f>
        <v>11.7</v>
      </c>
      <c r="D34" s="56" t="n">
        <f aca="false">IF($A34&gt;=1850,Economy!O34*ext_gold,0)</f>
        <v>1.34072445413163</v>
      </c>
      <c r="E34" s="56" t="n">
        <f aca="false">SUMPRODUCT((Events!$B$6:$B$174&lt;=$A34)*(Events!$C$6:$C$174&gt;=$A34)*(Events!$E$6:$E$174="Loan")*(Events!$J$6:$J$174="Yes")*Events!$H$6:$H$174)+SUMPRODUCT((Events!$B$6:$B$174&lt;=$A34)*(Events!$C$6:$C$174&gt;=$A34)*(Events!$E$6:$E$174="Purchase")*(Events!$J$6:$J$174="Yes")*Events!$H$6:$H$174)</f>
        <v>0</v>
      </c>
      <c r="F34" s="56" t="n">
        <f aca="false">MAX(0,B34+C34+D34-E34)</f>
        <v>222.185100191401</v>
      </c>
      <c r="G34" s="56" t="n">
        <f aca="false">IF(OR($A34=1931,$A34=1932),cb_buy/2,0)</f>
        <v>0</v>
      </c>
      <c r="H34" s="56" t="n">
        <f aca="false">H33+G34</f>
        <v>0</v>
      </c>
      <c r="I34" s="56" t="n">
        <f aca="false">Economy!O34*money_ratio+H34</f>
        <v>46.9253558946071</v>
      </c>
      <c r="J34" s="56" t="n">
        <f aca="false">I34*gold_cover</f>
        <v>18.7701423578428</v>
      </c>
      <c r="K34" s="56" t="n">
        <f aca="false">F34-J34</f>
        <v>203.414957833559</v>
      </c>
      <c r="L34" s="66" t="n">
        <f aca="false">IF(I34&gt;0,F34/I34,0)</f>
        <v>4.73486233520365</v>
      </c>
      <c r="M34" s="66" t="n">
        <f aca="false">IF(Paths!AD34&gt;0,F34/Paths!AD34,0)</f>
        <v>0.0903191464192688</v>
      </c>
    </row>
    <row r="35" customFormat="false" ht="14.25" hidden="false" customHeight="false" outlineLevel="0" collapsed="false">
      <c r="A35" s="61" t="n">
        <v>1875</v>
      </c>
      <c r="B35" s="56" t="n">
        <f aca="false">F34</f>
        <v>222.185100191401</v>
      </c>
      <c r="C35" s="72" t="n">
        <f aca="false">Resources!R35</f>
        <v>12.4</v>
      </c>
      <c r="D35" s="56" t="n">
        <f aca="false">IF($A35&gt;=1850,Economy!O35*ext_gold,0)</f>
        <v>1.45243328928068</v>
      </c>
      <c r="E35" s="56" t="n">
        <f aca="false">SUMPRODUCT((Events!$B$6:$B$174&lt;=$A35)*(Events!$C$6:$C$174&gt;=$A35)*(Events!$E$6:$E$174="Loan")*(Events!$J$6:$J$174="Yes")*Events!$H$6:$H$174)+SUMPRODUCT((Events!$B$6:$B$174&lt;=$A35)*(Events!$C$6:$C$174&gt;=$A35)*(Events!$E$6:$E$174="Purchase")*(Events!$J$6:$J$174="Yes")*Events!$H$6:$H$174)</f>
        <v>0</v>
      </c>
      <c r="F35" s="56" t="n">
        <f aca="false">MAX(0,B35+C35+D35-E35)</f>
        <v>236.037533480682</v>
      </c>
      <c r="G35" s="56" t="n">
        <f aca="false">IF(OR($A35=1931,$A35=1932),cb_buy/2,0)</f>
        <v>0</v>
      </c>
      <c r="H35" s="56" t="n">
        <f aca="false">H34+G35</f>
        <v>0</v>
      </c>
      <c r="I35" s="56" t="n">
        <f aca="false">Economy!O35*money_ratio+H35</f>
        <v>50.8351651248236</v>
      </c>
      <c r="J35" s="56" t="n">
        <f aca="false">I35*gold_cover</f>
        <v>20.3340660499295</v>
      </c>
      <c r="K35" s="56" t="n">
        <f aca="false">F35-J35</f>
        <v>215.703467430753</v>
      </c>
      <c r="L35" s="66" t="n">
        <f aca="false">IF(I35&gt;0,F35/I35,0)</f>
        <v>4.64319399575278</v>
      </c>
      <c r="M35" s="66" t="n">
        <f aca="false">IF(Paths!AD35&gt;0,F35/Paths!AD35,0)</f>
        <v>0.093480211279478</v>
      </c>
    </row>
    <row r="36" customFormat="false" ht="14.25" hidden="false" customHeight="false" outlineLevel="0" collapsed="false">
      <c r="A36" s="61" t="n">
        <v>1876</v>
      </c>
      <c r="B36" s="56" t="n">
        <f aca="false">F35</f>
        <v>236.037533480682</v>
      </c>
      <c r="C36" s="72" t="n">
        <f aca="false">Resources!R36</f>
        <v>13.52</v>
      </c>
      <c r="D36" s="56" t="n">
        <f aca="false">IF($A36&gt;=1850,Economy!O36*ext_gold,0)</f>
        <v>1.58344016383271</v>
      </c>
      <c r="E36" s="56" t="n">
        <f aca="false">SUMPRODUCT((Events!$B$6:$B$174&lt;=$A36)*(Events!$C$6:$C$174&gt;=$A36)*(Events!$E$6:$E$174="Loan")*(Events!$J$6:$J$174="Yes")*Events!$H$6:$H$174)+SUMPRODUCT((Events!$B$6:$B$174&lt;=$A36)*(Events!$C$6:$C$174&gt;=$A36)*(Events!$E$6:$E$174="Purchase")*(Events!$J$6:$J$174="Yes")*Events!$H$6:$H$174)</f>
        <v>0</v>
      </c>
      <c r="F36" s="56" t="n">
        <f aca="false">MAX(0,B36+C36+D36-E36)</f>
        <v>251.140973644515</v>
      </c>
      <c r="G36" s="56" t="n">
        <f aca="false">IF(OR($A36=1931,$A36=1932),cb_buy/2,0)</f>
        <v>0</v>
      </c>
      <c r="H36" s="56" t="n">
        <f aca="false">H35+G36</f>
        <v>0</v>
      </c>
      <c r="I36" s="56" t="n">
        <f aca="false">Economy!O36*money_ratio+H36</f>
        <v>55.4204057341448</v>
      </c>
      <c r="J36" s="56" t="n">
        <f aca="false">I36*gold_cover</f>
        <v>22.1681622936579</v>
      </c>
      <c r="K36" s="56" t="n">
        <f aca="false">F36-J36</f>
        <v>228.972811350857</v>
      </c>
      <c r="L36" s="66" t="n">
        <f aca="false">IF(I36&gt;0,F36/I36,0)</f>
        <v>4.5315614405505</v>
      </c>
      <c r="M36" s="66" t="n">
        <f aca="false">IF(Paths!AD36&gt;0,F36/Paths!AD36,0)</f>
        <v>0.096965626889774</v>
      </c>
    </row>
    <row r="37" customFormat="false" ht="14.25" hidden="false" customHeight="false" outlineLevel="0" collapsed="false">
      <c r="A37" s="61" t="n">
        <v>1877</v>
      </c>
      <c r="B37" s="56" t="n">
        <f aca="false">F36</f>
        <v>251.140973644515</v>
      </c>
      <c r="C37" s="72" t="n">
        <f aca="false">Resources!R37</f>
        <v>14.64</v>
      </c>
      <c r="D37" s="56" t="n">
        <f aca="false">IF($A37&gt;=1850,Economy!O37*ext_gold,0)</f>
        <v>1.65809708685517</v>
      </c>
      <c r="E37" s="56" t="n">
        <f aca="false">SUMPRODUCT((Events!$B$6:$B$174&lt;=$A37)*(Events!$C$6:$C$174&gt;=$A37)*(Events!$E$6:$E$174="Loan")*(Events!$J$6:$J$174="Yes")*Events!$H$6:$H$174)+SUMPRODUCT((Events!$B$6:$B$174&lt;=$A37)*(Events!$C$6:$C$174&gt;=$A37)*(Events!$E$6:$E$174="Purchase")*(Events!$J$6:$J$174="Yes")*Events!$H$6:$H$174)</f>
        <v>0</v>
      </c>
      <c r="F37" s="56" t="n">
        <f aca="false">MAX(0,B37+C37+D37-E37)</f>
        <v>267.43907073137</v>
      </c>
      <c r="G37" s="56" t="n">
        <f aca="false">IF(OR($A37=1931,$A37=1932),cb_buy/2,0)</f>
        <v>0</v>
      </c>
      <c r="H37" s="56" t="n">
        <f aca="false">H36+G37</f>
        <v>0</v>
      </c>
      <c r="I37" s="56" t="n">
        <f aca="false">Economy!O37*money_ratio+H37</f>
        <v>58.0333980399309</v>
      </c>
      <c r="J37" s="56" t="n">
        <f aca="false">I37*gold_cover</f>
        <v>23.2133592159723</v>
      </c>
      <c r="K37" s="56" t="n">
        <f aca="false">F37-J37</f>
        <v>244.225711515398</v>
      </c>
      <c r="L37" s="66" t="n">
        <f aca="false">IF(I37&gt;0,F37/I37,0)</f>
        <v>4.60836483411421</v>
      </c>
      <c r="M37" s="66" t="n">
        <f aca="false">IF(Paths!AD37&gt;0,F37/Paths!AD37,0)</f>
        <v>0.100730346791476</v>
      </c>
    </row>
    <row r="38" customFormat="false" ht="14.25" hidden="false" customHeight="false" outlineLevel="0" collapsed="false">
      <c r="A38" s="61" t="n">
        <v>1878</v>
      </c>
      <c r="B38" s="56" t="n">
        <f aca="false">F37</f>
        <v>267.43907073137</v>
      </c>
      <c r="C38" s="72" t="n">
        <f aca="false">Resources!R38</f>
        <v>11.36</v>
      </c>
      <c r="D38" s="56" t="n">
        <f aca="false">IF($A38&gt;=1850,Economy!O38*ext_gold,0)</f>
        <v>1.7666326467907</v>
      </c>
      <c r="E38" s="56" t="n">
        <f aca="false">SUMPRODUCT((Events!$B$6:$B$174&lt;=$A38)*(Events!$C$6:$C$174&gt;=$A38)*(Events!$E$6:$E$174="Loan")*(Events!$J$6:$J$174="Yes")*Events!$H$6:$H$174)+SUMPRODUCT((Events!$B$6:$B$174&lt;=$A38)*(Events!$C$6:$C$174&gt;=$A38)*(Events!$E$6:$E$174="Purchase")*(Events!$J$6:$J$174="Yes")*Events!$H$6:$H$174)</f>
        <v>0</v>
      </c>
      <c r="F38" s="56" t="n">
        <f aca="false">MAX(0,B38+C38+D38-E38)</f>
        <v>280.565703378161</v>
      </c>
      <c r="G38" s="56" t="n">
        <f aca="false">IF(OR($A38=1931,$A38=1932),cb_buy/2,0)</f>
        <v>0</v>
      </c>
      <c r="H38" s="56" t="n">
        <f aca="false">H37+G38</f>
        <v>0</v>
      </c>
      <c r="I38" s="56" t="n">
        <f aca="false">Economy!O38*money_ratio+H38</f>
        <v>61.8321426376745</v>
      </c>
      <c r="J38" s="56" t="n">
        <f aca="false">I38*gold_cover</f>
        <v>24.7328570550698</v>
      </c>
      <c r="K38" s="56" t="n">
        <f aca="false">F38-J38</f>
        <v>255.832846323091</v>
      </c>
      <c r="L38" s="66" t="n">
        <f aca="false">IF(I38&gt;0,F38/I38,0)</f>
        <v>4.53753810574262</v>
      </c>
      <c r="M38" s="66" t="n">
        <f aca="false">IF(Paths!AD38&gt;0,F38/Paths!AD38,0)</f>
        <v>0.103149155653736</v>
      </c>
    </row>
    <row r="39" customFormat="false" ht="14.25" hidden="false" customHeight="false" outlineLevel="0" collapsed="false">
      <c r="A39" s="61" t="n">
        <v>1879</v>
      </c>
      <c r="B39" s="56" t="n">
        <f aca="false">F38</f>
        <v>280.565703378161</v>
      </c>
      <c r="C39" s="72" t="n">
        <f aca="false">Resources!R39</f>
        <v>8.88</v>
      </c>
      <c r="D39" s="56" t="n">
        <f aca="false">IF($A39&gt;=1850,Economy!O39*ext_gold,0)</f>
        <v>1.85240527075223</v>
      </c>
      <c r="E39" s="56" t="n">
        <f aca="false">SUMPRODUCT((Events!$B$6:$B$174&lt;=$A39)*(Events!$C$6:$C$174&gt;=$A39)*(Events!$E$6:$E$174="Loan")*(Events!$J$6:$J$174="Yes")*Events!$H$6:$H$174)+SUMPRODUCT((Events!$B$6:$B$174&lt;=$A39)*(Events!$C$6:$C$174&gt;=$A39)*(Events!$E$6:$E$174="Purchase")*(Events!$J$6:$J$174="Yes")*Events!$H$6:$H$174)</f>
        <v>0</v>
      </c>
      <c r="F39" s="56" t="n">
        <f aca="false">MAX(0,B39+C39+D39-E39)</f>
        <v>291.298108648913</v>
      </c>
      <c r="G39" s="56" t="n">
        <f aca="false">IF(OR($A39=1931,$A39=1932),cb_buy/2,0)</f>
        <v>0</v>
      </c>
      <c r="H39" s="56" t="n">
        <f aca="false">H38+G39</f>
        <v>0</v>
      </c>
      <c r="I39" s="56" t="n">
        <f aca="false">Economy!O39*money_ratio+H39</f>
        <v>64.8341844763282</v>
      </c>
      <c r="J39" s="56" t="n">
        <f aca="false">I39*gold_cover</f>
        <v>25.9336737905313</v>
      </c>
      <c r="K39" s="56" t="n">
        <f aca="false">F39-J39</f>
        <v>265.364434858382</v>
      </c>
      <c r="L39" s="66" t="n">
        <f aca="false">IF(I39&gt;0,F39/I39,0)</f>
        <v>4.49297096896884</v>
      </c>
      <c r="M39" s="66" t="n">
        <f aca="false">IF(Paths!AD39&gt;0,F39/Paths!AD39,0)</f>
        <v>0.104595371148622</v>
      </c>
    </row>
    <row r="40" customFormat="false" ht="14.25" hidden="false" customHeight="false" outlineLevel="0" collapsed="false">
      <c r="A40" s="61" t="n">
        <v>1880</v>
      </c>
      <c r="B40" s="56" t="n">
        <f aca="false">F39</f>
        <v>291.298108648913</v>
      </c>
      <c r="C40" s="72" t="n">
        <f aca="false">Resources!R40</f>
        <v>8.42</v>
      </c>
      <c r="D40" s="56" t="n">
        <f aca="false">IF($A40&gt;=1850,Economy!O40*ext_gold,0)</f>
        <v>1.95695454986172</v>
      </c>
      <c r="E40" s="56" t="n">
        <f aca="false">SUMPRODUCT((Events!$B$6:$B$174&lt;=$A40)*(Events!$C$6:$C$174&gt;=$A40)*(Events!$E$6:$E$174="Loan")*(Events!$J$6:$J$174="Yes")*Events!$H$6:$H$174)+SUMPRODUCT((Events!$B$6:$B$174&lt;=$A40)*(Events!$C$6:$C$174&gt;=$A40)*(Events!$E$6:$E$174="Purchase")*(Events!$J$6:$J$174="Yes")*Events!$H$6:$H$174)</f>
        <v>10</v>
      </c>
      <c r="F40" s="56" t="n">
        <f aca="false">MAX(0,B40+C40+D40-E40)</f>
        <v>291.675063198775</v>
      </c>
      <c r="G40" s="56" t="n">
        <f aca="false">IF(OR($A40=1931,$A40=1932),cb_buy/2,0)</f>
        <v>0</v>
      </c>
      <c r="H40" s="56" t="n">
        <f aca="false">H39+G40</f>
        <v>0</v>
      </c>
      <c r="I40" s="56" t="n">
        <f aca="false">Economy!O40*money_ratio+H40</f>
        <v>68.4934092451601</v>
      </c>
      <c r="J40" s="56" t="n">
        <f aca="false">I40*gold_cover</f>
        <v>27.397363698064</v>
      </c>
      <c r="K40" s="56" t="n">
        <f aca="false">F40-J40</f>
        <v>264.277699500711</v>
      </c>
      <c r="L40" s="66" t="n">
        <f aca="false">IF(I40&gt;0,F40/I40,0)</f>
        <v>4.25843984717968</v>
      </c>
      <c r="M40" s="66" t="n">
        <f aca="false">IF(Paths!AD40&gt;0,F40/Paths!AD40,0)</f>
        <v>0.102342127438167</v>
      </c>
    </row>
    <row r="41" customFormat="false" ht="14.25" hidden="false" customHeight="false" outlineLevel="0" collapsed="false">
      <c r="A41" s="61" t="n">
        <v>1881</v>
      </c>
      <c r="B41" s="56" t="n">
        <f aca="false">F40</f>
        <v>291.675063198775</v>
      </c>
      <c r="C41" s="72" t="n">
        <f aca="false">Resources!R41</f>
        <v>8.156</v>
      </c>
      <c r="D41" s="56" t="n">
        <f aca="false">IF($A41&gt;=1850,Economy!O41*ext_gold,0)</f>
        <v>2.07950186132025</v>
      </c>
      <c r="E41" s="56" t="n">
        <f aca="false">SUMPRODUCT((Events!$B$6:$B$174&lt;=$A41)*(Events!$C$6:$C$174&gt;=$A41)*(Events!$E$6:$E$174="Loan")*(Events!$J$6:$J$174="Yes")*Events!$H$6:$H$174)+SUMPRODUCT((Events!$B$6:$B$174&lt;=$A41)*(Events!$C$6:$C$174&gt;=$A41)*(Events!$E$6:$E$174="Purchase")*(Events!$J$6:$J$174="Yes")*Events!$H$6:$H$174)</f>
        <v>0</v>
      </c>
      <c r="F41" s="56" t="n">
        <f aca="false">MAX(0,B41+C41+D41-E41)</f>
        <v>301.910565060095</v>
      </c>
      <c r="G41" s="56" t="n">
        <f aca="false">IF(OR($A41=1931,$A41=1932),cb_buy/2,0)</f>
        <v>0</v>
      </c>
      <c r="H41" s="56" t="n">
        <f aca="false">H40+G41</f>
        <v>0</v>
      </c>
      <c r="I41" s="56" t="n">
        <f aca="false">Economy!O41*money_ratio+H41</f>
        <v>72.7825651462088</v>
      </c>
      <c r="J41" s="56" t="n">
        <f aca="false">I41*gold_cover</f>
        <v>29.1130260584835</v>
      </c>
      <c r="K41" s="56" t="n">
        <f aca="false">F41-J41</f>
        <v>272.797539001611</v>
      </c>
      <c r="L41" s="66" t="n">
        <f aca="false">IF(I41&gt;0,F41/I41,0)</f>
        <v>4.14811657783157</v>
      </c>
      <c r="M41" s="66" t="n">
        <f aca="false">IF(Paths!AD41&gt;0,F41/Paths!AD41,0)</f>
        <v>0.103571377379106</v>
      </c>
    </row>
    <row r="42" customFormat="false" ht="14.25" hidden="false" customHeight="false" outlineLevel="0" collapsed="false">
      <c r="A42" s="61" t="n">
        <v>1882</v>
      </c>
      <c r="B42" s="56" t="n">
        <f aca="false">F41</f>
        <v>301.910565060095</v>
      </c>
      <c r="C42" s="72" t="n">
        <f aca="false">Resources!R42</f>
        <v>7.892</v>
      </c>
      <c r="D42" s="56" t="n">
        <f aca="false">IF($A42&gt;=1850,Economy!O42*ext_gold,0)</f>
        <v>2.20099351030985</v>
      </c>
      <c r="E42" s="56" t="n">
        <f aca="false">SUMPRODUCT((Events!$B$6:$B$174&lt;=$A42)*(Events!$C$6:$C$174&gt;=$A42)*(Events!$E$6:$E$174="Loan")*(Events!$J$6:$J$174="Yes")*Events!$H$6:$H$174)+SUMPRODUCT((Events!$B$6:$B$174&lt;=$A42)*(Events!$C$6:$C$174&gt;=$A42)*(Events!$E$6:$E$174="Purchase")*(Events!$J$6:$J$174="Yes")*Events!$H$6:$H$174)</f>
        <v>0</v>
      </c>
      <c r="F42" s="56" t="n">
        <f aca="false">MAX(0,B42+C42+D42-E42)</f>
        <v>312.003558570405</v>
      </c>
      <c r="G42" s="56" t="n">
        <f aca="false">IF(OR($A42=1931,$A42=1932),cb_buy/2,0)</f>
        <v>0</v>
      </c>
      <c r="H42" s="56" t="n">
        <f aca="false">H41+G42</f>
        <v>0</v>
      </c>
      <c r="I42" s="56" t="n">
        <f aca="false">Economy!O42*money_ratio+H42</f>
        <v>77.0347728608448</v>
      </c>
      <c r="J42" s="56" t="n">
        <f aca="false">I42*gold_cover</f>
        <v>30.8139091443379</v>
      </c>
      <c r="K42" s="56" t="n">
        <f aca="false">F42-J42</f>
        <v>281.189649426067</v>
      </c>
      <c r="L42" s="66" t="n">
        <f aca="false">IF(I42&gt;0,F42/I42,0)</f>
        <v>4.05016523036949</v>
      </c>
      <c r="M42" s="66" t="n">
        <f aca="false">IF(Paths!AD42&gt;0,F42/Paths!AD42,0)</f>
        <v>0.104699180728324</v>
      </c>
    </row>
    <row r="43" customFormat="false" ht="14.25" hidden="false" customHeight="false" outlineLevel="0" collapsed="false">
      <c r="A43" s="61" t="n">
        <v>1883</v>
      </c>
      <c r="B43" s="56" t="n">
        <f aca="false">F42</f>
        <v>312.003558570405</v>
      </c>
      <c r="C43" s="72" t="n">
        <f aca="false">Resources!R43</f>
        <v>7.628</v>
      </c>
      <c r="D43" s="56" t="n">
        <f aca="false">IF($A43&gt;=1850,Economy!O43*ext_gold,0)</f>
        <v>2.32670713447444</v>
      </c>
      <c r="E43" s="56" t="n">
        <f aca="false">SUMPRODUCT((Events!$B$6:$B$174&lt;=$A43)*(Events!$C$6:$C$174&gt;=$A43)*(Events!$E$6:$E$174="Loan")*(Events!$J$6:$J$174="Yes")*Events!$H$6:$H$174)+SUMPRODUCT((Events!$B$6:$B$174&lt;=$A43)*(Events!$C$6:$C$174&gt;=$A43)*(Events!$E$6:$E$174="Purchase")*(Events!$J$6:$J$174="Yes")*Events!$H$6:$H$174)</f>
        <v>0</v>
      </c>
      <c r="F43" s="56" t="n">
        <f aca="false">MAX(0,B43+C43+D43-E43)</f>
        <v>321.958265704879</v>
      </c>
      <c r="G43" s="56" t="n">
        <f aca="false">IF(OR($A43=1931,$A43=1932),cb_buy/2,0)</f>
        <v>0</v>
      </c>
      <c r="H43" s="56" t="n">
        <f aca="false">H42+G43</f>
        <v>0</v>
      </c>
      <c r="I43" s="56" t="n">
        <f aca="false">Economy!O43*money_ratio+H43</f>
        <v>81.4347497066054</v>
      </c>
      <c r="J43" s="56" t="n">
        <f aca="false">I43*gold_cover</f>
        <v>32.5738998826422</v>
      </c>
      <c r="K43" s="56" t="n">
        <f aca="false">F43-J43</f>
        <v>289.384365822237</v>
      </c>
      <c r="L43" s="66" t="n">
        <f aca="false">IF(I43&gt;0,F43/I43,0)</f>
        <v>3.95357346666916</v>
      </c>
      <c r="M43" s="66" t="n">
        <f aca="false">IF(Paths!AD43&gt;0,F43/Paths!AD43,0)</f>
        <v>0.105733420592735</v>
      </c>
    </row>
    <row r="44" customFormat="false" ht="14.25" hidden="false" customHeight="false" outlineLevel="0" collapsed="false">
      <c r="A44" s="61" t="n">
        <v>1884</v>
      </c>
      <c r="B44" s="56" t="n">
        <f aca="false">F43</f>
        <v>321.958265704879</v>
      </c>
      <c r="C44" s="72" t="n">
        <f aca="false">Resources!R44</f>
        <v>7.364</v>
      </c>
      <c r="D44" s="56" t="n">
        <f aca="false">IF($A44&gt;=1850,Economy!O44*ext_gold,0)</f>
        <v>2.40957571108106</v>
      </c>
      <c r="E44" s="56" t="n">
        <f aca="false">SUMPRODUCT((Events!$B$6:$B$174&lt;=$A44)*(Events!$C$6:$C$174&gt;=$A44)*(Events!$E$6:$E$174="Loan")*(Events!$J$6:$J$174="Yes")*Events!$H$6:$H$174)+SUMPRODUCT((Events!$B$6:$B$174&lt;=$A44)*(Events!$C$6:$C$174&gt;=$A44)*(Events!$E$6:$E$174="Purchase")*(Events!$J$6:$J$174="Yes")*Events!$H$6:$H$174)</f>
        <v>0</v>
      </c>
      <c r="F44" s="56" t="n">
        <f aca="false">MAX(0,B44+C44+D44-E44)</f>
        <v>331.73184141596</v>
      </c>
      <c r="G44" s="56" t="n">
        <f aca="false">IF(OR($A44=1931,$A44=1932),cb_buy/2,0)</f>
        <v>0</v>
      </c>
      <c r="H44" s="56" t="n">
        <f aca="false">H43+G44</f>
        <v>0</v>
      </c>
      <c r="I44" s="56" t="n">
        <f aca="false">Economy!O44*money_ratio+H44</f>
        <v>84.3351498878373</v>
      </c>
      <c r="J44" s="56" t="n">
        <f aca="false">I44*gold_cover</f>
        <v>33.7340599551349</v>
      </c>
      <c r="K44" s="56" t="n">
        <f aca="false">F44-J44</f>
        <v>297.997781460825</v>
      </c>
      <c r="L44" s="66" t="n">
        <f aca="false">IF(I44&gt;0,F44/I44,0)</f>
        <v>3.93349441907854</v>
      </c>
      <c r="M44" s="66" t="n">
        <f aca="false">IF(Paths!AD44&gt;0,F44/Paths!AD44,0)</f>
        <v>0.106666186950469</v>
      </c>
    </row>
    <row r="45" customFormat="false" ht="14.25" hidden="false" customHeight="false" outlineLevel="0" collapsed="false">
      <c r="A45" s="61" t="n">
        <v>1885</v>
      </c>
      <c r="B45" s="56" t="n">
        <f aca="false">F44</f>
        <v>331.73184141596</v>
      </c>
      <c r="C45" s="72" t="n">
        <f aca="false">Resources!R45</f>
        <v>7.1</v>
      </c>
      <c r="D45" s="56" t="n">
        <f aca="false">IF($A45&gt;=1850,Economy!O45*ext_gold,0)</f>
        <v>2.5459035042978</v>
      </c>
      <c r="E45" s="56" t="n">
        <f aca="false">SUMPRODUCT((Events!$B$6:$B$174&lt;=$A45)*(Events!$C$6:$C$174&gt;=$A45)*(Events!$E$6:$E$174="Loan")*(Events!$J$6:$J$174="Yes")*Events!$H$6:$H$174)+SUMPRODUCT((Events!$B$6:$B$174&lt;=$A45)*(Events!$C$6:$C$174&gt;=$A45)*(Events!$E$6:$E$174="Purchase")*(Events!$J$6:$J$174="Yes")*Events!$H$6:$H$174)</f>
        <v>0</v>
      </c>
      <c r="F45" s="56" t="n">
        <f aca="false">MAX(0,B45+C45+D45-E45)</f>
        <v>341.377744920258</v>
      </c>
      <c r="G45" s="56" t="n">
        <f aca="false">IF(OR($A45=1931,$A45=1932),cb_buy/2,0)</f>
        <v>0</v>
      </c>
      <c r="H45" s="56" t="n">
        <f aca="false">H44+G45</f>
        <v>0</v>
      </c>
      <c r="I45" s="56" t="n">
        <f aca="false">Economy!O45*money_ratio+H45</f>
        <v>89.1066226504229</v>
      </c>
      <c r="J45" s="56" t="n">
        <f aca="false">I45*gold_cover</f>
        <v>35.6426490601692</v>
      </c>
      <c r="K45" s="56" t="n">
        <f aca="false">F45-J45</f>
        <v>305.735095860089</v>
      </c>
      <c r="L45" s="66" t="n">
        <f aca="false">IF(I45&gt;0,F45/I45,0)</f>
        <v>3.83111529498237</v>
      </c>
      <c r="M45" s="66" t="n">
        <f aca="false">IF(Paths!AD45&gt;0,F45/Paths!AD45,0)</f>
        <v>0.107520549581184</v>
      </c>
    </row>
    <row r="46" customFormat="false" ht="14.25" hidden="false" customHeight="false" outlineLevel="0" collapsed="false">
      <c r="A46" s="61" t="n">
        <v>1886</v>
      </c>
      <c r="B46" s="56" t="n">
        <f aca="false">F45</f>
        <v>341.377744920258</v>
      </c>
      <c r="C46" s="72" t="n">
        <f aca="false">Resources!R46</f>
        <v>7.2</v>
      </c>
      <c r="D46" s="56" t="n">
        <f aca="false">IF($A46&gt;=1850,Economy!O46*ext_gold,0)</f>
        <v>2.77610925921424</v>
      </c>
      <c r="E46" s="56" t="n">
        <f aca="false">SUMPRODUCT((Events!$B$6:$B$174&lt;=$A46)*(Events!$C$6:$C$174&gt;=$A46)*(Events!$E$6:$E$174="Loan")*(Events!$J$6:$J$174="Yes")*Events!$H$6:$H$174)+SUMPRODUCT((Events!$B$6:$B$174&lt;=$A46)*(Events!$C$6:$C$174&gt;=$A46)*(Events!$E$6:$E$174="Purchase")*(Events!$J$6:$J$174="Yes")*Events!$H$6:$H$174)</f>
        <v>0</v>
      </c>
      <c r="F46" s="56" t="n">
        <f aca="false">MAX(0,B46+C46+D46-E46)</f>
        <v>351.353854179472</v>
      </c>
      <c r="G46" s="56" t="n">
        <f aca="false">IF(OR($A46=1931,$A46=1932),cb_buy/2,0)</f>
        <v>0</v>
      </c>
      <c r="H46" s="56" t="n">
        <f aca="false">H45+G46</f>
        <v>0</v>
      </c>
      <c r="I46" s="56" t="n">
        <f aca="false">Economy!O46*money_ratio+H46</f>
        <v>97.1638240724983</v>
      </c>
      <c r="J46" s="56" t="n">
        <f aca="false">I46*gold_cover</f>
        <v>38.8655296289993</v>
      </c>
      <c r="K46" s="56" t="n">
        <f aca="false">F46-J46</f>
        <v>312.488324550473</v>
      </c>
      <c r="L46" s="66" t="n">
        <f aca="false">IF(I46&gt;0,F46/I46,0)</f>
        <v>3.61609742652071</v>
      </c>
      <c r="M46" s="66" t="n">
        <f aca="false">IF(Paths!AD46&gt;0,F46/Paths!AD46,0)</f>
        <v>0.108442547586257</v>
      </c>
    </row>
    <row r="47" customFormat="false" ht="14.25" hidden="false" customHeight="false" outlineLevel="0" collapsed="false">
      <c r="A47" s="61" t="n">
        <v>1887</v>
      </c>
      <c r="B47" s="56" t="n">
        <f aca="false">F46</f>
        <v>351.353854179472</v>
      </c>
      <c r="C47" s="72" t="n">
        <f aca="false">Resources!R47</f>
        <v>7.3</v>
      </c>
      <c r="D47" s="56" t="n">
        <f aca="false">IF($A47&gt;=1850,Economy!O47*ext_gold,0)</f>
        <v>2.97268400250681</v>
      </c>
      <c r="E47" s="56" t="n">
        <f aca="false">SUMPRODUCT((Events!$B$6:$B$174&lt;=$A47)*(Events!$C$6:$C$174&gt;=$A47)*(Events!$E$6:$E$174="Loan")*(Events!$J$6:$J$174="Yes")*Events!$H$6:$H$174)+SUMPRODUCT((Events!$B$6:$B$174&lt;=$A47)*(Events!$C$6:$C$174&gt;=$A47)*(Events!$E$6:$E$174="Purchase")*(Events!$J$6:$J$174="Yes")*Events!$H$6:$H$174)</f>
        <v>0</v>
      </c>
      <c r="F47" s="56" t="n">
        <f aca="false">MAX(0,B47+C47+D47-E47)</f>
        <v>361.626538181979</v>
      </c>
      <c r="G47" s="56" t="n">
        <f aca="false">IF(OR($A47=1931,$A47=1932),cb_buy/2,0)</f>
        <v>0</v>
      </c>
      <c r="H47" s="56" t="n">
        <f aca="false">H46+G47</f>
        <v>0</v>
      </c>
      <c r="I47" s="56" t="n">
        <f aca="false">Economy!O47*money_ratio+H47</f>
        <v>104.043940087738</v>
      </c>
      <c r="J47" s="56" t="n">
        <f aca="false">I47*gold_cover</f>
        <v>41.6175760350954</v>
      </c>
      <c r="K47" s="56" t="n">
        <f aca="false">F47-J47</f>
        <v>320.008962146884</v>
      </c>
      <c r="L47" s="66" t="n">
        <f aca="false">IF(I47&gt;0,F47/I47,0)</f>
        <v>3.47570976144335</v>
      </c>
      <c r="M47" s="66" t="n">
        <f aca="false">IF(Paths!AD47&gt;0,F47/Paths!AD47,0)</f>
        <v>0.109418014578511</v>
      </c>
    </row>
    <row r="48" customFormat="false" ht="14.25" hidden="false" customHeight="false" outlineLevel="0" collapsed="false">
      <c r="A48" s="61" t="n">
        <v>1888</v>
      </c>
      <c r="B48" s="56" t="n">
        <f aca="false">F47</f>
        <v>361.626538181979</v>
      </c>
      <c r="C48" s="72" t="n">
        <f aca="false">Resources!R48</f>
        <v>7.4</v>
      </c>
      <c r="D48" s="56" t="n">
        <f aca="false">IF($A48&gt;=1850,Economy!O48*ext_gold,0)</f>
        <v>3.1971487593642</v>
      </c>
      <c r="E48" s="56" t="n">
        <f aca="false">SUMPRODUCT((Events!$B$6:$B$174&lt;=$A48)*(Events!$C$6:$C$174&gt;=$A48)*(Events!$E$6:$E$174="Loan")*(Events!$J$6:$J$174="Yes")*Events!$H$6:$H$174)+SUMPRODUCT((Events!$B$6:$B$174&lt;=$A48)*(Events!$C$6:$C$174&gt;=$A48)*(Events!$E$6:$E$174="Purchase")*(Events!$J$6:$J$174="Yes")*Events!$H$6:$H$174)</f>
        <v>0</v>
      </c>
      <c r="F48" s="56" t="n">
        <f aca="false">MAX(0,B48+C48+D48-E48)</f>
        <v>372.223686941343</v>
      </c>
      <c r="G48" s="56" t="n">
        <f aca="false">IF(OR($A48=1931,$A48=1932),cb_buy/2,0)</f>
        <v>0</v>
      </c>
      <c r="H48" s="56" t="n">
        <f aca="false">H47+G48</f>
        <v>0</v>
      </c>
      <c r="I48" s="56" t="n">
        <f aca="false">Economy!O48*money_ratio+H48</f>
        <v>111.900206577747</v>
      </c>
      <c r="J48" s="56" t="n">
        <f aca="false">I48*gold_cover</f>
        <v>44.7600826310989</v>
      </c>
      <c r="K48" s="56" t="n">
        <f aca="false">F48-J48</f>
        <v>327.463604310244</v>
      </c>
      <c r="L48" s="66" t="n">
        <f aca="false">IF(I48&gt;0,F48/I48,0)</f>
        <v>3.32638963166458</v>
      </c>
      <c r="M48" s="66" t="n">
        <f aca="false">IF(Paths!AD48&gt;0,F48/Paths!AD48,0)</f>
        <v>0.110452132623544</v>
      </c>
    </row>
    <row r="49" customFormat="false" ht="14.25" hidden="false" customHeight="false" outlineLevel="0" collapsed="false">
      <c r="A49" s="61" t="n">
        <v>1889</v>
      </c>
      <c r="B49" s="56" t="n">
        <f aca="false">F48</f>
        <v>372.223686941343</v>
      </c>
      <c r="C49" s="72" t="n">
        <f aca="false">Resources!R49</f>
        <v>7.5</v>
      </c>
      <c r="D49" s="56" t="n">
        <f aca="false">IF($A49&gt;=1850,Economy!O49*ext_gold,0)</f>
        <v>3.41420482980766</v>
      </c>
      <c r="E49" s="56" t="n">
        <f aca="false">SUMPRODUCT((Events!$B$6:$B$174&lt;=$A49)*(Events!$C$6:$C$174&gt;=$A49)*(Events!$E$6:$E$174="Loan")*(Events!$J$6:$J$174="Yes")*Events!$H$6:$H$174)+SUMPRODUCT((Events!$B$6:$B$174&lt;=$A49)*(Events!$C$6:$C$174&gt;=$A49)*(Events!$E$6:$E$174="Purchase")*(Events!$J$6:$J$174="Yes")*Events!$H$6:$H$174)</f>
        <v>30</v>
      </c>
      <c r="F49" s="56" t="n">
        <f aca="false">MAX(0,B49+C49+D49-E49)</f>
        <v>353.137891771151</v>
      </c>
      <c r="G49" s="56" t="n">
        <f aca="false">IF(OR($A49=1931,$A49=1932),cb_buy/2,0)</f>
        <v>0</v>
      </c>
      <c r="H49" s="56" t="n">
        <f aca="false">H48+G49</f>
        <v>0</v>
      </c>
      <c r="I49" s="56" t="n">
        <f aca="false">Economy!O49*money_ratio+H49</f>
        <v>119.497169043268</v>
      </c>
      <c r="J49" s="56" t="n">
        <f aca="false">I49*gold_cover</f>
        <v>47.7988676173073</v>
      </c>
      <c r="K49" s="56" t="n">
        <f aca="false">F49-J49</f>
        <v>305.339024153844</v>
      </c>
      <c r="L49" s="66" t="n">
        <f aca="false">IF(I49&gt;0,F49/I49,0)</f>
        <v>2.95519881013486</v>
      </c>
      <c r="M49" s="66" t="n">
        <f aca="false">IF(Paths!AD49&gt;0,F49/Paths!AD49,0)</f>
        <v>0.102805790908632</v>
      </c>
    </row>
    <row r="50" customFormat="false" ht="14.25" hidden="false" customHeight="false" outlineLevel="0" collapsed="false">
      <c r="A50" s="61" t="n">
        <v>1890</v>
      </c>
      <c r="B50" s="56" t="n">
        <f aca="false">F49</f>
        <v>353.137891771151</v>
      </c>
      <c r="C50" s="72" t="n">
        <f aca="false">Resources!R50</f>
        <v>7.6</v>
      </c>
      <c r="D50" s="56" t="n">
        <f aca="false">IF($A50&gt;=1850,Economy!O50*ext_gold,0)</f>
        <v>3.71634799475464</v>
      </c>
      <c r="E50" s="56" t="n">
        <f aca="false">SUMPRODUCT((Events!$B$6:$B$174&lt;=$A50)*(Events!$C$6:$C$174&gt;=$A50)*(Events!$E$6:$E$174="Loan")*(Events!$J$6:$J$174="Yes")*Events!$H$6:$H$174)+SUMPRODUCT((Events!$B$6:$B$174&lt;=$A50)*(Events!$C$6:$C$174&gt;=$A50)*(Events!$E$6:$E$174="Purchase")*(Events!$J$6:$J$174="Yes")*Events!$H$6:$H$174)</f>
        <v>1.5</v>
      </c>
      <c r="F50" s="56" t="n">
        <f aca="false">MAX(0,B50+C50+D50-E50)</f>
        <v>362.954239765906</v>
      </c>
      <c r="G50" s="56" t="n">
        <f aca="false">IF(OR($A50=1931,$A50=1932),cb_buy/2,0)</f>
        <v>0</v>
      </c>
      <c r="H50" s="56" t="n">
        <f aca="false">H49+G50</f>
        <v>0</v>
      </c>
      <c r="I50" s="56" t="n">
        <f aca="false">Economy!O50*money_ratio+H50</f>
        <v>130.072179816413</v>
      </c>
      <c r="J50" s="56" t="n">
        <f aca="false">I50*gold_cover</f>
        <v>52.028871926565</v>
      </c>
      <c r="K50" s="56" t="n">
        <f aca="false">F50-J50</f>
        <v>310.925367839341</v>
      </c>
      <c r="L50" s="66" t="n">
        <f aca="false">IF(I50&gt;0,F50/I50,0)</f>
        <v>2.79040637496957</v>
      </c>
      <c r="M50" s="66" t="n">
        <f aca="false">IF(Paths!AD50&gt;0,F50/Paths!AD50,0)</f>
        <v>0.103701211361687</v>
      </c>
    </row>
    <row r="51" customFormat="false" ht="14.25" hidden="false" customHeight="false" outlineLevel="0" collapsed="false">
      <c r="A51" s="61" t="n">
        <v>1891</v>
      </c>
      <c r="B51" s="56" t="n">
        <f aca="false">F50</f>
        <v>362.954239765906</v>
      </c>
      <c r="C51" s="72" t="n">
        <f aca="false">Resources!R51</f>
        <v>7.64</v>
      </c>
      <c r="D51" s="56" t="n">
        <f aca="false">IF($A51&gt;=1850,Economy!O51*ext_gold,0)</f>
        <v>3.99503897192383</v>
      </c>
      <c r="E51" s="56" t="n">
        <f aca="false">SUMPRODUCT((Events!$B$6:$B$174&lt;=$A51)*(Events!$C$6:$C$174&gt;=$A51)*(Events!$E$6:$E$174="Loan")*(Events!$J$6:$J$174="Yes")*Events!$H$6:$H$174)+SUMPRODUCT((Events!$B$6:$B$174&lt;=$A51)*(Events!$C$6:$C$174&gt;=$A51)*(Events!$E$6:$E$174="Purchase")*(Events!$J$6:$J$174="Yes")*Events!$H$6:$H$174)</f>
        <v>1.5</v>
      </c>
      <c r="F51" s="56" t="n">
        <f aca="false">MAX(0,B51+C51+D51-E51)</f>
        <v>373.089278737829</v>
      </c>
      <c r="G51" s="56" t="n">
        <f aca="false">IF(OR($A51=1931,$A51=1932),cb_buy/2,0)</f>
        <v>0</v>
      </c>
      <c r="H51" s="56" t="n">
        <f aca="false">H50+G51</f>
        <v>0</v>
      </c>
      <c r="I51" s="56" t="n">
        <f aca="false">Economy!O51*money_ratio+H51</f>
        <v>139.826364017334</v>
      </c>
      <c r="J51" s="56" t="n">
        <f aca="false">I51*gold_cover</f>
        <v>55.9305456069337</v>
      </c>
      <c r="K51" s="56" t="n">
        <f aca="false">F51-J51</f>
        <v>317.158733130896</v>
      </c>
      <c r="L51" s="66" t="n">
        <f aca="false">IF(I51&gt;0,F51/I51,0)</f>
        <v>2.66823271390779</v>
      </c>
      <c r="M51" s="66" t="n">
        <f aca="false">IF(Paths!AD51&gt;0,F51/Paths!AD51,0)</f>
        <v>0.102779415630256</v>
      </c>
    </row>
    <row r="52" customFormat="false" ht="14.25" hidden="false" customHeight="false" outlineLevel="0" collapsed="false">
      <c r="A52" s="61" t="n">
        <v>1892</v>
      </c>
      <c r="B52" s="56" t="n">
        <f aca="false">F51</f>
        <v>373.089278737829</v>
      </c>
      <c r="C52" s="72" t="n">
        <f aca="false">Resources!R52</f>
        <v>7.68</v>
      </c>
      <c r="D52" s="56" t="n">
        <f aca="false">IF($A52&gt;=1850,Economy!O52*ext_gold,0)</f>
        <v>4.2837205828906</v>
      </c>
      <c r="E52" s="56" t="n">
        <f aca="false">SUMPRODUCT((Events!$B$6:$B$174&lt;=$A52)*(Events!$C$6:$C$174&gt;=$A52)*(Events!$E$6:$E$174="Loan")*(Events!$J$6:$J$174="Yes")*Events!$H$6:$H$174)+SUMPRODUCT((Events!$B$6:$B$174&lt;=$A52)*(Events!$C$6:$C$174&gt;=$A52)*(Events!$E$6:$E$174="Purchase")*(Events!$J$6:$J$174="Yes")*Events!$H$6:$H$174)</f>
        <v>0</v>
      </c>
      <c r="F52" s="56" t="n">
        <f aca="false">MAX(0,B52+C52+D52-E52)</f>
        <v>385.05299932072</v>
      </c>
      <c r="G52" s="56" t="n">
        <f aca="false">IF(OR($A52=1931,$A52=1932),cb_buy/2,0)</f>
        <v>0</v>
      </c>
      <c r="H52" s="56" t="n">
        <f aca="false">H51+G52</f>
        <v>0</v>
      </c>
      <c r="I52" s="56" t="n">
        <f aca="false">Economy!O52*money_ratio+H52</f>
        <v>149.930220401171</v>
      </c>
      <c r="J52" s="56" t="n">
        <f aca="false">I52*gold_cover</f>
        <v>59.9720881604684</v>
      </c>
      <c r="K52" s="56" t="n">
        <f aca="false">F52-J52</f>
        <v>325.080911160252</v>
      </c>
      <c r="L52" s="66" t="n">
        <f aca="false">IF(I52&gt;0,F52/I52,0)</f>
        <v>2.56821472209156</v>
      </c>
      <c r="M52" s="66" t="n">
        <f aca="false">IF(Paths!AD52&gt;0,F52/Paths!AD52,0)</f>
        <v>0.102407712585298</v>
      </c>
    </row>
    <row r="53" customFormat="false" ht="14.25" hidden="false" customHeight="false" outlineLevel="0" collapsed="false">
      <c r="A53" s="61" t="n">
        <v>1893</v>
      </c>
      <c r="B53" s="56" t="n">
        <f aca="false">F52</f>
        <v>385.05299932072</v>
      </c>
      <c r="C53" s="72" t="n">
        <f aca="false">Resources!R53</f>
        <v>7.72</v>
      </c>
      <c r="D53" s="56" t="n">
        <f aca="false">IF($A53&gt;=1850,Economy!O53*ext_gold,0)</f>
        <v>4.36004095935888</v>
      </c>
      <c r="E53" s="56" t="n">
        <f aca="false">SUMPRODUCT((Events!$B$6:$B$174&lt;=$A53)*(Events!$C$6:$C$174&gt;=$A53)*(Events!$E$6:$E$174="Loan")*(Events!$J$6:$J$174="Yes")*Events!$H$6:$H$174)+SUMPRODUCT((Events!$B$6:$B$174&lt;=$A53)*(Events!$C$6:$C$174&gt;=$A53)*(Events!$E$6:$E$174="Purchase")*(Events!$J$6:$J$174="Yes")*Events!$H$6:$H$174)</f>
        <v>0</v>
      </c>
      <c r="F53" s="56" t="n">
        <f aca="false">MAX(0,B53+C53+D53-E53)</f>
        <v>397.133040280079</v>
      </c>
      <c r="G53" s="56" t="n">
        <f aca="false">IF(OR($A53=1931,$A53=1932),cb_buy/2,0)</f>
        <v>0</v>
      </c>
      <c r="H53" s="56" t="n">
        <f aca="false">H52+G53</f>
        <v>0</v>
      </c>
      <c r="I53" s="56" t="n">
        <f aca="false">Economy!O53*money_ratio+H53</f>
        <v>152.601433577561</v>
      </c>
      <c r="J53" s="56" t="n">
        <f aca="false">I53*gold_cover</f>
        <v>61.0405734310243</v>
      </c>
      <c r="K53" s="56" t="n">
        <f aca="false">F53-J53</f>
        <v>336.092466849055</v>
      </c>
      <c r="L53" s="66" t="n">
        <f aca="false">IF(I53&gt;0,F53/I53,0)</f>
        <v>2.60242011473787</v>
      </c>
      <c r="M53" s="66" t="n">
        <f aca="false">IF(Paths!AD53&gt;0,F53/Paths!AD53,0)</f>
        <v>0.102090755856061</v>
      </c>
    </row>
    <row r="54" customFormat="false" ht="14.25" hidden="false" customHeight="false" outlineLevel="0" collapsed="false">
      <c r="A54" s="61" t="n">
        <v>1894</v>
      </c>
      <c r="B54" s="56" t="n">
        <f aca="false">F53</f>
        <v>397.133040280079</v>
      </c>
      <c r="C54" s="72" t="n">
        <f aca="false">Resources!R54</f>
        <v>7.76</v>
      </c>
      <c r="D54" s="56" t="n">
        <f aca="false">IF($A54&gt;=1850,Economy!O54*ext_gold,0)</f>
        <v>4.60429668974503</v>
      </c>
      <c r="E54" s="56" t="n">
        <f aca="false">SUMPRODUCT((Events!$B$6:$B$174&lt;=$A54)*(Events!$C$6:$C$174&gt;=$A54)*(Events!$E$6:$E$174="Loan")*(Events!$J$6:$J$174="Yes")*Events!$H$6:$H$174)+SUMPRODUCT((Events!$B$6:$B$174&lt;=$A54)*(Events!$C$6:$C$174&gt;=$A54)*(Events!$E$6:$E$174="Purchase")*(Events!$J$6:$J$174="Yes")*Events!$H$6:$H$174)</f>
        <v>0</v>
      </c>
      <c r="F54" s="56" t="n">
        <f aca="false">MAX(0,B54+C54+D54-E54)</f>
        <v>409.497336969824</v>
      </c>
      <c r="G54" s="56" t="n">
        <f aca="false">IF(OR($A54=1931,$A54=1932),cb_buy/2,0)</f>
        <v>0</v>
      </c>
      <c r="H54" s="56" t="n">
        <f aca="false">H53+G54</f>
        <v>0</v>
      </c>
      <c r="I54" s="56" t="n">
        <f aca="false">Economy!O54*money_ratio+H54</f>
        <v>161.150384141076</v>
      </c>
      <c r="J54" s="56" t="n">
        <f aca="false">I54*gold_cover</f>
        <v>64.4601536564304</v>
      </c>
      <c r="K54" s="56" t="n">
        <f aca="false">F54-J54</f>
        <v>345.037183313394</v>
      </c>
      <c r="L54" s="66" t="n">
        <f aca="false">IF(I54&gt;0,F54/I54,0)</f>
        <v>2.54108818388753</v>
      </c>
      <c r="M54" s="66" t="n">
        <f aca="false">IF(Paths!AD54&gt;0,F54/Paths!AD54,0)</f>
        <v>0.101865009196474</v>
      </c>
    </row>
    <row r="55" customFormat="false" ht="14.25" hidden="false" customHeight="false" outlineLevel="0" collapsed="false">
      <c r="A55" s="61" t="n">
        <v>1895</v>
      </c>
      <c r="B55" s="56" t="n">
        <f aca="false">F54</f>
        <v>409.497336969824</v>
      </c>
      <c r="C55" s="72" t="n">
        <f aca="false">Resources!R55</f>
        <v>7.8</v>
      </c>
      <c r="D55" s="56" t="n">
        <f aca="false">IF($A55&gt;=1850,Economy!O55*ext_gold,0)</f>
        <v>5.051703334778</v>
      </c>
      <c r="E55" s="56" t="n">
        <f aca="false">SUMPRODUCT((Events!$B$6:$B$174&lt;=$A55)*(Events!$C$6:$C$174&gt;=$A55)*(Events!$E$6:$E$174="Loan")*(Events!$J$6:$J$174="Yes")*Events!$H$6:$H$174)+SUMPRODUCT((Events!$B$6:$B$174&lt;=$A55)*(Events!$C$6:$C$174&gt;=$A55)*(Events!$E$6:$E$174="Purchase")*(Events!$J$6:$J$174="Yes")*Events!$H$6:$H$174)</f>
        <v>65</v>
      </c>
      <c r="F55" s="56" t="n">
        <f aca="false">MAX(0,B55+C55+D55-E55)</f>
        <v>357.349040304602</v>
      </c>
      <c r="G55" s="56" t="n">
        <f aca="false">IF(OR($A55=1931,$A55=1932),cb_buy/2,0)</f>
        <v>0</v>
      </c>
      <c r="H55" s="56" t="n">
        <f aca="false">H54+G55</f>
        <v>0</v>
      </c>
      <c r="I55" s="56" t="n">
        <f aca="false">Economy!O55*money_ratio+H55</f>
        <v>176.80961671723</v>
      </c>
      <c r="J55" s="56" t="n">
        <f aca="false">I55*gold_cover</f>
        <v>70.723846686892</v>
      </c>
      <c r="K55" s="56" t="n">
        <f aca="false">F55-J55</f>
        <v>286.62519361771</v>
      </c>
      <c r="L55" s="66" t="n">
        <f aca="false">IF(I55&gt;0,F55/I55,0)</f>
        <v>2.02109504527747</v>
      </c>
      <c r="M55" s="66" t="n">
        <f aca="false">IF(Paths!AD55&gt;0,F55/Paths!AD55,0)</f>
        <v>0.0861082024830366</v>
      </c>
    </row>
    <row r="56" customFormat="false" ht="14.25" hidden="false" customHeight="false" outlineLevel="0" collapsed="false">
      <c r="A56" s="61" t="n">
        <v>1896</v>
      </c>
      <c r="B56" s="56" t="n">
        <f aca="false">F55</f>
        <v>357.349040304602</v>
      </c>
      <c r="C56" s="72" t="n">
        <f aca="false">Resources!R56</f>
        <v>7.96</v>
      </c>
      <c r="D56" s="56" t="n">
        <f aca="false">IF($A56&gt;=1850,Economy!O56*ext_gold,0)</f>
        <v>5.41027958531708</v>
      </c>
      <c r="E56" s="56" t="n">
        <f aca="false">SUMPRODUCT((Events!$B$6:$B$174&lt;=$A56)*(Events!$C$6:$C$174&gt;=$A56)*(Events!$E$6:$E$174="Loan")*(Events!$J$6:$J$174="Yes")*Events!$H$6:$H$174)+SUMPRODUCT((Events!$B$6:$B$174&lt;=$A56)*(Events!$C$6:$C$174&gt;=$A56)*(Events!$E$6:$E$174="Purchase")*(Events!$J$6:$J$174="Yes")*Events!$H$6:$H$174)</f>
        <v>0</v>
      </c>
      <c r="F56" s="56" t="n">
        <f aca="false">MAX(0,B56+C56+D56-E56)</f>
        <v>370.719319889919</v>
      </c>
      <c r="G56" s="56" t="n">
        <f aca="false">IF(OR($A56=1931,$A56=1932),cb_buy/2,0)</f>
        <v>0</v>
      </c>
      <c r="H56" s="56" t="n">
        <f aca="false">H55+G56</f>
        <v>0</v>
      </c>
      <c r="I56" s="56" t="n">
        <f aca="false">Economy!O56*money_ratio+H56</f>
        <v>189.359785486098</v>
      </c>
      <c r="J56" s="56" t="n">
        <f aca="false">I56*gold_cover</f>
        <v>75.7439141944391</v>
      </c>
      <c r="K56" s="56" t="n">
        <f aca="false">F56-J56</f>
        <v>294.97540569548</v>
      </c>
      <c r="L56" s="66" t="n">
        <f aca="false">IF(I56&gt;0,F56/I56,0)</f>
        <v>1.95775105542215</v>
      </c>
      <c r="M56" s="66" t="n">
        <f aca="false">IF(Paths!AD56&gt;0,F56/Paths!AD56,0)</f>
        <v>0.086616663525682</v>
      </c>
    </row>
    <row r="57" customFormat="false" ht="14.25" hidden="false" customHeight="false" outlineLevel="0" collapsed="false">
      <c r="A57" s="61" t="n">
        <v>1897</v>
      </c>
      <c r="B57" s="56" t="n">
        <f aca="false">F56</f>
        <v>370.719319889919</v>
      </c>
      <c r="C57" s="72" t="n">
        <f aca="false">Resources!R57</f>
        <v>8.3</v>
      </c>
      <c r="D57" s="56" t="n">
        <f aca="false">IF($A57&gt;=1850,Economy!O57*ext_gold,0)</f>
        <v>6.10264396227082</v>
      </c>
      <c r="E57" s="56" t="n">
        <f aca="false">SUMPRODUCT((Events!$B$6:$B$174&lt;=$A57)*(Events!$C$6:$C$174&gt;=$A57)*(Events!$E$6:$E$174="Loan")*(Events!$J$6:$J$174="Yes")*Events!$H$6:$H$174)+SUMPRODUCT((Events!$B$6:$B$174&lt;=$A57)*(Events!$C$6:$C$174&gt;=$A57)*(Events!$E$6:$E$174="Purchase")*(Events!$J$6:$J$174="Yes")*Events!$H$6:$H$174)</f>
        <v>20</v>
      </c>
      <c r="F57" s="56" t="n">
        <f aca="false">MAX(0,B57+C57+D57-E57)</f>
        <v>365.12196385219</v>
      </c>
      <c r="G57" s="56" t="n">
        <f aca="false">IF(OR($A57=1931,$A57=1932),cb_buy/2,0)</f>
        <v>0</v>
      </c>
      <c r="H57" s="56" t="n">
        <f aca="false">H56+G57</f>
        <v>0</v>
      </c>
      <c r="I57" s="56" t="n">
        <f aca="false">Economy!O57*money_ratio+H57</f>
        <v>213.592538679479</v>
      </c>
      <c r="J57" s="56" t="n">
        <f aca="false">I57*gold_cover</f>
        <v>85.4370154717915</v>
      </c>
      <c r="K57" s="56" t="n">
        <f aca="false">F57-J57</f>
        <v>279.684948380398</v>
      </c>
      <c r="L57" s="66" t="n">
        <f aca="false">IF(I57&gt;0,F57/I57,0)</f>
        <v>1.70943220259252</v>
      </c>
      <c r="M57" s="66" t="n">
        <f aca="false">IF(Paths!AD57&gt;0,F57/Paths!AD57,0)</f>
        <v>0.0827940961116076</v>
      </c>
    </row>
    <row r="58" customFormat="false" ht="14.25" hidden="false" customHeight="false" outlineLevel="0" collapsed="false">
      <c r="A58" s="61" t="n">
        <v>1898</v>
      </c>
      <c r="B58" s="56" t="n">
        <f aca="false">F57</f>
        <v>365.12196385219</v>
      </c>
      <c r="C58" s="72" t="n">
        <f aca="false">Resources!R58</f>
        <v>8.6</v>
      </c>
      <c r="D58" s="56" t="n">
        <f aca="false">IF($A58&gt;=1850,Economy!O58*ext_gold,0)</f>
        <v>6.71801684752069</v>
      </c>
      <c r="E58" s="56" t="n">
        <f aca="false">SUMPRODUCT((Events!$B$6:$B$174&lt;=$A58)*(Events!$C$6:$C$174&gt;=$A58)*(Events!$E$6:$E$174="Loan")*(Events!$J$6:$J$174="Yes")*Events!$H$6:$H$174)+SUMPRODUCT((Events!$B$6:$B$174&lt;=$A58)*(Events!$C$6:$C$174&gt;=$A58)*(Events!$E$6:$E$174="Purchase")*(Events!$J$6:$J$174="Yes")*Events!$H$6:$H$174)</f>
        <v>0</v>
      </c>
      <c r="F58" s="56" t="n">
        <f aca="false">MAX(0,B58+C58+D58-E58)</f>
        <v>380.43998069971</v>
      </c>
      <c r="G58" s="56" t="n">
        <f aca="false">IF(OR($A58=1931,$A58=1932),cb_buy/2,0)</f>
        <v>0</v>
      </c>
      <c r="H58" s="56" t="n">
        <f aca="false">H57+G58</f>
        <v>0</v>
      </c>
      <c r="I58" s="56" t="n">
        <f aca="false">Economy!O58*money_ratio+H58</f>
        <v>235.130589663224</v>
      </c>
      <c r="J58" s="56" t="n">
        <f aca="false">I58*gold_cover</f>
        <v>94.0522358652897</v>
      </c>
      <c r="K58" s="56" t="n">
        <f aca="false">F58-J58</f>
        <v>286.387744834421</v>
      </c>
      <c r="L58" s="66" t="n">
        <f aca="false">IF(I58&gt;0,F58/I58,0)</f>
        <v>1.61799441427256</v>
      </c>
      <c r="M58" s="66" t="n">
        <f aca="false">IF(Paths!AD58&gt;0,F58/Paths!AD58,0)</f>
        <v>0.0837973525770287</v>
      </c>
    </row>
    <row r="59" customFormat="false" ht="14.25" hidden="false" customHeight="false" outlineLevel="0" collapsed="false">
      <c r="A59" s="61" t="n">
        <v>1899</v>
      </c>
      <c r="B59" s="56" t="n">
        <f aca="false">F58</f>
        <v>380.43998069971</v>
      </c>
      <c r="C59" s="72" t="n">
        <f aca="false">Resources!R59</f>
        <v>9.5</v>
      </c>
      <c r="D59" s="56" t="n">
        <f aca="false">IF($A59&gt;=1850,Economy!O59*ext_gold,0)</f>
        <v>7.37619590637925</v>
      </c>
      <c r="E59" s="56" t="n">
        <f aca="false">SUMPRODUCT((Events!$B$6:$B$174&lt;=$A59)*(Events!$C$6:$C$174&gt;=$A59)*(Events!$E$6:$E$174="Loan")*(Events!$J$6:$J$174="Yes")*Events!$H$6:$H$174)+SUMPRODUCT((Events!$B$6:$B$174&lt;=$A59)*(Events!$C$6:$C$174&gt;=$A59)*(Events!$E$6:$E$174="Purchase")*(Events!$J$6:$J$174="Yes")*Events!$H$6:$H$174)</f>
        <v>0</v>
      </c>
      <c r="F59" s="56" t="n">
        <f aca="false">MAX(0,B59+C59+D59-E59)</f>
        <v>397.31617660609</v>
      </c>
      <c r="G59" s="56" t="n">
        <f aca="false">IF(OR($A59=1931,$A59=1932),cb_buy/2,0)</f>
        <v>0</v>
      </c>
      <c r="H59" s="56" t="n">
        <f aca="false">H58+G59</f>
        <v>0</v>
      </c>
      <c r="I59" s="56" t="n">
        <f aca="false">Economy!O59*money_ratio+H59</f>
        <v>258.166856723274</v>
      </c>
      <c r="J59" s="56" t="n">
        <f aca="false">I59*gold_cover</f>
        <v>103.26674268931</v>
      </c>
      <c r="K59" s="56" t="n">
        <f aca="false">F59-J59</f>
        <v>294.04943391678</v>
      </c>
      <c r="L59" s="66" t="n">
        <f aca="false">IF(I59&gt;0,F59/I59,0)</f>
        <v>1.53898986744053</v>
      </c>
      <c r="M59" s="66" t="n">
        <f aca="false">IF(Paths!AD59&gt;0,F59/Paths!AD59,0)</f>
        <v>0.0850784104081563</v>
      </c>
    </row>
    <row r="60" customFormat="false" ht="14.25" hidden="false" customHeight="false" outlineLevel="0" collapsed="false">
      <c r="A60" s="61" t="n">
        <v>1900</v>
      </c>
      <c r="B60" s="56" t="n">
        <f aca="false">F59</f>
        <v>397.31617660609</v>
      </c>
      <c r="C60" s="72" t="n">
        <f aca="false">Resources!R60</f>
        <v>10.4</v>
      </c>
      <c r="D60" s="56" t="n">
        <f aca="false">IF($A60&gt;=1850,Economy!O60*ext_gold,0)</f>
        <v>8.1107286036886</v>
      </c>
      <c r="E60" s="56" t="n">
        <f aca="false">SUMPRODUCT((Events!$B$6:$B$174&lt;=$A60)*(Events!$C$6:$C$174&gt;=$A60)*(Events!$E$6:$E$174="Loan")*(Events!$J$6:$J$174="Yes")*Events!$H$6:$H$174)+SUMPRODUCT((Events!$B$6:$B$174&lt;=$A60)*(Events!$C$6:$C$174&gt;=$A60)*(Events!$E$6:$E$174="Purchase")*(Events!$J$6:$J$174="Yes")*Events!$H$6:$H$174)</f>
        <v>0</v>
      </c>
      <c r="F60" s="56" t="n">
        <f aca="false">MAX(0,B60+C60+D60-E60)</f>
        <v>415.826905209778</v>
      </c>
      <c r="G60" s="56" t="n">
        <f aca="false">IF(OR($A60=1931,$A60=1932),cb_buy/2,0)</f>
        <v>0</v>
      </c>
      <c r="H60" s="56" t="n">
        <f aca="false">H59+G60</f>
        <v>0</v>
      </c>
      <c r="I60" s="56" t="n">
        <f aca="false">Economy!O60*money_ratio+H60</f>
        <v>283.875501129101</v>
      </c>
      <c r="J60" s="56" t="n">
        <f aca="false">I60*gold_cover</f>
        <v>113.55020045164</v>
      </c>
      <c r="K60" s="56" t="n">
        <f aca="false">F60-J60</f>
        <v>302.276704758138</v>
      </c>
      <c r="L60" s="66" t="n">
        <f aca="false">IF(I60&gt;0,F60/I60,0)</f>
        <v>1.46482138668482</v>
      </c>
      <c r="M60" s="66" t="n">
        <f aca="false">IF(Paths!AD60&gt;0,F60/Paths!AD60,0)</f>
        <v>0.0866306052520371</v>
      </c>
    </row>
    <row r="61" customFormat="false" ht="14.25" hidden="false" customHeight="false" outlineLevel="0" collapsed="false">
      <c r="A61" s="61" t="n">
        <v>1901</v>
      </c>
      <c r="B61" s="56" t="n">
        <f aca="false">F60</f>
        <v>415.826905209778</v>
      </c>
      <c r="C61" s="72" t="n">
        <f aca="false">Resources!R61</f>
        <v>11.24</v>
      </c>
      <c r="D61" s="56" t="n">
        <f aca="false">IF($A61&gt;=1850,Economy!O61*ext_gold,0)</f>
        <v>8.87018283563295</v>
      </c>
      <c r="E61" s="56" t="n">
        <f aca="false">SUMPRODUCT((Events!$B$6:$B$174&lt;=$A61)*(Events!$C$6:$C$174&gt;=$A61)*(Events!$E$6:$E$174="Loan")*(Events!$J$6:$J$174="Yes")*Events!$H$6:$H$174)+SUMPRODUCT((Events!$B$6:$B$174&lt;=$A61)*(Events!$C$6:$C$174&gt;=$A61)*(Events!$E$6:$E$174="Purchase")*(Events!$J$6:$J$174="Yes")*Events!$H$6:$H$174)</f>
        <v>0</v>
      </c>
      <c r="F61" s="56" t="n">
        <f aca="false">MAX(0,B61+C61+D61-E61)</f>
        <v>435.937088045411</v>
      </c>
      <c r="G61" s="56" t="n">
        <f aca="false">IF(OR($A61=1931,$A61=1932),cb_buy/2,0)</f>
        <v>0</v>
      </c>
      <c r="H61" s="56" t="n">
        <f aca="false">H60+G61</f>
        <v>0</v>
      </c>
      <c r="I61" s="56" t="n">
        <f aca="false">Economy!O61*money_ratio+H61</f>
        <v>310.456399247153</v>
      </c>
      <c r="J61" s="56" t="n">
        <f aca="false">I61*gold_cover</f>
        <v>124.182559698861</v>
      </c>
      <c r="K61" s="56" t="n">
        <f aca="false">F61-J61</f>
        <v>311.75452834655</v>
      </c>
      <c r="L61" s="66" t="n">
        <f aca="false">IF(I61&gt;0,F61/I61,0)</f>
        <v>1.40418135719716</v>
      </c>
      <c r="M61" s="66" t="n">
        <f aca="false">IF(Paths!AD61&gt;0,F61/Paths!AD61,0)</f>
        <v>0.0863926056372198</v>
      </c>
    </row>
    <row r="62" customFormat="false" ht="14.25" hidden="false" customHeight="false" outlineLevel="0" collapsed="false">
      <c r="A62" s="61" t="n">
        <v>1902</v>
      </c>
      <c r="B62" s="56" t="n">
        <f aca="false">F61</f>
        <v>435.937088045411</v>
      </c>
      <c r="C62" s="72" t="n">
        <f aca="false">Resources!R62</f>
        <v>12.18</v>
      </c>
      <c r="D62" s="56" t="n">
        <f aca="false">IF($A62&gt;=1850,Economy!O62*ext_gold,0)</f>
        <v>9.71399405861452</v>
      </c>
      <c r="E62" s="56" t="n">
        <f aca="false">SUMPRODUCT((Events!$B$6:$B$174&lt;=$A62)*(Events!$C$6:$C$174&gt;=$A62)*(Events!$E$6:$E$174="Loan")*(Events!$J$6:$J$174="Yes")*Events!$H$6:$H$174)+SUMPRODUCT((Events!$B$6:$B$174&lt;=$A62)*(Events!$C$6:$C$174&gt;=$A62)*(Events!$E$6:$E$174="Purchase")*(Events!$J$6:$J$174="Yes")*Events!$H$6:$H$174)</f>
        <v>0</v>
      </c>
      <c r="F62" s="56" t="n">
        <f aca="false">MAX(0,B62+C62+D62-E62)</f>
        <v>457.831082104026</v>
      </c>
      <c r="G62" s="56" t="n">
        <f aca="false">IF(OR($A62=1931,$A62=1932),cb_buy/2,0)</f>
        <v>0</v>
      </c>
      <c r="H62" s="56" t="n">
        <f aca="false">H61+G62</f>
        <v>0</v>
      </c>
      <c r="I62" s="56" t="n">
        <f aca="false">Economy!O62*money_ratio+H62</f>
        <v>339.989792051508</v>
      </c>
      <c r="J62" s="56" t="n">
        <f aca="false">I62*gold_cover</f>
        <v>135.995916820603</v>
      </c>
      <c r="K62" s="56" t="n">
        <f aca="false">F62-J62</f>
        <v>321.835165283422</v>
      </c>
      <c r="L62" s="66" t="n">
        <f aca="false">IF(I62&gt;0,F62/I62,0)</f>
        <v>1.34660243574214</v>
      </c>
      <c r="M62" s="66" t="n">
        <f aca="false">IF(Paths!AD62&gt;0,F62/Paths!AD62,0)</f>
        <v>0.0865138099213956</v>
      </c>
    </row>
    <row r="63" customFormat="false" ht="14.25" hidden="false" customHeight="false" outlineLevel="0" collapsed="false">
      <c r="A63" s="61" t="n">
        <v>1903</v>
      </c>
      <c r="B63" s="56" t="n">
        <f aca="false">F62</f>
        <v>457.831082104026</v>
      </c>
      <c r="C63" s="72" t="n">
        <f aca="false">Resources!R63</f>
        <v>13.12</v>
      </c>
      <c r="D63" s="56" t="n">
        <f aca="false">IF($A63&gt;=1850,Economy!O63*ext_gold,0)</f>
        <v>10.6488738494944</v>
      </c>
      <c r="E63" s="56" t="n">
        <f aca="false">SUMPRODUCT((Events!$B$6:$B$174&lt;=$A63)*(Events!$C$6:$C$174&gt;=$A63)*(Events!$E$6:$E$174="Loan")*(Events!$J$6:$J$174="Yes")*Events!$H$6:$H$174)+SUMPRODUCT((Events!$B$6:$B$174&lt;=$A63)*(Events!$C$6:$C$174&gt;=$A63)*(Events!$E$6:$E$174="Purchase")*(Events!$J$6:$J$174="Yes")*Events!$H$6:$H$174)</f>
        <v>0</v>
      </c>
      <c r="F63" s="56" t="n">
        <f aca="false">MAX(0,B63+C63+D63-E63)</f>
        <v>481.59995595352</v>
      </c>
      <c r="G63" s="56" t="n">
        <f aca="false">IF(OR($A63=1931,$A63=1932),cb_buy/2,0)</f>
        <v>0</v>
      </c>
      <c r="H63" s="56" t="n">
        <f aca="false">H62+G63</f>
        <v>0</v>
      </c>
      <c r="I63" s="56" t="n">
        <f aca="false">Economy!O63*money_ratio+H63</f>
        <v>372.710584732306</v>
      </c>
      <c r="J63" s="56" t="n">
        <f aca="false">I63*gold_cover</f>
        <v>149.084233892922</v>
      </c>
      <c r="K63" s="56" t="n">
        <f aca="false">F63-J63</f>
        <v>332.515722060598</v>
      </c>
      <c r="L63" s="66" t="n">
        <f aca="false">IF(I63&gt;0,F63/I63,0)</f>
        <v>1.29215529604404</v>
      </c>
      <c r="M63" s="66" t="n">
        <f aca="false">IF(Paths!AD63&gt;0,F63/Paths!AD63,0)</f>
        <v>0.0869627945022608</v>
      </c>
    </row>
    <row r="64" customFormat="false" ht="14.25" hidden="false" customHeight="false" outlineLevel="0" collapsed="false">
      <c r="A64" s="61" t="n">
        <v>1904</v>
      </c>
      <c r="B64" s="56" t="n">
        <f aca="false">F63</f>
        <v>481.59995595352</v>
      </c>
      <c r="C64" s="72" t="n">
        <f aca="false">Resources!R64</f>
        <v>14.16</v>
      </c>
      <c r="D64" s="56" t="n">
        <f aca="false">IF($A64&gt;=1850,Economy!O64*ext_gold,0)</f>
        <v>11.6697001257022</v>
      </c>
      <c r="E64" s="56" t="n">
        <f aca="false">SUMPRODUCT((Events!$B$6:$B$174&lt;=$A64)*(Events!$C$6:$C$174&gt;=$A64)*(Events!$E$6:$E$174="Loan")*(Events!$J$6:$J$174="Yes")*Events!$H$6:$H$174)+SUMPRODUCT((Events!$B$6:$B$174&lt;=$A64)*(Events!$C$6:$C$174&gt;=$A64)*(Events!$E$6:$E$174="Purchase")*(Events!$J$6:$J$174="Yes")*Events!$H$6:$H$174)</f>
        <v>0</v>
      </c>
      <c r="F64" s="56" t="n">
        <f aca="false">MAX(0,B64+C64+D64-E64)</f>
        <v>507.429656079222</v>
      </c>
      <c r="G64" s="56" t="n">
        <f aca="false">IF(OR($A64=1931,$A64=1932),cb_buy/2,0)</f>
        <v>0</v>
      </c>
      <c r="H64" s="56" t="n">
        <f aca="false">H63+G64</f>
        <v>0</v>
      </c>
      <c r="I64" s="56" t="n">
        <f aca="false">Economy!O64*money_ratio+H64</f>
        <v>408.439504399578</v>
      </c>
      <c r="J64" s="56" t="n">
        <f aca="false">I64*gold_cover</f>
        <v>163.375801759831</v>
      </c>
      <c r="K64" s="56" t="n">
        <f aca="false">F64-J64</f>
        <v>344.053854319391</v>
      </c>
      <c r="L64" s="66" t="n">
        <f aca="false">IF(I64&gt;0,F64/I64,0)</f>
        <v>1.24236184456536</v>
      </c>
      <c r="M64" s="66" t="n">
        <f aca="false">IF(Paths!AD64&gt;0,F64/Paths!AD64,0)</f>
        <v>0.0877147201519831</v>
      </c>
    </row>
    <row r="65" customFormat="false" ht="14.25" hidden="false" customHeight="false" outlineLevel="0" collapsed="false">
      <c r="A65" s="61" t="n">
        <v>1905</v>
      </c>
      <c r="B65" s="56" t="n">
        <f aca="false">F64</f>
        <v>507.429656079222</v>
      </c>
      <c r="C65" s="72" t="n">
        <f aca="false">Resources!R65</f>
        <v>15.2</v>
      </c>
      <c r="D65" s="56" t="n">
        <f aca="false">IF($A65&gt;=1850,Economy!O65*ext_gold,0)</f>
        <v>12.7514306455328</v>
      </c>
      <c r="E65" s="56" t="n">
        <f aca="false">SUMPRODUCT((Events!$B$6:$B$174&lt;=$A65)*(Events!$C$6:$C$174&gt;=$A65)*(Events!$E$6:$E$174="Loan")*(Events!$J$6:$J$174="Yes")*Events!$H$6:$H$174)+SUMPRODUCT((Events!$B$6:$B$174&lt;=$A65)*(Events!$C$6:$C$174&gt;=$A65)*(Events!$E$6:$E$174="Purchase")*(Events!$J$6:$J$174="Yes")*Events!$H$6:$H$174)</f>
        <v>0</v>
      </c>
      <c r="F65" s="56" t="n">
        <f aca="false">MAX(0,B65+C65+D65-E65)</f>
        <v>535.381086724755</v>
      </c>
      <c r="G65" s="56" t="n">
        <f aca="false">IF(OR($A65=1931,$A65=1932),cb_buy/2,0)</f>
        <v>0</v>
      </c>
      <c r="H65" s="56" t="n">
        <f aca="false">H64+G65</f>
        <v>0</v>
      </c>
      <c r="I65" s="56" t="n">
        <f aca="false">Economy!O65*money_ratio+H65</f>
        <v>446.300072593648</v>
      </c>
      <c r="J65" s="56" t="n">
        <f aca="false">I65*gold_cover</f>
        <v>178.520029037459</v>
      </c>
      <c r="K65" s="56" t="n">
        <f aca="false">F65-J65</f>
        <v>356.861057687296</v>
      </c>
      <c r="L65" s="66" t="n">
        <f aca="false">IF(I65&gt;0,F65/I65,0)</f>
        <v>1.19959892368697</v>
      </c>
      <c r="M65" s="66" t="n">
        <f aca="false">IF(Paths!AD65&gt;0,F65/Paths!AD65,0)</f>
        <v>0.0887715282249636</v>
      </c>
    </row>
    <row r="66" customFormat="false" ht="14.25" hidden="false" customHeight="false" outlineLevel="0" collapsed="false">
      <c r="A66" s="61" t="n">
        <v>1906</v>
      </c>
      <c r="B66" s="56" t="n">
        <f aca="false">F65</f>
        <v>535.381086724755</v>
      </c>
      <c r="C66" s="72" t="n">
        <f aca="false">Resources!R66</f>
        <v>17.34</v>
      </c>
      <c r="D66" s="56" t="n">
        <f aca="false">IF($A66&gt;=1850,Economy!O66*ext_gold,0)</f>
        <v>14.1173949222301</v>
      </c>
      <c r="E66" s="56" t="n">
        <f aca="false">SUMPRODUCT((Events!$B$6:$B$174&lt;=$A66)*(Events!$C$6:$C$174&gt;=$A66)*(Events!$E$6:$E$174="Loan")*(Events!$J$6:$J$174="Yes")*Events!$H$6:$H$174)+SUMPRODUCT((Events!$B$6:$B$174&lt;=$A66)*(Events!$C$6:$C$174&gt;=$A66)*(Events!$E$6:$E$174="Purchase")*(Events!$J$6:$J$174="Yes")*Events!$H$6:$H$174)</f>
        <v>0</v>
      </c>
      <c r="F66" s="56" t="n">
        <f aca="false">MAX(0,B66+C66+D66-E66)</f>
        <v>566.838481646985</v>
      </c>
      <c r="G66" s="56" t="n">
        <f aca="false">IF(OR($A66=1931,$A66=1932),cb_buy/2,0)</f>
        <v>0</v>
      </c>
      <c r="H66" s="56" t="n">
        <f aca="false">H65+G66</f>
        <v>0</v>
      </c>
      <c r="I66" s="56" t="n">
        <f aca="false">Economy!O66*money_ratio+H66</f>
        <v>494.108822278053</v>
      </c>
      <c r="J66" s="56" t="n">
        <f aca="false">I66*gold_cover</f>
        <v>197.643528911221</v>
      </c>
      <c r="K66" s="56" t="n">
        <f aca="false">F66-J66</f>
        <v>369.194952735764</v>
      </c>
      <c r="L66" s="66" t="n">
        <f aca="false">IF(I66&gt;0,F66/I66,0)</f>
        <v>1.14719360612429</v>
      </c>
      <c r="M66" s="66" t="n">
        <f aca="false">IF(Paths!AD66&gt;0,F66/Paths!AD66,0)</f>
        <v>0.0903040435951864</v>
      </c>
    </row>
    <row r="67" customFormat="false" ht="14.25" hidden="false" customHeight="false" outlineLevel="0" collapsed="false">
      <c r="A67" s="61" t="n">
        <v>1907</v>
      </c>
      <c r="B67" s="56" t="n">
        <f aca="false">F66</f>
        <v>566.838481646985</v>
      </c>
      <c r="C67" s="72" t="n">
        <f aca="false">Resources!R67</f>
        <v>17.78</v>
      </c>
      <c r="D67" s="56" t="n">
        <f aca="false">IF($A67&gt;=1850,Economy!O67*ext_gold,0)</f>
        <v>15.3777238006159</v>
      </c>
      <c r="E67" s="56" t="n">
        <f aca="false">SUMPRODUCT((Events!$B$6:$B$174&lt;=$A67)*(Events!$C$6:$C$174&gt;=$A67)*(Events!$E$6:$E$174="Loan")*(Events!$J$6:$J$174="Yes")*Events!$H$6:$H$174)+SUMPRODUCT((Events!$B$6:$B$174&lt;=$A67)*(Events!$C$6:$C$174&gt;=$A67)*(Events!$E$6:$E$174="Purchase")*(Events!$J$6:$J$174="Yes")*Events!$H$6:$H$174)</f>
        <v>0</v>
      </c>
      <c r="F67" s="56" t="n">
        <f aca="false">MAX(0,B67+C67+D67-E67)</f>
        <v>599.996205447601</v>
      </c>
      <c r="G67" s="56" t="n">
        <f aca="false">IF(OR($A67=1931,$A67=1932),cb_buy/2,0)</f>
        <v>0</v>
      </c>
      <c r="H67" s="56" t="n">
        <f aca="false">H66+G67</f>
        <v>0</v>
      </c>
      <c r="I67" s="56" t="n">
        <f aca="false">Economy!O67*money_ratio+H67</f>
        <v>538.220333021556</v>
      </c>
      <c r="J67" s="56" t="n">
        <f aca="false">I67*gold_cover</f>
        <v>215.288133208622</v>
      </c>
      <c r="K67" s="56" t="n">
        <f aca="false">F67-J67</f>
        <v>384.708072238979</v>
      </c>
      <c r="L67" s="66" t="n">
        <f aca="false">IF(I67&gt;0,F67/I67,0)</f>
        <v>1.11477803538049</v>
      </c>
      <c r="M67" s="66" t="n">
        <f aca="false">IF(Paths!AD67&gt;0,F67/Paths!AD67,0)</f>
        <v>0.091981635052522</v>
      </c>
    </row>
    <row r="68" customFormat="false" ht="14.25" hidden="false" customHeight="false" outlineLevel="0" collapsed="false">
      <c r="A68" s="61" t="n">
        <v>1908</v>
      </c>
      <c r="B68" s="56" t="n">
        <f aca="false">F67</f>
        <v>599.996205447601</v>
      </c>
      <c r="C68" s="72" t="n">
        <f aca="false">Resources!R68</f>
        <v>17.8533333333333</v>
      </c>
      <c r="D68" s="56" t="n">
        <f aca="false">IF($A68&gt;=1850,Economy!O68*ext_gold,0)</f>
        <v>16.3014832488944</v>
      </c>
      <c r="E68" s="56" t="n">
        <f aca="false">SUMPRODUCT((Events!$B$6:$B$174&lt;=$A68)*(Events!$C$6:$C$174&gt;=$A68)*(Events!$E$6:$E$174="Loan")*(Events!$J$6:$J$174="Yes")*Events!$H$6:$H$174)+SUMPRODUCT((Events!$B$6:$B$174&lt;=$A68)*(Events!$C$6:$C$174&gt;=$A68)*(Events!$E$6:$E$174="Purchase")*(Events!$J$6:$J$174="Yes")*Events!$H$6:$H$174)</f>
        <v>0</v>
      </c>
      <c r="F68" s="56" t="n">
        <f aca="false">MAX(0,B68+C68+D68-E68)</f>
        <v>634.151022029829</v>
      </c>
      <c r="G68" s="56" t="n">
        <f aca="false">IF(OR($A68=1931,$A68=1932),cb_buy/2,0)</f>
        <v>0</v>
      </c>
      <c r="H68" s="56" t="n">
        <f aca="false">H67+G68</f>
        <v>0</v>
      </c>
      <c r="I68" s="56" t="n">
        <f aca="false">Economy!O68*money_ratio+H68</f>
        <v>570.551913711305</v>
      </c>
      <c r="J68" s="56" t="n">
        <f aca="false">I68*gold_cover</f>
        <v>228.220765484522</v>
      </c>
      <c r="K68" s="56" t="n">
        <f aca="false">F68-J68</f>
        <v>405.930256545307</v>
      </c>
      <c r="L68" s="66" t="n">
        <f aca="false">IF(I68&gt;0,F68/I68,0)</f>
        <v>1.11146945052699</v>
      </c>
      <c r="M68" s="66" t="n">
        <f aca="false">IF(Paths!AD68&gt;0,F68/Paths!AD68,0)</f>
        <v>0.093684594774683</v>
      </c>
    </row>
    <row r="69" customFormat="false" ht="14.25" hidden="false" customHeight="false" outlineLevel="0" collapsed="false">
      <c r="A69" s="61" t="n">
        <v>1909</v>
      </c>
      <c r="B69" s="56" t="n">
        <f aca="false">F68</f>
        <v>634.151022029829</v>
      </c>
      <c r="C69" s="72" t="n">
        <f aca="false">Resources!R69</f>
        <v>17.9266666666667</v>
      </c>
      <c r="D69" s="56" t="n">
        <f aca="false">IF($A69&gt;=1850,Economy!O69*ext_gold,0)</f>
        <v>18.7901984467618</v>
      </c>
      <c r="E69" s="56" t="n">
        <f aca="false">SUMPRODUCT((Events!$B$6:$B$174&lt;=$A69)*(Events!$C$6:$C$174&gt;=$A69)*(Events!$E$6:$E$174="Loan")*(Events!$J$6:$J$174="Yes")*Events!$H$6:$H$174)+SUMPRODUCT((Events!$B$6:$B$174&lt;=$A69)*(Events!$C$6:$C$174&gt;=$A69)*(Events!$E$6:$E$174="Purchase")*(Events!$J$6:$J$174="Yes")*Events!$H$6:$H$174)</f>
        <v>0</v>
      </c>
      <c r="F69" s="56" t="n">
        <f aca="false">MAX(0,B69+C69+D69-E69)</f>
        <v>670.867887143257</v>
      </c>
      <c r="G69" s="56" t="n">
        <f aca="false">IF(OR($A69=1931,$A69=1932),cb_buy/2,0)</f>
        <v>0</v>
      </c>
      <c r="H69" s="56" t="n">
        <f aca="false">H68+G69</f>
        <v>0</v>
      </c>
      <c r="I69" s="56" t="n">
        <f aca="false">Economy!O69*money_ratio+H69</f>
        <v>657.656945636664</v>
      </c>
      <c r="J69" s="56" t="n">
        <f aca="false">I69*gold_cover</f>
        <v>263.062778254666</v>
      </c>
      <c r="K69" s="56" t="n">
        <f aca="false">F69-J69</f>
        <v>407.805108888592</v>
      </c>
      <c r="L69" s="66" t="n">
        <f aca="false">IF(I69&gt;0,F69/I69,0)</f>
        <v>1.02008789171048</v>
      </c>
      <c r="M69" s="66" t="n">
        <f aca="false">IF(Paths!AD69&gt;0,F69/Paths!AD69,0)</f>
        <v>0.0956333410040281</v>
      </c>
    </row>
    <row r="70" customFormat="false" ht="14.25" hidden="false" customHeight="false" outlineLevel="0" collapsed="false">
      <c r="A70" s="61" t="n">
        <v>1910</v>
      </c>
      <c r="B70" s="56" t="n">
        <f aca="false">F69</f>
        <v>670.867887143257</v>
      </c>
      <c r="C70" s="72" t="n">
        <f aca="false">Resources!R70</f>
        <v>18</v>
      </c>
      <c r="D70" s="56" t="n">
        <f aca="false">IF($A70&gt;=1850,Economy!O70*ext_gold,0)</f>
        <v>20.5786224888986</v>
      </c>
      <c r="E70" s="56" t="n">
        <f aca="false">SUMPRODUCT((Events!$B$6:$B$174&lt;=$A70)*(Events!$C$6:$C$174&gt;=$A70)*(Events!$E$6:$E$174="Loan")*(Events!$J$6:$J$174="Yes")*Events!$H$6:$H$174)+SUMPRODUCT((Events!$B$6:$B$174&lt;=$A70)*(Events!$C$6:$C$174&gt;=$A70)*(Events!$E$6:$E$174="Purchase")*(Events!$J$6:$J$174="Yes")*Events!$H$6:$H$174)</f>
        <v>0</v>
      </c>
      <c r="F70" s="56" t="n">
        <f aca="false">MAX(0,B70+C70+D70-E70)</f>
        <v>709.446509632156</v>
      </c>
      <c r="G70" s="56" t="n">
        <f aca="false">IF(OR($A70=1931,$A70=1932),cb_buy/2,0)</f>
        <v>0</v>
      </c>
      <c r="H70" s="56" t="n">
        <f aca="false">H69+G70</f>
        <v>0</v>
      </c>
      <c r="I70" s="56" t="n">
        <f aca="false">Economy!O70*money_ratio+H70</f>
        <v>720.25178711145</v>
      </c>
      <c r="J70" s="56" t="n">
        <f aca="false">I70*gold_cover</f>
        <v>288.10071484458</v>
      </c>
      <c r="K70" s="56" t="n">
        <f aca="false">F70-J70</f>
        <v>421.345794787576</v>
      </c>
      <c r="L70" s="66" t="n">
        <f aca="false">IF(I70&gt;0,F70/I70,0)</f>
        <v>0.984997916461092</v>
      </c>
      <c r="M70" s="66" t="n">
        <f aca="false">IF(Paths!AD70&gt;0,F70/Paths!AD70,0)</f>
        <v>0.0976929922379724</v>
      </c>
    </row>
    <row r="71" customFormat="false" ht="14.25" hidden="false" customHeight="false" outlineLevel="0" collapsed="false">
      <c r="A71" s="61" t="n">
        <v>1911</v>
      </c>
      <c r="B71" s="56" t="n">
        <f aca="false">F70</f>
        <v>709.446509632156</v>
      </c>
      <c r="C71" s="72" t="n">
        <f aca="false">Resources!R71</f>
        <v>17.94</v>
      </c>
      <c r="D71" s="56" t="n">
        <f aca="false">IF($A71&gt;=1850,Economy!O71*ext_gold,0)</f>
        <v>22.428466554879</v>
      </c>
      <c r="E71" s="56" t="n">
        <f aca="false">SUMPRODUCT((Events!$B$6:$B$174&lt;=$A71)*(Events!$C$6:$C$174&gt;=$A71)*(Events!$E$6:$E$174="Loan")*(Events!$J$6:$J$174="Yes")*Events!$H$6:$H$174)+SUMPRODUCT((Events!$B$6:$B$174&lt;=$A71)*(Events!$C$6:$C$174&gt;=$A71)*(Events!$E$6:$E$174="Purchase")*(Events!$J$6:$J$174="Yes")*Events!$H$6:$H$174)</f>
        <v>0</v>
      </c>
      <c r="F71" s="56" t="n">
        <f aca="false">MAX(0,B71+C71+D71-E71)</f>
        <v>749.814976187035</v>
      </c>
      <c r="G71" s="56" t="n">
        <f aca="false">IF(OR($A71=1931,$A71=1932),cb_buy/2,0)</f>
        <v>0</v>
      </c>
      <c r="H71" s="56" t="n">
        <f aca="false">H70+G71</f>
        <v>0</v>
      </c>
      <c r="I71" s="56" t="n">
        <f aca="false">Economy!O71*money_ratio+H71</f>
        <v>784.996329420766</v>
      </c>
      <c r="J71" s="56" t="n">
        <f aca="false">I71*gold_cover</f>
        <v>313.998531768307</v>
      </c>
      <c r="K71" s="56" t="n">
        <f aca="false">F71-J71</f>
        <v>435.816444418728</v>
      </c>
      <c r="L71" s="66" t="n">
        <f aca="false">IF(I71&gt;0,F71/I71,0)</f>
        <v>0.95518277995046</v>
      </c>
      <c r="M71" s="66" t="n">
        <f aca="false">IF(Paths!AD71&gt;0,F71/Paths!AD71,0)</f>
        <v>0.0998688034346077</v>
      </c>
    </row>
    <row r="72" customFormat="false" ht="14.25" hidden="false" customHeight="false" outlineLevel="0" collapsed="false">
      <c r="A72" s="61" t="n">
        <v>1912</v>
      </c>
      <c r="B72" s="56" t="n">
        <f aca="false">F71</f>
        <v>749.814976187035</v>
      </c>
      <c r="C72" s="72" t="n">
        <f aca="false">Resources!R72</f>
        <v>17.88</v>
      </c>
      <c r="D72" s="56" t="n">
        <f aca="false">IF($A72&gt;=1850,Economy!O72*ext_gold,0)</f>
        <v>24.4620362315991</v>
      </c>
      <c r="E72" s="56" t="n">
        <f aca="false">SUMPRODUCT((Events!$B$6:$B$174&lt;=$A72)*(Events!$C$6:$C$174&gt;=$A72)*(Events!$E$6:$E$174="Loan")*(Events!$J$6:$J$174="Yes")*Events!$H$6:$H$174)+SUMPRODUCT((Events!$B$6:$B$174&lt;=$A72)*(Events!$C$6:$C$174&gt;=$A72)*(Events!$E$6:$E$174="Purchase")*(Events!$J$6:$J$174="Yes")*Events!$H$6:$H$174)</f>
        <v>0</v>
      </c>
      <c r="F72" s="56" t="n">
        <f aca="false">MAX(0,B72+C72+D72-E72)</f>
        <v>792.157012418634</v>
      </c>
      <c r="G72" s="56" t="n">
        <f aca="false">IF(OR($A72=1931,$A72=1932),cb_buy/2,0)</f>
        <v>0</v>
      </c>
      <c r="H72" s="56" t="n">
        <f aca="false">H71+G72</f>
        <v>0</v>
      </c>
      <c r="I72" s="56" t="n">
        <f aca="false">Economy!O72*money_ratio+H72</f>
        <v>856.171268105967</v>
      </c>
      <c r="J72" s="56" t="n">
        <f aca="false">I72*gold_cover</f>
        <v>342.468507242387</v>
      </c>
      <c r="K72" s="56" t="n">
        <f aca="false">F72-J72</f>
        <v>449.688505176247</v>
      </c>
      <c r="L72" s="66" t="n">
        <f aca="false">IF(I72&gt;0,F72/I72,0)</f>
        <v>0.925231950578129</v>
      </c>
      <c r="M72" s="66" t="n">
        <f aca="false">IF(Paths!AD72&gt;0,F72/Paths!AD72,0)</f>
        <v>0.102161079754789</v>
      </c>
    </row>
    <row r="73" customFormat="false" ht="14.25" hidden="false" customHeight="false" outlineLevel="0" collapsed="false">
      <c r="A73" s="61" t="n">
        <v>1913</v>
      </c>
      <c r="B73" s="56" t="n">
        <f aca="false">F72</f>
        <v>792.157012418634</v>
      </c>
      <c r="C73" s="72" t="n">
        <f aca="false">Resources!R73</f>
        <v>17.82</v>
      </c>
      <c r="D73" s="56" t="n">
        <f aca="false">IF($A73&gt;=1850,Economy!O73*ext_gold,0)</f>
        <v>26.628352345103</v>
      </c>
      <c r="E73" s="56" t="n">
        <f aca="false">SUMPRODUCT((Events!$B$6:$B$174&lt;=$A73)*(Events!$C$6:$C$174&gt;=$A73)*(Events!$E$6:$E$174="Loan")*(Events!$J$6:$J$174="Yes")*Events!$H$6:$H$174)+SUMPRODUCT((Events!$B$6:$B$174&lt;=$A73)*(Events!$C$6:$C$174&gt;=$A73)*(Events!$E$6:$E$174="Purchase")*(Events!$J$6:$J$174="Yes")*Events!$H$6:$H$174)</f>
        <v>0</v>
      </c>
      <c r="F73" s="56" t="n">
        <f aca="false">MAX(0,B73+C73+D73-E73)</f>
        <v>836.605364763737</v>
      </c>
      <c r="G73" s="56" t="n">
        <f aca="false">IF(OR($A73=1931,$A73=1932),cb_buy/2,0)</f>
        <v>0</v>
      </c>
      <c r="H73" s="56" t="n">
        <f aca="false">H72+G73</f>
        <v>0</v>
      </c>
      <c r="I73" s="56" t="n">
        <f aca="false">Economy!O73*money_ratio+H73</f>
        <v>931.992332078605</v>
      </c>
      <c r="J73" s="56" t="n">
        <f aca="false">I73*gold_cover</f>
        <v>372.796932831442</v>
      </c>
      <c r="K73" s="56" t="n">
        <f aca="false">F73-J73</f>
        <v>463.808431932295</v>
      </c>
      <c r="L73" s="66" t="n">
        <f aca="false">IF(I73&gt;0,F73/I73,0)</f>
        <v>0.89765262649519</v>
      </c>
      <c r="M73" s="66" t="n">
        <f aca="false">IF(Paths!AD73&gt;0,F73/Paths!AD73,0)</f>
        <v>0.104575670595467</v>
      </c>
    </row>
    <row r="74" customFormat="false" ht="14.25" hidden="false" customHeight="false" outlineLevel="0" collapsed="false">
      <c r="A74" s="64" t="n">
        <v>1914</v>
      </c>
      <c r="B74" s="56" t="n">
        <f aca="false">F73</f>
        <v>836.605364763737</v>
      </c>
      <c r="C74" s="72" t="n">
        <f aca="false">Resources!R74</f>
        <v>17.66</v>
      </c>
      <c r="D74" s="56" t="n">
        <f aca="false">IF($A74&gt;=1850,Economy!O74*ext_gold,0)</f>
        <v>27.7505219043449</v>
      </c>
      <c r="E74" s="56" t="n">
        <f aca="false">SUMPRODUCT((Events!$B$6:$B$174&lt;=$A74)*(Events!$C$6:$C$174&gt;=$A74)*(Events!$E$6:$E$174="Loan")*(Events!$J$6:$J$174="Yes")*Events!$H$6:$H$174)+SUMPRODUCT((Events!$B$6:$B$174&lt;=$A74)*(Events!$C$6:$C$174&gt;=$A74)*(Events!$E$6:$E$174="Purchase")*(Events!$J$6:$J$174="Yes")*Events!$H$6:$H$174)</f>
        <v>0</v>
      </c>
      <c r="F74" s="56" t="n">
        <f aca="false">MAX(0,B74+C74+D74-E74)</f>
        <v>882.015886668082</v>
      </c>
      <c r="G74" s="56" t="n">
        <f aca="false">IF(OR($A74=1931,$A74=1932),cb_buy/2,0)</f>
        <v>0</v>
      </c>
      <c r="H74" s="56" t="n">
        <f aca="false">H73+G74</f>
        <v>0</v>
      </c>
      <c r="I74" s="56" t="n">
        <f aca="false">Economy!O74*money_ratio+H74</f>
        <v>971.268266652071</v>
      </c>
      <c r="J74" s="56" t="n">
        <f aca="false">I74*gold_cover</f>
        <v>388.507306660828</v>
      </c>
      <c r="K74" s="56" t="n">
        <f aca="false">F74-J74</f>
        <v>493.508580007254</v>
      </c>
      <c r="L74" s="66" t="n">
        <f aca="false">IF(I74&gt;0,F74/I74,0)</f>
        <v>0.908107385931964</v>
      </c>
      <c r="M74" s="66" t="n">
        <f aca="false">IF(Paths!AD74&gt;0,F74/Paths!AD74,0)</f>
        <v>0.109282107132707</v>
      </c>
    </row>
    <row r="75" customFormat="false" ht="14.25" hidden="false" customHeight="false" outlineLevel="0" collapsed="false">
      <c r="A75" s="64" t="n">
        <v>1915</v>
      </c>
      <c r="B75" s="56" t="n">
        <f aca="false">F74</f>
        <v>882.015886668082</v>
      </c>
      <c r="C75" s="72" t="n">
        <f aca="false">Resources!R75</f>
        <v>17.5</v>
      </c>
      <c r="D75" s="56" t="n">
        <f aca="false">IF($A75&gt;=1850,Economy!O75*ext_gold,0)</f>
        <v>31.0527896971607</v>
      </c>
      <c r="E75" s="56" t="n">
        <f aca="false">SUMPRODUCT((Events!$B$6:$B$174&lt;=$A75)*(Events!$C$6:$C$174&gt;=$A75)*(Events!$E$6:$E$174="Loan")*(Events!$J$6:$J$174="Yes")*Events!$H$6:$H$174)+SUMPRODUCT((Events!$B$6:$B$174&lt;=$A75)*(Events!$C$6:$C$174&gt;=$A75)*(Events!$E$6:$E$174="Purchase")*(Events!$J$6:$J$174="Yes")*Events!$H$6:$H$174)</f>
        <v>0</v>
      </c>
      <c r="F75" s="56" t="n">
        <f aca="false">MAX(0,B75+C75+D75-E75)</f>
        <v>930.568676365243</v>
      </c>
      <c r="G75" s="56" t="n">
        <f aca="false">IF(OR($A75=1931,$A75=1932),cb_buy/2,0)</f>
        <v>0</v>
      </c>
      <c r="H75" s="56" t="n">
        <f aca="false">H74+G75</f>
        <v>0</v>
      </c>
      <c r="I75" s="56" t="n">
        <f aca="false">Economy!O75*money_ratio+H75</f>
        <v>1086.84763940063</v>
      </c>
      <c r="J75" s="56" t="n">
        <f aca="false">I75*gold_cover</f>
        <v>434.73905576025</v>
      </c>
      <c r="K75" s="56" t="n">
        <f aca="false">F75-J75</f>
        <v>495.829620604993</v>
      </c>
      <c r="L75" s="66" t="n">
        <f aca="false">IF(I75&gt;0,F75/I75,0)</f>
        <v>0.856208950206151</v>
      </c>
      <c r="M75" s="66" t="n">
        <f aca="false">IF(Paths!AD75&gt;0,F75/Paths!AD75,0)</f>
        <v>0.114278358880663</v>
      </c>
    </row>
    <row r="76" customFormat="false" ht="14.25" hidden="false" customHeight="false" outlineLevel="0" collapsed="false">
      <c r="A76" s="64" t="n">
        <v>1916</v>
      </c>
      <c r="B76" s="56" t="n">
        <f aca="false">F75</f>
        <v>930.568676365243</v>
      </c>
      <c r="C76" s="72" t="n">
        <f aca="false">Resources!R76</f>
        <v>16.36</v>
      </c>
      <c r="D76" s="56" t="n">
        <f aca="false">IF($A76&gt;=1850,Economy!O76*ext_gold,0)</f>
        <v>36.8347409155828</v>
      </c>
      <c r="E76" s="56" t="n">
        <f aca="false">SUMPRODUCT((Events!$B$6:$B$174&lt;=$A76)*(Events!$C$6:$C$174&gt;=$A76)*(Events!$E$6:$E$174="Loan")*(Events!$J$6:$J$174="Yes")*Events!$H$6:$H$174)+SUMPRODUCT((Events!$B$6:$B$174&lt;=$A76)*(Events!$C$6:$C$174&gt;=$A76)*(Events!$E$6:$E$174="Purchase")*(Events!$J$6:$J$174="Yes")*Events!$H$6:$H$174)</f>
        <v>0</v>
      </c>
      <c r="F76" s="56" t="n">
        <f aca="false">MAX(0,B76+C76+D76-E76)</f>
        <v>983.763417280826</v>
      </c>
      <c r="G76" s="56" t="n">
        <f aca="false">IF(OR($A76=1931,$A76=1932),cb_buy/2,0)</f>
        <v>0</v>
      </c>
      <c r="H76" s="56" t="n">
        <f aca="false">H75+G76</f>
        <v>0</v>
      </c>
      <c r="I76" s="56" t="n">
        <f aca="false">Economy!O76*money_ratio+H76</f>
        <v>1289.2159320454</v>
      </c>
      <c r="J76" s="56" t="n">
        <f aca="false">I76*gold_cover</f>
        <v>515.68637281816</v>
      </c>
      <c r="K76" s="56" t="n">
        <f aca="false">F76-J76</f>
        <v>468.077044462666</v>
      </c>
      <c r="L76" s="66" t="n">
        <f aca="false">IF(I76&gt;0,F76/I76,0)</f>
        <v>0.763071098353586</v>
      </c>
      <c r="M76" s="66" t="n">
        <f aca="false">IF(Paths!AD76&gt;0,F76/Paths!AD76,0)</f>
        <v>0.119766668770493</v>
      </c>
    </row>
    <row r="77" customFormat="false" ht="14.25" hidden="false" customHeight="false" outlineLevel="0" collapsed="false">
      <c r="A77" s="64" t="n">
        <v>1917</v>
      </c>
      <c r="B77" s="56" t="n">
        <f aca="false">F76</f>
        <v>983.763417280826</v>
      </c>
      <c r="C77" s="72" t="n">
        <f aca="false">Resources!R77</f>
        <v>15.22</v>
      </c>
      <c r="D77" s="56" t="n">
        <f aca="false">IF($A77&gt;=1850,Economy!O77*ext_gold,0)</f>
        <v>46.3305663026467</v>
      </c>
      <c r="E77" s="56" t="n">
        <f aca="false">SUMPRODUCT((Events!$B$6:$B$174&lt;=$A77)*(Events!$C$6:$C$174&gt;=$A77)*(Events!$E$6:$E$174="Loan")*(Events!$J$6:$J$174="Yes")*Events!$H$6:$H$174)+SUMPRODUCT((Events!$B$6:$B$174&lt;=$A77)*(Events!$C$6:$C$174&gt;=$A77)*(Events!$E$6:$E$174="Purchase")*(Events!$J$6:$J$174="Yes")*Events!$H$6:$H$174)</f>
        <v>0</v>
      </c>
      <c r="F77" s="56" t="n">
        <f aca="false">MAX(0,B77+C77+D77-E77)</f>
        <v>1045.31398358347</v>
      </c>
      <c r="G77" s="56" t="n">
        <f aca="false">IF(OR($A77=1931,$A77=1932),cb_buy/2,0)</f>
        <v>0</v>
      </c>
      <c r="H77" s="56" t="n">
        <f aca="false">H76+G77</f>
        <v>0</v>
      </c>
      <c r="I77" s="56" t="n">
        <f aca="false">Economy!O77*money_ratio+H77</f>
        <v>1621.56982059263</v>
      </c>
      <c r="J77" s="56" t="n">
        <f aca="false">I77*gold_cover</f>
        <v>648.627928237053</v>
      </c>
      <c r="K77" s="56" t="n">
        <f aca="false">F77-J77</f>
        <v>396.686055346419</v>
      </c>
      <c r="L77" s="66" t="n">
        <f aca="false">IF(I77&gt;0,F77/I77,0)</f>
        <v>0.644630881944659</v>
      </c>
      <c r="M77" s="66" t="n">
        <f aca="false">IF(Paths!AD77&gt;0,F77/Paths!AD77,0)</f>
        <v>0.126154234079589</v>
      </c>
    </row>
    <row r="78" customFormat="false" ht="14.25" hidden="false" customHeight="false" outlineLevel="0" collapsed="false">
      <c r="A78" s="64" t="n">
        <v>1918</v>
      </c>
      <c r="B78" s="56" t="n">
        <f aca="false">F77</f>
        <v>1045.31398358347</v>
      </c>
      <c r="C78" s="72" t="n">
        <f aca="false">Resources!R78</f>
        <v>14.08</v>
      </c>
      <c r="D78" s="56" t="n">
        <f aca="false">IF($A78&gt;=1850,Economy!O78*ext_gold,0)</f>
        <v>55.7343658053245</v>
      </c>
      <c r="E78" s="56" t="n">
        <f aca="false">SUMPRODUCT((Events!$B$6:$B$174&lt;=$A78)*(Events!$C$6:$C$174&gt;=$A78)*(Events!$E$6:$E$174="Loan")*(Events!$J$6:$J$174="Yes")*Events!$H$6:$H$174)+SUMPRODUCT((Events!$B$6:$B$174&lt;=$A78)*(Events!$C$6:$C$174&gt;=$A78)*(Events!$E$6:$E$174="Purchase")*(Events!$J$6:$J$174="Yes")*Events!$H$6:$H$174)</f>
        <v>0</v>
      </c>
      <c r="F78" s="56" t="n">
        <f aca="false">MAX(0,B78+C78+D78-E78)</f>
        <v>1115.1283493888</v>
      </c>
      <c r="G78" s="56" t="n">
        <f aca="false">IF(OR($A78=1931,$A78=1932),cb_buy/2,0)</f>
        <v>0</v>
      </c>
      <c r="H78" s="56" t="n">
        <f aca="false">H77+G78</f>
        <v>0</v>
      </c>
      <c r="I78" s="56" t="n">
        <f aca="false">Economy!O78*money_ratio+H78</f>
        <v>1950.70280318636</v>
      </c>
      <c r="J78" s="56" t="n">
        <f aca="false">I78*gold_cover</f>
        <v>780.281121274543</v>
      </c>
      <c r="K78" s="56" t="n">
        <f aca="false">F78-J78</f>
        <v>334.847228114254</v>
      </c>
      <c r="L78" s="66" t="n">
        <f aca="false">IF(I78&gt;0,F78/I78,0)</f>
        <v>0.571654660857257</v>
      </c>
      <c r="M78" s="66" t="n">
        <f aca="false">IF(Paths!AD78&gt;0,F78/Paths!AD78,0)</f>
        <v>0.133436442430154</v>
      </c>
    </row>
    <row r="79" customFormat="false" ht="14.25" hidden="false" customHeight="false" outlineLevel="0" collapsed="false">
      <c r="A79" s="64" t="n">
        <v>1919</v>
      </c>
      <c r="B79" s="56" t="n">
        <f aca="false">F78</f>
        <v>1115.1283493888</v>
      </c>
      <c r="C79" s="72" t="n">
        <f aca="false">Resources!R79</f>
        <v>12.94</v>
      </c>
      <c r="D79" s="56" t="n">
        <f aca="false">IF($A79&gt;=1850,Economy!O79*ext_gold,0)</f>
        <v>63.3221828928852</v>
      </c>
      <c r="E79" s="56" t="n">
        <f aca="false">SUMPRODUCT((Events!$B$6:$B$174&lt;=$A79)*(Events!$C$6:$C$174&gt;=$A79)*(Events!$E$6:$E$174="Loan")*(Events!$J$6:$J$174="Yes")*Events!$H$6:$H$174)+SUMPRODUCT((Events!$B$6:$B$174&lt;=$A79)*(Events!$C$6:$C$174&gt;=$A79)*(Events!$E$6:$E$174="Purchase")*(Events!$J$6:$J$174="Yes")*Events!$H$6:$H$174)</f>
        <v>0</v>
      </c>
      <c r="F79" s="56" t="n">
        <f aca="false">MAX(0,B79+C79+D79-E79)</f>
        <v>1191.39053228168</v>
      </c>
      <c r="G79" s="56" t="n">
        <f aca="false">IF(OR($A79=1931,$A79=1932),cb_buy/2,0)</f>
        <v>0</v>
      </c>
      <c r="H79" s="56" t="n">
        <f aca="false">H78+G79</f>
        <v>0</v>
      </c>
      <c r="I79" s="56" t="n">
        <f aca="false">Economy!O79*money_ratio+H79</f>
        <v>2216.27640125098</v>
      </c>
      <c r="J79" s="56" t="n">
        <f aca="false">I79*gold_cover</f>
        <v>886.510560500393</v>
      </c>
      <c r="K79" s="56" t="n">
        <f aca="false">F79-J79</f>
        <v>304.879971781289</v>
      </c>
      <c r="L79" s="66" t="n">
        <f aca="false">IF(I79&gt;0,F79/I79,0)</f>
        <v>0.53756405636463</v>
      </c>
      <c r="M79" s="66" t="n">
        <f aca="false">IF(Paths!AD79&gt;0,F79/Paths!AD79,0)</f>
        <v>0.141344232089415</v>
      </c>
    </row>
    <row r="80" customFormat="false" ht="14.25" hidden="false" customHeight="false" outlineLevel="0" collapsed="false">
      <c r="A80" s="64" t="n">
        <v>1920</v>
      </c>
      <c r="B80" s="56" t="n">
        <f aca="false">F79</f>
        <v>1191.39053228168</v>
      </c>
      <c r="C80" s="72" t="n">
        <f aca="false">Resources!R80</f>
        <v>11.8</v>
      </c>
      <c r="D80" s="56" t="n">
        <f aca="false">IF($A80&gt;=1850,Economy!O80*ext_gold,0)</f>
        <v>74.173617799236</v>
      </c>
      <c r="E80" s="56" t="n">
        <f aca="false">SUMPRODUCT((Events!$B$6:$B$174&lt;=$A80)*(Events!$C$6:$C$174&gt;=$A80)*(Events!$E$6:$E$174="Loan")*(Events!$J$6:$J$174="Yes")*Events!$H$6:$H$174)+SUMPRODUCT((Events!$B$6:$B$174&lt;=$A80)*(Events!$C$6:$C$174&gt;=$A80)*(Events!$E$6:$E$174="Purchase")*(Events!$J$6:$J$174="Yes")*Events!$H$6:$H$174)</f>
        <v>0</v>
      </c>
      <c r="F80" s="56" t="n">
        <f aca="false">MAX(0,B80+C80+D80-E80)</f>
        <v>1277.36415008092</v>
      </c>
      <c r="G80" s="56" t="n">
        <f aca="false">IF(OR($A80=1931,$A80=1932),cb_buy/2,0)</f>
        <v>0</v>
      </c>
      <c r="H80" s="56" t="n">
        <f aca="false">H79+G80</f>
        <v>0</v>
      </c>
      <c r="I80" s="56" t="n">
        <f aca="false">Economy!O80*money_ratio+H80</f>
        <v>2596.07662297326</v>
      </c>
      <c r="J80" s="56" t="n">
        <f aca="false">I80*gold_cover</f>
        <v>1038.4306491893</v>
      </c>
      <c r="K80" s="56" t="n">
        <f aca="false">F80-J80</f>
        <v>238.933500891613</v>
      </c>
      <c r="L80" s="66" t="n">
        <f aca="false">IF(I80&gt;0,F80/I80,0)</f>
        <v>0.492036382430795</v>
      </c>
      <c r="M80" s="66" t="n">
        <f aca="false">IF(Paths!AD80&gt;0,F80/Paths!AD80,0)</f>
        <v>0.150278135303637</v>
      </c>
    </row>
    <row r="81" customFormat="false" ht="14.25" hidden="false" customHeight="false" outlineLevel="0" collapsed="false">
      <c r="A81" s="64" t="n">
        <v>1921</v>
      </c>
      <c r="B81" s="56" t="n">
        <f aca="false">F80</f>
        <v>1277.36415008092</v>
      </c>
      <c r="C81" s="72" t="n">
        <f aca="false">Resources!R81</f>
        <v>11.5822222222222</v>
      </c>
      <c r="D81" s="56" t="n">
        <f aca="false">IF($A81&gt;=1850,Economy!O81*ext_gold,0)</f>
        <v>60.6255026265565</v>
      </c>
      <c r="E81" s="56" t="n">
        <f aca="false">SUMPRODUCT((Events!$B$6:$B$174&lt;=$A81)*(Events!$C$6:$C$174&gt;=$A81)*(Events!$E$6:$E$174="Loan")*(Events!$J$6:$J$174="Yes")*Events!$H$6:$H$174)+SUMPRODUCT((Events!$B$6:$B$174&lt;=$A81)*(Events!$C$6:$C$174&gt;=$A81)*(Events!$E$6:$E$174="Purchase")*(Events!$J$6:$J$174="Yes")*Events!$H$6:$H$174)</f>
        <v>0</v>
      </c>
      <c r="F81" s="56" t="n">
        <f aca="false">MAX(0,B81+C81+D81-E81)</f>
        <v>1349.5718749297</v>
      </c>
      <c r="G81" s="56" t="n">
        <f aca="false">IF(OR($A81=1931,$A81=1932),cb_buy/2,0)</f>
        <v>0</v>
      </c>
      <c r="H81" s="56" t="n">
        <f aca="false">H80+G81</f>
        <v>0</v>
      </c>
      <c r="I81" s="56" t="n">
        <f aca="false">Economy!O81*money_ratio+H81</f>
        <v>2121.89259192948</v>
      </c>
      <c r="J81" s="56" t="n">
        <f aca="false">I81*gold_cover</f>
        <v>848.757036771792</v>
      </c>
      <c r="K81" s="56" t="n">
        <f aca="false">F81-J81</f>
        <v>500.814838157905</v>
      </c>
      <c r="L81" s="66" t="n">
        <f aca="false">IF(I81&gt;0,F81/I81,0)</f>
        <v>0.636022709190244</v>
      </c>
      <c r="M81" s="66" t="n">
        <f aca="false">IF(Paths!AD81&gt;0,F81/Paths!AD81,0)</f>
        <v>0.155123204014908</v>
      </c>
    </row>
    <row r="82" customFormat="false" ht="14.25" hidden="false" customHeight="false" outlineLevel="0" collapsed="false">
      <c r="A82" s="64" t="n">
        <v>1922</v>
      </c>
      <c r="B82" s="56" t="n">
        <f aca="false">F81</f>
        <v>1349.5718749297</v>
      </c>
      <c r="C82" s="72" t="n">
        <f aca="false">Resources!R82</f>
        <v>11.3644444444445</v>
      </c>
      <c r="D82" s="56" t="n">
        <f aca="false">IF($A82&gt;=1850,Economy!O82*ext_gold,0)</f>
        <v>62.8963835456146</v>
      </c>
      <c r="E82" s="56" t="n">
        <f aca="false">SUMPRODUCT((Events!$B$6:$B$174&lt;=$A82)*(Events!$C$6:$C$174&gt;=$A82)*(Events!$E$6:$E$174="Loan")*(Events!$J$6:$J$174="Yes")*Events!$H$6:$H$174)+SUMPRODUCT((Events!$B$6:$B$174&lt;=$A82)*(Events!$C$6:$C$174&gt;=$A82)*(Events!$E$6:$E$174="Purchase")*(Events!$J$6:$J$174="Yes")*Events!$H$6:$H$174)</f>
        <v>0</v>
      </c>
      <c r="F82" s="56" t="n">
        <f aca="false">MAX(0,B82+C82+D82-E82)</f>
        <v>1423.83270291976</v>
      </c>
      <c r="G82" s="56" t="n">
        <f aca="false">IF(OR($A82=1931,$A82=1932),cb_buy/2,0)</f>
        <v>0</v>
      </c>
      <c r="H82" s="56" t="n">
        <f aca="false">H81+G82</f>
        <v>0</v>
      </c>
      <c r="I82" s="56" t="n">
        <f aca="false">Economy!O82*money_ratio+H82</f>
        <v>2201.37342409651</v>
      </c>
      <c r="J82" s="56" t="n">
        <f aca="false">I82*gold_cover</f>
        <v>880.549369638605</v>
      </c>
      <c r="K82" s="56" t="n">
        <f aca="false">F82-J82</f>
        <v>543.283333281151</v>
      </c>
      <c r="L82" s="66" t="n">
        <f aca="false">IF(I82&gt;0,F82/I82,0)</f>
        <v>0.646792900892826</v>
      </c>
      <c r="M82" s="66" t="n">
        <f aca="false">IF(Paths!AD82&gt;0,F82/Paths!AD82,0)</f>
        <v>0.159981202575253</v>
      </c>
    </row>
    <row r="83" customFormat="false" ht="14.25" hidden="false" customHeight="false" outlineLevel="0" collapsed="false">
      <c r="A83" s="61" t="n">
        <v>1923</v>
      </c>
      <c r="B83" s="56" t="n">
        <f aca="false">F82</f>
        <v>1423.83270291976</v>
      </c>
      <c r="C83" s="72" t="n">
        <f aca="false">Resources!R83</f>
        <v>11.1466666666667</v>
      </c>
      <c r="D83" s="56" t="n">
        <f aca="false">IF($A83&gt;=1850,Economy!O83*ext_gold,0)</f>
        <v>71.1618047881319</v>
      </c>
      <c r="E83" s="56" t="n">
        <f aca="false">SUMPRODUCT((Events!$B$6:$B$174&lt;=$A83)*(Events!$C$6:$C$174&gt;=$A83)*(Events!$E$6:$E$174="Loan")*(Events!$J$6:$J$174="Yes")*Events!$H$6:$H$174)+SUMPRODUCT((Events!$B$6:$B$174&lt;=$A83)*(Events!$C$6:$C$174&gt;=$A83)*(Events!$E$6:$E$174="Purchase")*(Events!$J$6:$J$174="Yes")*Events!$H$6:$H$174)</f>
        <v>0</v>
      </c>
      <c r="F83" s="56" t="n">
        <f aca="false">MAX(0,B83+C83+D83-E83)</f>
        <v>1506.14117437455</v>
      </c>
      <c r="G83" s="56" t="n">
        <f aca="false">IF(OR($A83=1931,$A83=1932),cb_buy/2,0)</f>
        <v>0</v>
      </c>
      <c r="H83" s="56" t="n">
        <f aca="false">H82+G83</f>
        <v>0</v>
      </c>
      <c r="I83" s="56" t="n">
        <f aca="false">Economy!O83*money_ratio+H83</f>
        <v>2490.66316758462</v>
      </c>
      <c r="J83" s="56" t="n">
        <f aca="false">I83*gold_cover</f>
        <v>996.265267033847</v>
      </c>
      <c r="K83" s="56" t="n">
        <f aca="false">F83-J83</f>
        <v>509.875907340707</v>
      </c>
      <c r="L83" s="66" t="n">
        <f aca="false">IF(I83&gt;0,F83/I83,0)</f>
        <v>0.604714918491035</v>
      </c>
      <c r="M83" s="66" t="n">
        <f aca="false">IF(Paths!AD83&gt;0,F83/Paths!AD83,0)</f>
        <v>0.165510019162039</v>
      </c>
    </row>
    <row r="84" customFormat="false" ht="14.25" hidden="false" customHeight="false" outlineLevel="0" collapsed="false">
      <c r="A84" s="61" t="n">
        <v>1924</v>
      </c>
      <c r="B84" s="56" t="n">
        <f aca="false">F83</f>
        <v>1506.14117437455</v>
      </c>
      <c r="C84" s="72" t="n">
        <f aca="false">Resources!R84</f>
        <v>10.9288888888889</v>
      </c>
      <c r="D84" s="56" t="n">
        <f aca="false">IF($A84&gt;=1850,Economy!O84*ext_gold,0)</f>
        <v>76.0964521095005</v>
      </c>
      <c r="E84" s="56" t="n">
        <f aca="false">SUMPRODUCT((Events!$B$6:$B$174&lt;=$A84)*(Events!$C$6:$C$174&gt;=$A84)*(Events!$E$6:$E$174="Loan")*(Events!$J$6:$J$174="Yes")*Events!$H$6:$H$174)+SUMPRODUCT((Events!$B$6:$B$174&lt;=$A84)*(Events!$C$6:$C$174&gt;=$A84)*(Events!$E$6:$E$174="Purchase")*(Events!$J$6:$J$174="Yes")*Events!$H$6:$H$174)</f>
        <v>0</v>
      </c>
      <c r="F84" s="56" t="n">
        <f aca="false">MAX(0,B84+C84+D84-E84)</f>
        <v>1593.16651537294</v>
      </c>
      <c r="G84" s="56" t="n">
        <f aca="false">IF(OR($A84=1931,$A84=1932),cb_buy/2,0)</f>
        <v>0</v>
      </c>
      <c r="H84" s="56" t="n">
        <f aca="false">H83+G84</f>
        <v>0</v>
      </c>
      <c r="I84" s="56" t="n">
        <f aca="false">Economy!O84*money_ratio+H84</f>
        <v>2663.37582383252</v>
      </c>
      <c r="J84" s="56" t="n">
        <f aca="false">I84*gold_cover</f>
        <v>1065.35032953301</v>
      </c>
      <c r="K84" s="56" t="n">
        <f aca="false">F84-J84</f>
        <v>527.816185839937</v>
      </c>
      <c r="L84" s="66" t="n">
        <f aca="false">IF(I84&gt;0,F84/I84,0)</f>
        <v>0.5981756315113</v>
      </c>
      <c r="M84" s="66" t="n">
        <f aca="false">IF(Paths!AD84&gt;0,F84/Paths!AD84,0)</f>
        <v>0.171308227459456</v>
      </c>
    </row>
    <row r="85" customFormat="false" ht="14.25" hidden="false" customHeight="false" outlineLevel="0" collapsed="false">
      <c r="A85" s="61" t="n">
        <v>1925</v>
      </c>
      <c r="B85" s="56" t="n">
        <f aca="false">F84</f>
        <v>1593.16651537294</v>
      </c>
      <c r="C85" s="72" t="n">
        <f aca="false">Resources!R85</f>
        <v>10.7111111111111</v>
      </c>
      <c r="D85" s="56" t="n">
        <f aca="false">IF($A85&gt;=1850,Economy!O85*ext_gold,0)</f>
        <v>82.3277214396473</v>
      </c>
      <c r="E85" s="56" t="n">
        <f aca="false">SUMPRODUCT((Events!$B$6:$B$174&lt;=$A85)*(Events!$C$6:$C$174&gt;=$A85)*(Events!$E$6:$E$174="Loan")*(Events!$J$6:$J$174="Yes")*Events!$H$6:$H$174)+SUMPRODUCT((Events!$B$6:$B$174&lt;=$A85)*(Events!$C$6:$C$174&gt;=$A85)*(Events!$E$6:$E$174="Purchase")*(Events!$J$6:$J$174="Yes")*Events!$H$6:$H$174)</f>
        <v>0</v>
      </c>
      <c r="F85" s="56" t="n">
        <f aca="false">MAX(0,B85+C85+D85-E85)</f>
        <v>1686.2053479237</v>
      </c>
      <c r="G85" s="56" t="n">
        <f aca="false">IF(OR($A85=1931,$A85=1932),cb_buy/2,0)</f>
        <v>0</v>
      </c>
      <c r="H85" s="56" t="n">
        <f aca="false">H84+G85</f>
        <v>0</v>
      </c>
      <c r="I85" s="56" t="n">
        <f aca="false">Economy!O85*money_ratio+H85</f>
        <v>2881.47025038766</v>
      </c>
      <c r="J85" s="56" t="n">
        <f aca="false">I85*gold_cover</f>
        <v>1152.58810015506</v>
      </c>
      <c r="K85" s="56" t="n">
        <f aca="false">F85-J85</f>
        <v>533.61724776864</v>
      </c>
      <c r="L85" s="66" t="n">
        <f aca="false">IF(I85&gt;0,F85/I85,0)</f>
        <v>0.585189226818098</v>
      </c>
      <c r="M85" s="66" t="n">
        <f aca="false">IF(Paths!AD85&gt;0,F85/Paths!AD85,0)</f>
        <v>0.177495299781442</v>
      </c>
    </row>
    <row r="86" customFormat="false" ht="14.25" hidden="false" customHeight="false" outlineLevel="0" collapsed="false">
      <c r="A86" s="61" t="n">
        <v>1926</v>
      </c>
      <c r="B86" s="56" t="n">
        <f aca="false">F85</f>
        <v>1686.2053479237</v>
      </c>
      <c r="C86" s="72" t="n">
        <f aca="false">Resources!R86</f>
        <v>10.5333333333333</v>
      </c>
      <c r="D86" s="56" t="n">
        <f aca="false">IF($A86&gt;=1850,Economy!O86*ext_gold,0)</f>
        <v>85.9578526283152</v>
      </c>
      <c r="E86" s="56" t="n">
        <f aca="false">SUMPRODUCT((Events!$B$6:$B$174&lt;=$A86)*(Events!$C$6:$C$174&gt;=$A86)*(Events!$E$6:$E$174="Loan")*(Events!$J$6:$J$174="Yes")*Events!$H$6:$H$174)+SUMPRODUCT((Events!$B$6:$B$174&lt;=$A86)*(Events!$C$6:$C$174&gt;=$A86)*(Events!$E$6:$E$174="Purchase")*(Events!$J$6:$J$174="Yes")*Events!$H$6:$H$174)</f>
        <v>0</v>
      </c>
      <c r="F86" s="56" t="n">
        <f aca="false">MAX(0,B86+C86+D86-E86)</f>
        <v>1782.69653388535</v>
      </c>
      <c r="G86" s="56" t="n">
        <f aca="false">IF(OR($A86=1931,$A86=1932),cb_buy/2,0)</f>
        <v>0</v>
      </c>
      <c r="H86" s="56" t="n">
        <f aca="false">H85+G86</f>
        <v>0</v>
      </c>
      <c r="I86" s="56" t="n">
        <f aca="false">Economy!O86*money_ratio+H86</f>
        <v>3008.52484199103</v>
      </c>
      <c r="J86" s="56" t="n">
        <f aca="false">I86*gold_cover</f>
        <v>1203.40993679641</v>
      </c>
      <c r="K86" s="56" t="n">
        <f aca="false">F86-J86</f>
        <v>579.286597088938</v>
      </c>
      <c r="L86" s="66" t="n">
        <f aca="false">IF(I86&gt;0,F86/I86,0)</f>
        <v>0.592548384179394</v>
      </c>
      <c r="M86" s="66" t="n">
        <f aca="false">IF(Paths!AD86&gt;0,F86/Paths!AD86,0)</f>
        <v>0.183783147823232</v>
      </c>
    </row>
    <row r="87" customFormat="false" ht="14.25" hidden="false" customHeight="false" outlineLevel="0" collapsed="false">
      <c r="A87" s="61" t="n">
        <v>1927</v>
      </c>
      <c r="B87" s="56" t="n">
        <f aca="false">F86</f>
        <v>1782.69653388535</v>
      </c>
      <c r="C87" s="72" t="n">
        <f aca="false">Resources!R87</f>
        <v>10.3555555555555</v>
      </c>
      <c r="D87" s="56" t="n">
        <f aca="false">IF($A87&gt;=1850,Economy!O87*ext_gold,0)</f>
        <v>89.1846159524342</v>
      </c>
      <c r="E87" s="56" t="n">
        <f aca="false">SUMPRODUCT((Events!$B$6:$B$174&lt;=$A87)*(Events!$C$6:$C$174&gt;=$A87)*(Events!$E$6:$E$174="Loan")*(Events!$J$6:$J$174="Yes")*Events!$H$6:$H$174)+SUMPRODUCT((Events!$B$6:$B$174&lt;=$A87)*(Events!$C$6:$C$174&gt;=$A87)*(Events!$E$6:$E$174="Purchase")*(Events!$J$6:$J$174="Yes")*Events!$H$6:$H$174)+'Japan rescue'!D126</f>
        <v>248.430617258973</v>
      </c>
      <c r="F87" s="56" t="n">
        <f aca="false">MAX(0,B87+C87+D87-E87)</f>
        <v>1633.80608813437</v>
      </c>
      <c r="G87" s="56" t="n">
        <f aca="false">IF(OR($A87=1931,$A87=1932),cb_buy/2,0)</f>
        <v>0</v>
      </c>
      <c r="H87" s="56" t="n">
        <f aca="false">H86+G87</f>
        <v>0</v>
      </c>
      <c r="I87" s="56" t="n">
        <f aca="false">Economy!O87*money_ratio+H87+'Japan rescue'!$D$131</f>
        <v>3369.89217559417</v>
      </c>
      <c r="J87" s="56" t="n">
        <f aca="false">I87*gold_cover</f>
        <v>1347.95687023767</v>
      </c>
      <c r="K87" s="56" t="n">
        <f aca="false">F87-J87</f>
        <v>285.849217896699</v>
      </c>
      <c r="L87" s="66" t="n">
        <f aca="false">IF(I87&gt;0,F87/I87,0)</f>
        <v>0.484824440368422</v>
      </c>
      <c r="M87" s="66" t="n">
        <f aca="false">IF(Paths!AD87&gt;0,F87/Paths!AD87,0)</f>
        <v>0.16503091799337</v>
      </c>
    </row>
    <row r="88" customFormat="false" ht="14.25" hidden="false" customHeight="false" outlineLevel="0" collapsed="false">
      <c r="A88" s="61" t="n">
        <v>1928</v>
      </c>
      <c r="B88" s="56" t="n">
        <f aca="false">F87</f>
        <v>1633.80608813437</v>
      </c>
      <c r="C88" s="72" t="n">
        <f aca="false">Resources!R88</f>
        <v>10.1777777777778</v>
      </c>
      <c r="D88" s="56" t="n">
        <f aca="false">IF($A88&gt;=1850,Economy!O88*ext_gold,0)</f>
        <v>95.7138188866817</v>
      </c>
      <c r="E88" s="56" t="n">
        <f aca="false">SUMPRODUCT((Events!$B$6:$B$174&lt;=$A88)*(Events!$C$6:$C$174&gt;=$A88)*(Events!$E$6:$E$174="Loan")*(Events!$J$6:$J$174="Yes")*Events!$H$6:$H$174)+SUMPRODUCT((Events!$B$6:$B$174&lt;=$A88)*(Events!$C$6:$C$174&gt;=$A88)*(Events!$E$6:$E$174="Purchase")*(Events!$J$6:$J$174="Yes")*Events!$H$6:$H$174)</f>
        <v>0</v>
      </c>
      <c r="F88" s="56" t="n">
        <f aca="false">MAX(0,B88+C88+D88-E88)</f>
        <v>1739.69768479883</v>
      </c>
      <c r="G88" s="56" t="n">
        <f aca="false">IF(OR($A88=1931,$A88=1932),cb_buy/2,0)</f>
        <v>0</v>
      </c>
      <c r="H88" s="56" t="n">
        <f aca="false">H87+G88</f>
        <v>0</v>
      </c>
      <c r="I88" s="56" t="n">
        <f aca="false">Economy!O88*money_ratio+H88+'Japan rescue'!$D$131</f>
        <v>3598.41427829283</v>
      </c>
      <c r="J88" s="56" t="n">
        <f aca="false">I88*gold_cover</f>
        <v>1439.36571131713</v>
      </c>
      <c r="K88" s="56" t="n">
        <f aca="false">F88-J88</f>
        <v>300.331973481693</v>
      </c>
      <c r="L88" s="66" t="n">
        <f aca="false">IF(I88&gt;0,F88/I88,0)</f>
        <v>0.483462311522446</v>
      </c>
      <c r="M88" s="66" t="n">
        <f aca="false">IF(Paths!AD88&gt;0,F88/Paths!AD88,0)</f>
        <v>0.172247295524636</v>
      </c>
    </row>
    <row r="89" customFormat="false" ht="14.25" hidden="false" customHeight="false" outlineLevel="0" collapsed="false">
      <c r="A89" s="61" t="n">
        <v>1929</v>
      </c>
      <c r="B89" s="56" t="n">
        <f aca="false">F88</f>
        <v>1739.69768479883</v>
      </c>
      <c r="C89" s="72" t="n">
        <f aca="false">Resources!R89</f>
        <v>10.3</v>
      </c>
      <c r="D89" s="56" t="n">
        <f aca="false">IF($A89&gt;=1850,Economy!O89*ext_gold,0)</f>
        <v>101.562657497963</v>
      </c>
      <c r="E89" s="56" t="n">
        <f aca="false">SUMPRODUCT((Events!$B$6:$B$174&lt;=$A89)*(Events!$C$6:$C$174&gt;=$A89)*(Events!$E$6:$E$174="Loan")*(Events!$J$6:$J$174="Yes")*Events!$H$6:$H$174)+SUMPRODUCT((Events!$B$6:$B$174&lt;=$A89)*(Events!$C$6:$C$174&gt;=$A89)*(Events!$E$6:$E$174="Purchase")*(Events!$J$6:$J$174="Yes")*Events!$H$6:$H$174)</f>
        <v>0</v>
      </c>
      <c r="F89" s="56" t="n">
        <f aca="false">MAX(0,B89+C89+D89-E89)</f>
        <v>1851.56034229679</v>
      </c>
      <c r="G89" s="56" t="n">
        <f aca="false">IF(OR($A89=1931,$A89=1932),cb_buy/2,0)</f>
        <v>0</v>
      </c>
      <c r="H89" s="56" t="n">
        <f aca="false">H88+G89</f>
        <v>0</v>
      </c>
      <c r="I89" s="56" t="n">
        <f aca="false">Economy!O89*money_ratio+H89+'Japan rescue'!$D$131</f>
        <v>3803.12362968769</v>
      </c>
      <c r="J89" s="56" t="n">
        <f aca="false">I89*gold_cover</f>
        <v>1521.24945187508</v>
      </c>
      <c r="K89" s="56" t="n">
        <f aca="false">F89-J89</f>
        <v>330.310890421713</v>
      </c>
      <c r="L89" s="66" t="n">
        <f aca="false">IF(I89&gt;0,F89/I89,0)</f>
        <v>0.486852525077876</v>
      </c>
      <c r="M89" s="66" t="n">
        <f aca="false">IF(Paths!AD89&gt;0,F89/Paths!AD89,0)</f>
        <v>0.179763140028815</v>
      </c>
    </row>
    <row r="90" customFormat="false" ht="14.25" hidden="false" customHeight="false" outlineLevel="0" collapsed="false">
      <c r="A90" s="61" t="n">
        <v>1930</v>
      </c>
      <c r="B90" s="56" t="n">
        <f aca="false">F89</f>
        <v>1851.56034229679</v>
      </c>
      <c r="C90" s="72" t="n">
        <f aca="false">Resources!R90</f>
        <v>11.7</v>
      </c>
      <c r="D90" s="56" t="n">
        <f aca="false">IF($A90&gt;=1850,Economy!O90*ext_gold,0)</f>
        <v>95.226426511837</v>
      </c>
      <c r="E90" s="56" t="n">
        <f aca="false">SUMPRODUCT((Events!$B$6:$B$174&lt;=$A90)*(Events!$C$6:$C$174&gt;=$A90)*(Events!$E$6:$E$174="Loan")*(Events!$J$6:$J$174="Yes")*Events!$H$6:$H$174)+SUMPRODUCT((Events!$B$6:$B$174&lt;=$A90)*(Events!$C$6:$C$174&gt;=$A90)*(Events!$E$6:$E$174="Purchase")*(Events!$J$6:$J$174="Yes")*Events!$H$6:$H$174)</f>
        <v>0</v>
      </c>
      <c r="F90" s="56" t="n">
        <f aca="false">MAX(0,B90+C90+D90-E90)</f>
        <v>1958.48676880863</v>
      </c>
      <c r="G90" s="56" t="n">
        <f aca="false">IF(OR($A90=1931,$A90=1932),cb_buy/2,0)</f>
        <v>0</v>
      </c>
      <c r="H90" s="56" t="n">
        <f aca="false">H89+G90</f>
        <v>0</v>
      </c>
      <c r="I90" s="56" t="n">
        <f aca="false">Economy!O90*money_ratio+H90+'Japan rescue'!$D$131</f>
        <v>3581.35554517327</v>
      </c>
      <c r="J90" s="56" t="n">
        <f aca="false">I90*gold_cover</f>
        <v>1432.54221806931</v>
      </c>
      <c r="K90" s="56" t="n">
        <f aca="false">F90-J90</f>
        <v>525.944550739319</v>
      </c>
      <c r="L90" s="66" t="n">
        <f aca="false">IF(I90&gt;0,F90/I90,0)</f>
        <v>0.546856279446523</v>
      </c>
      <c r="M90" s="66" t="n">
        <f aca="false">IF(Paths!AD90&gt;0,F90/Paths!AD90,0)</f>
        <v>0.180788956781005</v>
      </c>
    </row>
    <row r="91" customFormat="false" ht="14.25" hidden="false" customHeight="false" outlineLevel="0" collapsed="false">
      <c r="A91" s="61" t="n">
        <v>1931</v>
      </c>
      <c r="B91" s="56" t="n">
        <f aca="false">F90</f>
        <v>1958.48676880863</v>
      </c>
      <c r="C91" s="72" t="n">
        <f aca="false">Resources!R91</f>
        <v>14.6</v>
      </c>
      <c r="D91" s="56" t="n">
        <f aca="false">IF($A91&gt;=1850,Economy!O91*ext_gold,0)</f>
        <v>85.9081078284112</v>
      </c>
      <c r="E91" s="56" t="n">
        <f aca="false">SUMPRODUCT((Events!$B$6:$B$174&lt;=$A91)*(Events!$C$6:$C$174&gt;=$A91)*(Events!$E$6:$E$174="Loan")*(Events!$J$6:$J$174="Yes")*Events!$H$6:$H$174)+SUMPRODUCT((Events!$B$6:$B$174&lt;=$A91)*(Events!$C$6:$C$174&gt;=$A91)*(Events!$E$6:$E$174="Purchase")*(Events!$J$6:$J$174="Yes")*Events!$H$6:$H$174)</f>
        <v>240</v>
      </c>
      <c r="F91" s="56" t="n">
        <f aca="false">MAX(0,B91+C91+D91-E91)</f>
        <v>1818.99487663704</v>
      </c>
      <c r="G91" s="56" t="n">
        <f aca="false">IF(OR($A91=1931,$A91=1932),cb_buy/2,0)</f>
        <v>0</v>
      </c>
      <c r="H91" s="56" t="n">
        <f aca="false">H90+G91</f>
        <v>0</v>
      </c>
      <c r="I91" s="56" t="n">
        <f aca="false">Economy!O91*money_ratio+H91+'Japan rescue'!$D$131</f>
        <v>3255.21439125337</v>
      </c>
      <c r="J91" s="56" t="n">
        <f aca="false">I91*gold_cover</f>
        <v>1302.08575650135</v>
      </c>
      <c r="K91" s="56" t="n">
        <f aca="false">F91-J91</f>
        <v>516.909120135691</v>
      </c>
      <c r="L91" s="66" t="n">
        <f aca="false">IF(I91&gt;0,F91/I91,0)</f>
        <v>0.55879418619081</v>
      </c>
      <c r="M91" s="66" t="n">
        <f aca="false">IF(Paths!AD91&gt;0,F91/Paths!AD91,0)</f>
        <v>0.160024181986191</v>
      </c>
    </row>
    <row r="92" customFormat="false" ht="14.25" hidden="false" customHeight="false" outlineLevel="0" collapsed="false">
      <c r="A92" s="61" t="n">
        <v>1932</v>
      </c>
      <c r="B92" s="56" t="n">
        <f aca="false">F91</f>
        <v>1818.99487663704</v>
      </c>
      <c r="C92" s="72" t="n">
        <f aca="false">Resources!R92</f>
        <v>19</v>
      </c>
      <c r="D92" s="56" t="n">
        <f aca="false">IF($A92&gt;=1850,Economy!O92*ext_gold,0)</f>
        <v>78.9906667816748</v>
      </c>
      <c r="E92" s="56" t="n">
        <f aca="false">SUMPRODUCT((Events!$B$6:$B$174&lt;=$A92)*(Events!$C$6:$C$174&gt;=$A92)*(Events!$E$6:$E$174="Loan")*(Events!$J$6:$J$174="Yes")*Events!$H$6:$H$174)+SUMPRODUCT((Events!$B$6:$B$174&lt;=$A92)*(Events!$C$6:$C$174&gt;=$A92)*(Events!$E$6:$E$174="Purchase")*(Events!$J$6:$J$174="Yes")*Events!$H$6:$H$174)</f>
        <v>160</v>
      </c>
      <c r="F92" s="56" t="n">
        <f aca="false">MAX(0,B92+C92+D92-E92)</f>
        <v>1756.98554341871</v>
      </c>
      <c r="G92" s="56" t="n">
        <f aca="false">IF(OR($A92=1931,$A92=1932),cb_buy/2,0)</f>
        <v>0</v>
      </c>
      <c r="H92" s="56" t="n">
        <f aca="false">H91+G92</f>
        <v>0</v>
      </c>
      <c r="I92" s="56" t="n">
        <f aca="false">Economy!O92*money_ratio+H92+'Japan rescue'!$D$131</f>
        <v>3013.10395461759</v>
      </c>
      <c r="J92" s="56" t="n">
        <f aca="false">I92*gold_cover</f>
        <v>1205.24158184704</v>
      </c>
      <c r="K92" s="56" t="n">
        <f aca="false">F92-J92</f>
        <v>551.743961571675</v>
      </c>
      <c r="L92" s="66" t="n">
        <f aca="false">IF(I92&gt;0,F92/I92,0)</f>
        <v>0.583114811132263</v>
      </c>
      <c r="M92" s="66" t="n">
        <f aca="false">IF(Paths!AD92&gt;0,F92/Paths!AD92,0)</f>
        <v>0.147645843984766</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55" hidden="false" customHeight="false" outlineLevel="0" collapsed="false">
      <c r="A1" s="19" t="s">
        <v>1369</v>
      </c>
    </row>
    <row r="2" customFormat="false" ht="14.25" hidden="false" customHeight="false" outlineLevel="0" collapsed="false">
      <c r="A2" s="3" t="s">
        <v>1370</v>
      </c>
    </row>
    <row r="3" customFormat="false" ht="14.25" hidden="false" customHeight="false" outlineLevel="0" collapsed="false">
      <c r="A3" s="20" t="s">
        <v>1166</v>
      </c>
    </row>
    <row r="4" customFormat="false" ht="14.25" hidden="false" customHeight="false" outlineLevel="0" collapsed="false">
      <c r="B4" s="58" t="s">
        <v>1371</v>
      </c>
      <c r="C4" s="58"/>
      <c r="D4" s="58"/>
      <c r="E4" s="58" t="s">
        <v>1372</v>
      </c>
      <c r="F4" s="58"/>
      <c r="G4" s="58"/>
      <c r="H4" s="58"/>
      <c r="I4" s="58"/>
      <c r="J4" s="58"/>
      <c r="K4" s="58" t="s">
        <v>1373</v>
      </c>
      <c r="L4" s="58"/>
      <c r="M4" s="58"/>
      <c r="N4" s="58"/>
      <c r="O4" s="58"/>
      <c r="P4" s="58"/>
      <c r="Q4" s="58"/>
      <c r="R4" s="58"/>
    </row>
    <row r="5" customFormat="false" ht="54" hidden="false" customHeight="true" outlineLevel="0" collapsed="false">
      <c r="A5" s="60" t="s">
        <v>103</v>
      </c>
      <c r="B5" s="7" t="s">
        <v>1374</v>
      </c>
      <c r="C5" s="7" t="s">
        <v>1375</v>
      </c>
      <c r="D5" s="7" t="s">
        <v>1376</v>
      </c>
      <c r="E5" s="7" t="s">
        <v>1377</v>
      </c>
      <c r="F5" s="7" t="s">
        <v>1378</v>
      </c>
      <c r="G5" s="7" t="s">
        <v>1379</v>
      </c>
      <c r="H5" s="7" t="s">
        <v>1380</v>
      </c>
      <c r="I5" s="7" t="s">
        <v>1381</v>
      </c>
      <c r="J5" s="7" t="s">
        <v>1382</v>
      </c>
      <c r="K5" s="7" t="s">
        <v>1383</v>
      </c>
      <c r="L5" s="7" t="s">
        <v>1384</v>
      </c>
      <c r="M5" s="7" t="s">
        <v>22</v>
      </c>
      <c r="N5" s="7" t="s">
        <v>1385</v>
      </c>
      <c r="O5" s="7" t="s">
        <v>1386</v>
      </c>
      <c r="P5" s="7" t="s">
        <v>1387</v>
      </c>
      <c r="Q5" s="7" t="s">
        <v>1388</v>
      </c>
      <c r="R5" s="7" t="s">
        <v>1389</v>
      </c>
      <c r="S5" s="73" t="s">
        <v>1390</v>
      </c>
      <c r="T5" s="73" t="s">
        <v>1391</v>
      </c>
      <c r="U5" s="73" t="s">
        <v>1392</v>
      </c>
      <c r="V5" s="29" t="s">
        <v>1393</v>
      </c>
    </row>
    <row r="6" customFormat="false" ht="14.25" hidden="false" customHeight="false" outlineLevel="0" collapsed="false">
      <c r="A6" s="61" t="n">
        <v>1846</v>
      </c>
      <c r="B6" s="62" t="n">
        <v>0.002</v>
      </c>
      <c r="C6" s="56" t="n">
        <f aca="false">Economy!O6*B6</f>
        <v>0.03820065</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0.03820065</v>
      </c>
      <c r="I6" s="72" t="n">
        <f aca="false">Champions!AY6</f>
        <v>0</v>
      </c>
      <c r="J6" s="56" t="n">
        <f aca="false">H6+I6</f>
        <v>0.03820065</v>
      </c>
      <c r="K6" s="56" t="n">
        <f aca="false">(E6-0-'War credit'!Q6)*abroad_return*IF(OR(A6=1931,A6=1932),abroad_slump,1)+0+'War credit'!U6</f>
        <v>0</v>
      </c>
      <c r="L6" s="72" t="n">
        <f aca="false">Champions!AZ6</f>
        <v>0</v>
      </c>
      <c r="M6" s="56" t="n">
        <f aca="false">K6+L6</f>
        <v>0</v>
      </c>
      <c r="N6" s="56" t="n">
        <f aca="false">M6*abroad_tax</f>
        <v>0</v>
      </c>
      <c r="O6" s="72" t="n">
        <f aca="false">Labour!R6</f>
        <v>0</v>
      </c>
      <c r="P6" s="50" t="n">
        <f aca="false">Economy!O6+M6-O6-V6</f>
        <v>19.100325</v>
      </c>
      <c r="Q6" s="66" t="n">
        <f aca="false">M6/P6</f>
        <v>0</v>
      </c>
      <c r="R6" s="66" t="n">
        <f aca="false">J6/Economy!O6</f>
        <v>0.002</v>
      </c>
      <c r="S6" s="74" t="n">
        <f aca="false">0</f>
        <v>0</v>
      </c>
      <c r="T6" s="74" t="n">
        <f aca="false">C6-S6</f>
        <v>0.03820065</v>
      </c>
      <c r="U6" s="74" t="n">
        <f aca="false">0</f>
        <v>0</v>
      </c>
      <c r="V6" s="75" t="n">
        <f aca="false">'Champion funding'!P6</f>
        <v>0</v>
      </c>
    </row>
    <row r="7" customFormat="false" ht="14.25" hidden="false" customHeight="false" outlineLevel="0" collapsed="false">
      <c r="A7" s="61" t="n">
        <v>1847</v>
      </c>
      <c r="B7" s="62" t="n">
        <v>0.002</v>
      </c>
      <c r="C7" s="56" t="n">
        <f aca="false">Economy!O7*B7</f>
        <v>0.04078636614</v>
      </c>
      <c r="D7" s="56" t="n">
        <f aca="false">IF(AND($A7&gt;=1914,$A7&lt;=1918),entente_total*entente_private*CHOOSE($A7-1913,0.05,0.1333,0.2333,0.3,0.2834),0)</f>
        <v>0</v>
      </c>
      <c r="E7" s="56" t="n">
        <f aca="false">H6</f>
        <v>0.03820065</v>
      </c>
      <c r="F7" s="56" t="n">
        <f aca="false">(E7-0-'War credit'!Q7)*abroad_repat+0+'War credit'!R7</f>
        <v>0.0011460195</v>
      </c>
      <c r="G7" s="56" t="n">
        <f aca="false">'War credit'!S7+IF(OR(A7=1931,A7=1932),(E7-0-'War credit'!Q7)*abroad_loss/2,0)</f>
        <v>0</v>
      </c>
      <c r="H7" s="56" t="n">
        <f aca="false">E7+C7+D7-F7-G7</f>
        <v>0.07784099664</v>
      </c>
      <c r="I7" s="72" t="n">
        <f aca="false">Champions!AY7</f>
        <v>0</v>
      </c>
      <c r="J7" s="56" t="n">
        <f aca="false">H7+I7</f>
        <v>0.07784099664</v>
      </c>
      <c r="K7" s="56" t="n">
        <f aca="false">(E7-0-'War credit'!Q7)*abroad_return*IF(OR(A7=1931,A7=1932),abroad_slump,1)+0+'War credit'!U7</f>
        <v>0.002292039</v>
      </c>
      <c r="L7" s="72" t="n">
        <f aca="false">Champions!AZ7</f>
        <v>0</v>
      </c>
      <c r="M7" s="56" t="n">
        <f aca="false">K7+L7</f>
        <v>0.002292039</v>
      </c>
      <c r="N7" s="56" t="n">
        <f aca="false">M7*abroad_tax</f>
        <v>0.0002292039</v>
      </c>
      <c r="O7" s="72" t="n">
        <f aca="false">Labour!R7</f>
        <v>0</v>
      </c>
      <c r="P7" s="50" t="n">
        <f aca="false">Economy!O7+M7-O7-V7</f>
        <v>20.395475109</v>
      </c>
      <c r="Q7" s="66" t="n">
        <f aca="false">M7/P7</f>
        <v>0.000112379779718325</v>
      </c>
      <c r="R7" s="66" t="n">
        <f aca="false">J7/Economy!O7</f>
        <v>0.00381701063403439</v>
      </c>
      <c r="S7" s="74" t="n">
        <f aca="false">0</f>
        <v>0</v>
      </c>
      <c r="T7" s="74" t="n">
        <f aca="false">C7-S7</f>
        <v>0.04078636614</v>
      </c>
      <c r="U7" s="74" t="n">
        <f aca="false">0</f>
        <v>0</v>
      </c>
      <c r="V7" s="75" t="n">
        <f aca="false">'Champion funding'!P7</f>
        <v>0</v>
      </c>
    </row>
    <row r="8" customFormat="false" ht="14.25" hidden="false" customHeight="false" outlineLevel="0" collapsed="false">
      <c r="A8" s="61" t="n">
        <v>1848</v>
      </c>
      <c r="B8" s="62" t="n">
        <v>0.002</v>
      </c>
      <c r="C8" s="56" t="n">
        <f aca="false">Economy!O8*B8</f>
        <v>0.0586323490091648</v>
      </c>
      <c r="D8" s="56" t="n">
        <f aca="false">IF(AND($A8&gt;=1914,$A8&lt;=1918),entente_total*entente_private*CHOOSE($A8-1913,0.05,0.1333,0.2333,0.3,0.2834),0)</f>
        <v>0</v>
      </c>
      <c r="E8" s="56" t="n">
        <f aca="false">H7</f>
        <v>0.07784099664</v>
      </c>
      <c r="F8" s="56" t="n">
        <f aca="false">(E8-0-'War credit'!Q8)*abroad_repat+0+'War credit'!R8</f>
        <v>0.0023352298992</v>
      </c>
      <c r="G8" s="56" t="n">
        <f aca="false">'War credit'!S8+IF(OR(A8=1931,A8=1932),(E8-0-'War credit'!Q8)*abroad_loss/2,0)</f>
        <v>0</v>
      </c>
      <c r="H8" s="56" t="n">
        <f aca="false">E8+C8+D8-F8-G8</f>
        <v>0.134138115749965</v>
      </c>
      <c r="I8" s="72" t="n">
        <f aca="false">Champions!AY8</f>
        <v>0</v>
      </c>
      <c r="J8" s="56" t="n">
        <f aca="false">H8+I8</f>
        <v>0.134138115749965</v>
      </c>
      <c r="K8" s="56" t="n">
        <f aca="false">(E8-0-'War credit'!Q8)*abroad_return*IF(OR(A8=1931,A8=1932),abroad_slump,1)+0+'War credit'!U8</f>
        <v>0.0046704597984</v>
      </c>
      <c r="L8" s="72" t="n">
        <f aca="false">Champions!AZ8</f>
        <v>0</v>
      </c>
      <c r="M8" s="56" t="n">
        <f aca="false">K8+L8</f>
        <v>0.0046704597984</v>
      </c>
      <c r="N8" s="56" t="n">
        <f aca="false">M8*abroad_tax</f>
        <v>0.00046704597984</v>
      </c>
      <c r="O8" s="72" t="n">
        <f aca="false">Labour!R8</f>
        <v>0</v>
      </c>
      <c r="P8" s="50" t="n">
        <f aca="false">Economy!O8+M8-O8-V8</f>
        <v>29.3208449643808</v>
      </c>
      <c r="Q8" s="66" t="n">
        <f aca="false">M8/P8</f>
        <v>0.000159288035664515</v>
      </c>
      <c r="R8" s="66" t="n">
        <f aca="false">J8/Economy!O8</f>
        <v>0.00457556683355796</v>
      </c>
      <c r="S8" s="74" t="n">
        <f aca="false">0</f>
        <v>0</v>
      </c>
      <c r="T8" s="74" t="n">
        <f aca="false">C8-S8</f>
        <v>0.0586323490091648</v>
      </c>
      <c r="U8" s="74" t="n">
        <f aca="false">0</f>
        <v>0</v>
      </c>
      <c r="V8" s="75" t="n">
        <f aca="false">'Champion funding'!P8</f>
        <v>0</v>
      </c>
    </row>
    <row r="9" customFormat="false" ht="14.25" hidden="false" customHeight="false" outlineLevel="0" collapsed="false">
      <c r="A9" s="61" t="n">
        <v>1849</v>
      </c>
      <c r="B9" s="62" t="n">
        <v>0.002</v>
      </c>
      <c r="C9" s="56" t="n">
        <f aca="false">Economy!O9*B9</f>
        <v>0.140806614282069</v>
      </c>
      <c r="D9" s="56" t="n">
        <f aca="false">IF(AND($A9&gt;=1914,$A9&lt;=1918),entente_total*entente_private*CHOOSE($A9-1913,0.05,0.1333,0.2333,0.3,0.2834),0)</f>
        <v>0</v>
      </c>
      <c r="E9" s="56" t="n">
        <f aca="false">H8</f>
        <v>0.134138115749965</v>
      </c>
      <c r="F9" s="56" t="n">
        <f aca="false">(E9-0-'War credit'!Q9)*abroad_repat+0+'War credit'!R9</f>
        <v>0.00402414347249894</v>
      </c>
      <c r="G9" s="56" t="n">
        <f aca="false">'War credit'!S9+IF(OR(A9=1931,A9=1932),(E9-0-'War credit'!Q9)*abroad_loss/2,0)</f>
        <v>0</v>
      </c>
      <c r="H9" s="56" t="n">
        <f aca="false">E9+C9+D9-F9-G9</f>
        <v>0.270920586559535</v>
      </c>
      <c r="I9" s="72" t="n">
        <f aca="false">Champions!AY9</f>
        <v>0</v>
      </c>
      <c r="J9" s="56" t="n">
        <f aca="false">H9+I9</f>
        <v>0.270920586559535</v>
      </c>
      <c r="K9" s="56" t="n">
        <f aca="false">(E9-0-'War credit'!Q9)*abroad_return*IF(OR(A9=1931,A9=1932),abroad_slump,1)+0+'War credit'!U9</f>
        <v>0.00804828694499789</v>
      </c>
      <c r="L9" s="72" t="n">
        <f aca="false">Champions!AZ9</f>
        <v>0</v>
      </c>
      <c r="M9" s="56" t="n">
        <f aca="false">K9+L9</f>
        <v>0.00804828694499789</v>
      </c>
      <c r="N9" s="56" t="n">
        <f aca="false">M9*abroad_tax</f>
        <v>0.000804828694499789</v>
      </c>
      <c r="O9" s="72" t="n">
        <f aca="false">Labour!R9</f>
        <v>0</v>
      </c>
      <c r="P9" s="50" t="n">
        <f aca="false">Economy!O9+M9-O9-V9</f>
        <v>70.4113554279794</v>
      </c>
      <c r="Q9" s="66" t="n">
        <f aca="false">M9/P9</f>
        <v>0.000114303820684579</v>
      </c>
      <c r="R9" s="66" t="n">
        <f aca="false">J9/Economy!O9</f>
        <v>0.00384812301525576</v>
      </c>
      <c r="S9" s="74" t="n">
        <f aca="false">0</f>
        <v>0</v>
      </c>
      <c r="T9" s="74" t="n">
        <f aca="false">C9-S9</f>
        <v>0.140806614282069</v>
      </c>
      <c r="U9" s="74" t="n">
        <f aca="false">0</f>
        <v>0</v>
      </c>
      <c r="V9" s="75" t="n">
        <f aca="false">'Champion funding'!P9</f>
        <v>0</v>
      </c>
    </row>
    <row r="10" customFormat="false" ht="14.25" hidden="false" customHeight="false" outlineLevel="0" collapsed="false">
      <c r="A10" s="61" t="n">
        <v>1850</v>
      </c>
      <c r="B10" s="62" t="n">
        <v>0.002</v>
      </c>
      <c r="C10" s="56" t="n">
        <f aca="false">Economy!O10*B10</f>
        <v>0.154676065105506</v>
      </c>
      <c r="D10" s="56" t="n">
        <f aca="false">IF(AND($A10&gt;=1914,$A10&lt;=1918),entente_total*entente_private*CHOOSE($A10-1913,0.05,0.1333,0.2333,0.3,0.2834),0)</f>
        <v>0</v>
      </c>
      <c r="E10" s="56" t="n">
        <f aca="false">H9</f>
        <v>0.270920586559535</v>
      </c>
      <c r="F10" s="56" t="n">
        <f aca="false">(E10-0-'War credit'!Q10)*abroad_repat+0+'War credit'!R10</f>
        <v>0.00812761759678604</v>
      </c>
      <c r="G10" s="56" t="n">
        <f aca="false">'War credit'!S10+IF(OR(A10=1931,A10=1932),(E10-0-'War credit'!Q10)*abroad_loss/2,0)</f>
        <v>0</v>
      </c>
      <c r="H10" s="56" t="n">
        <f aca="false">E10+C10+D10-F10-G10</f>
        <v>0.417469034068255</v>
      </c>
      <c r="I10" s="72" t="n">
        <f aca="false">Champions!AY10</f>
        <v>0</v>
      </c>
      <c r="J10" s="56" t="n">
        <f aca="false">H10+I10</f>
        <v>0.417469034068255</v>
      </c>
      <c r="K10" s="56" t="n">
        <f aca="false">(E10-0-'War credit'!Q10)*abroad_return*IF(OR(A10=1931,A10=1932),abroad_slump,1)+0+'War credit'!U10</f>
        <v>0.0162552351935721</v>
      </c>
      <c r="L10" s="72" t="n">
        <f aca="false">Champions!AZ10</f>
        <v>0</v>
      </c>
      <c r="M10" s="56" t="n">
        <f aca="false">K10+L10</f>
        <v>0.0162552351935721</v>
      </c>
      <c r="N10" s="56" t="n">
        <f aca="false">M10*abroad_tax</f>
        <v>0.00162552351935721</v>
      </c>
      <c r="O10" s="72" t="n">
        <f aca="false">Labour!R10</f>
        <v>0</v>
      </c>
      <c r="P10" s="50" t="n">
        <f aca="false">Economy!O10+M10-O10-V10</f>
        <v>77.3542877879465</v>
      </c>
      <c r="Q10" s="66" t="n">
        <f aca="false">M10/P10</f>
        <v>0.000210140066677791</v>
      </c>
      <c r="R10" s="66" t="n">
        <f aca="false">J10/Economy!O10</f>
        <v>0.00539797846271167</v>
      </c>
      <c r="S10" s="74" t="n">
        <f aca="false">0</f>
        <v>0</v>
      </c>
      <c r="T10" s="74" t="n">
        <f aca="false">C10-S10</f>
        <v>0.154676065105506</v>
      </c>
      <c r="U10" s="74" t="n">
        <f aca="false">0</f>
        <v>0</v>
      </c>
      <c r="V10" s="75" t="n">
        <f aca="false">'Champion funding'!P10</f>
        <v>0</v>
      </c>
    </row>
    <row r="11" customFormat="false" ht="14.25" hidden="false" customHeight="false" outlineLevel="0" collapsed="false">
      <c r="A11" s="61" t="n">
        <v>1851</v>
      </c>
      <c r="B11" s="62" t="n">
        <v>0.002</v>
      </c>
      <c r="C11" s="56" t="n">
        <f aca="false">Economy!O11*B11</f>
        <v>0.211387813064332</v>
      </c>
      <c r="D11" s="56" t="n">
        <f aca="false">IF(AND($A11&gt;=1914,$A11&lt;=1918),entente_total*entente_private*CHOOSE($A11-1913,0.05,0.1333,0.2333,0.3,0.2834),0)</f>
        <v>0</v>
      </c>
      <c r="E11" s="56" t="n">
        <f aca="false">H10</f>
        <v>0.417469034068255</v>
      </c>
      <c r="F11" s="56" t="n">
        <f aca="false">(E11-0-'War credit'!Q11)*abroad_repat+0+'War credit'!R11</f>
        <v>0.0125240710220476</v>
      </c>
      <c r="G11" s="56" t="n">
        <f aca="false">'War credit'!S11+IF(OR(A11=1931,A11=1932),(E11-0-'War credit'!Q11)*abroad_loss/2,0)</f>
        <v>0</v>
      </c>
      <c r="H11" s="56" t="n">
        <f aca="false">E11+C11+D11-F11-G11</f>
        <v>0.616332776110539</v>
      </c>
      <c r="I11" s="72" t="n">
        <f aca="false">Champions!AY11</f>
        <v>0</v>
      </c>
      <c r="J11" s="56" t="n">
        <f aca="false">H11+I11</f>
        <v>0.616332776110539</v>
      </c>
      <c r="K11" s="56" t="n">
        <f aca="false">(E11-0-'War credit'!Q11)*abroad_return*IF(OR(A11=1931,A11=1932),abroad_slump,1)+0+'War credit'!U11</f>
        <v>0.0250481420440953</v>
      </c>
      <c r="L11" s="72" t="n">
        <f aca="false">Champions!AZ11</f>
        <v>0</v>
      </c>
      <c r="M11" s="56" t="n">
        <f aca="false">K11+L11</f>
        <v>0.0250481420440953</v>
      </c>
      <c r="N11" s="56" t="n">
        <f aca="false">M11*abroad_tax</f>
        <v>0.00250481420440953</v>
      </c>
      <c r="O11" s="72" t="n">
        <f aca="false">Labour!R11</f>
        <v>0</v>
      </c>
      <c r="P11" s="50" t="n">
        <f aca="false">Economy!O11+M11-O11-V11</f>
        <v>105.71895467421</v>
      </c>
      <c r="Q11" s="66" t="n">
        <f aca="false">M11/P11</f>
        <v>0.0002369314199264</v>
      </c>
      <c r="R11" s="66" t="n">
        <f aca="false">J11/Economy!O11</f>
        <v>0.00583129904393277</v>
      </c>
      <c r="S11" s="74" t="n">
        <f aca="false">0</f>
        <v>0</v>
      </c>
      <c r="T11" s="74" t="n">
        <f aca="false">C11-S11</f>
        <v>0.211387813064332</v>
      </c>
      <c r="U11" s="74" t="n">
        <f aca="false">0</f>
        <v>0</v>
      </c>
      <c r="V11" s="75" t="n">
        <f aca="false">'Champion funding'!P11</f>
        <v>0</v>
      </c>
    </row>
    <row r="12" customFormat="false" ht="14.25" hidden="false" customHeight="false" outlineLevel="0" collapsed="false">
      <c r="A12" s="61" t="n">
        <v>1852</v>
      </c>
      <c r="B12" s="62" t="n">
        <v>0.002</v>
      </c>
      <c r="C12" s="56" t="n">
        <f aca="false">Economy!O12*B12</f>
        <v>0.237604709254293</v>
      </c>
      <c r="D12" s="56" t="n">
        <f aca="false">IF(AND($A12&gt;=1914,$A12&lt;=1918),entente_total*entente_private*CHOOSE($A12-1913,0.05,0.1333,0.2333,0.3,0.2834),0)</f>
        <v>0</v>
      </c>
      <c r="E12" s="56" t="n">
        <f aca="false">H11</f>
        <v>0.616332776110539</v>
      </c>
      <c r="F12" s="56" t="n">
        <f aca="false">(E12-0-'War credit'!Q12)*abroad_repat+0+'War credit'!R12</f>
        <v>0.0184899832833162</v>
      </c>
      <c r="G12" s="56" t="n">
        <f aca="false">'War credit'!S12+IF(OR(A12=1931,A12=1932),(E12-0-'War credit'!Q12)*abroad_loss/2,0)</f>
        <v>0</v>
      </c>
      <c r="H12" s="56" t="n">
        <f aca="false">E12+C12+D12-F12-G12</f>
        <v>0.835447502081515</v>
      </c>
      <c r="I12" s="72" t="n">
        <f aca="false">Champions!AY12</f>
        <v>0</v>
      </c>
      <c r="J12" s="56" t="n">
        <f aca="false">H12+I12</f>
        <v>0.835447502081515</v>
      </c>
      <c r="K12" s="56" t="n">
        <f aca="false">(E12-0-'War credit'!Q12)*abroad_return*IF(OR(A12=1931,A12=1932),abroad_slump,1)+0+'War credit'!U12</f>
        <v>0.0369799665666323</v>
      </c>
      <c r="L12" s="72" t="n">
        <f aca="false">Champions!AZ12</f>
        <v>0</v>
      </c>
      <c r="M12" s="56" t="n">
        <f aca="false">K12+L12</f>
        <v>0.0369799665666323</v>
      </c>
      <c r="N12" s="56" t="n">
        <f aca="false">M12*abroad_tax</f>
        <v>0.00369799665666323</v>
      </c>
      <c r="O12" s="72" t="n">
        <f aca="false">Labour!R12</f>
        <v>0</v>
      </c>
      <c r="P12" s="50" t="n">
        <f aca="false">Economy!O12+M12-O12-V12</f>
        <v>118.839334593713</v>
      </c>
      <c r="Q12" s="66" t="n">
        <f aca="false">M12/P12</f>
        <v>0.00031117614965667</v>
      </c>
      <c r="R12" s="66" t="n">
        <f aca="false">J12/Economy!O12</f>
        <v>0.00703224700136217</v>
      </c>
      <c r="S12" s="74" t="n">
        <f aca="false">0</f>
        <v>0</v>
      </c>
      <c r="T12" s="74" t="n">
        <f aca="false">C12-S12</f>
        <v>0.237604709254293</v>
      </c>
      <c r="U12" s="74" t="n">
        <f aca="false">0</f>
        <v>0</v>
      </c>
      <c r="V12" s="75" t="n">
        <f aca="false">'Champion funding'!P12</f>
        <v>0</v>
      </c>
    </row>
    <row r="13" customFormat="false" ht="14.25" hidden="false" customHeight="false" outlineLevel="0" collapsed="false">
      <c r="A13" s="61" t="n">
        <v>1853</v>
      </c>
      <c r="B13" s="62" t="n">
        <v>0.002</v>
      </c>
      <c r="C13" s="56" t="n">
        <f aca="false">Economy!O13*B13</f>
        <v>0.238429332993259</v>
      </c>
      <c r="D13" s="56" t="n">
        <f aca="false">IF(AND($A13&gt;=1914,$A13&lt;=1918),entente_total*entente_private*CHOOSE($A13-1913,0.05,0.1333,0.2333,0.3,0.2834),0)</f>
        <v>0</v>
      </c>
      <c r="E13" s="56" t="n">
        <f aca="false">H12</f>
        <v>0.835447502081515</v>
      </c>
      <c r="F13" s="56" t="n">
        <f aca="false">(E13-0-'War credit'!Q13)*abroad_repat+0+'War credit'!R13</f>
        <v>0.0250634250624455</v>
      </c>
      <c r="G13" s="56" t="n">
        <f aca="false">'War credit'!S13+IF(OR(A13=1931,A13=1932),(E13-0-'War credit'!Q13)*abroad_loss/2,0)</f>
        <v>0</v>
      </c>
      <c r="H13" s="56" t="n">
        <f aca="false">E13+C13+D13-F13-G13</f>
        <v>1.04881341001233</v>
      </c>
      <c r="I13" s="72" t="n">
        <f aca="false">Champions!AY13</f>
        <v>0</v>
      </c>
      <c r="J13" s="56" t="n">
        <f aca="false">H13+I13</f>
        <v>1.04881341001233</v>
      </c>
      <c r="K13" s="56" t="n">
        <f aca="false">(E13-0-'War credit'!Q13)*abroad_return*IF(OR(A13=1931,A13=1932),abroad_slump,1)+0+'War credit'!U13</f>
        <v>0.0501268501248909</v>
      </c>
      <c r="L13" s="72" t="n">
        <f aca="false">Champions!AZ13</f>
        <v>0</v>
      </c>
      <c r="M13" s="56" t="n">
        <f aca="false">K13+L13</f>
        <v>0.0501268501248909</v>
      </c>
      <c r="N13" s="56" t="n">
        <f aca="false">M13*abroad_tax</f>
        <v>0.00501268501248909</v>
      </c>
      <c r="O13" s="72" t="n">
        <f aca="false">Labour!R13</f>
        <v>0</v>
      </c>
      <c r="P13" s="50" t="n">
        <f aca="false">Economy!O13+M13-O13-V13</f>
        <v>119.264793346755</v>
      </c>
      <c r="Q13" s="66" t="n">
        <f aca="false">M13/P13</f>
        <v>0.000420298805022455</v>
      </c>
      <c r="R13" s="66" t="n">
        <f aca="false">J13/Economy!O13</f>
        <v>0.0087976877412309</v>
      </c>
      <c r="S13" s="74" t="n">
        <f aca="false">0</f>
        <v>0</v>
      </c>
      <c r="T13" s="74" t="n">
        <f aca="false">C13-S13</f>
        <v>0.238429332993259</v>
      </c>
      <c r="U13" s="74" t="n">
        <f aca="false">0</f>
        <v>0</v>
      </c>
      <c r="V13" s="75" t="n">
        <f aca="false">'Champion funding'!P13</f>
        <v>0</v>
      </c>
    </row>
    <row r="14" customFormat="false" ht="14.25" hidden="false" customHeight="false" outlineLevel="0" collapsed="false">
      <c r="A14" s="61" t="n">
        <v>1854</v>
      </c>
      <c r="B14" s="62" t="n">
        <v>0.002</v>
      </c>
      <c r="C14" s="56" t="n">
        <f aca="false">Economy!O14*B14</f>
        <v>0.256582722923421</v>
      </c>
      <c r="D14" s="56" t="n">
        <f aca="false">IF(AND($A14&gt;=1914,$A14&lt;=1918),entente_total*entente_private*CHOOSE($A14-1913,0.05,0.1333,0.2333,0.3,0.2834),0)</f>
        <v>0</v>
      </c>
      <c r="E14" s="56" t="n">
        <f aca="false">H13</f>
        <v>1.04881341001233</v>
      </c>
      <c r="F14" s="56" t="n">
        <f aca="false">(E14-0-'War credit'!Q14)*abroad_repat+0+'War credit'!R14</f>
        <v>0.0314644023003699</v>
      </c>
      <c r="G14" s="56" t="n">
        <f aca="false">'War credit'!S14+IF(OR(A14=1931,A14=1932),(E14-0-'War credit'!Q14)*abroad_loss/2,0)</f>
        <v>0</v>
      </c>
      <c r="H14" s="56" t="n">
        <f aca="false">E14+C14+D14-F14-G14</f>
        <v>1.27393173063538</v>
      </c>
      <c r="I14" s="72" t="n">
        <f aca="false">Champions!AY14</f>
        <v>0</v>
      </c>
      <c r="J14" s="56" t="n">
        <f aca="false">H14+I14</f>
        <v>1.27393173063538</v>
      </c>
      <c r="K14" s="56" t="n">
        <f aca="false">(E14-0-'War credit'!Q14)*abroad_return*IF(OR(A14=1931,A14=1932),abroad_slump,1)+0+'War credit'!U14</f>
        <v>0.0629288046007397</v>
      </c>
      <c r="L14" s="72" t="n">
        <f aca="false">Champions!AZ14</f>
        <v>0</v>
      </c>
      <c r="M14" s="56" t="n">
        <f aca="false">K14+L14</f>
        <v>0.0629288046007397</v>
      </c>
      <c r="N14" s="56" t="n">
        <f aca="false">M14*abroad_tax</f>
        <v>0.00629288046007397</v>
      </c>
      <c r="O14" s="72" t="n">
        <f aca="false">Labour!R14</f>
        <v>0</v>
      </c>
      <c r="P14" s="50" t="n">
        <f aca="false">Economy!O14+M14-O14-V14</f>
        <v>128.354290266311</v>
      </c>
      <c r="Q14" s="66" t="n">
        <f aca="false">M14/P14</f>
        <v>0.000490274259396972</v>
      </c>
      <c r="R14" s="66" t="n">
        <f aca="false">J14/Economy!O14</f>
        <v>0.00992998839610564</v>
      </c>
      <c r="S14" s="74" t="n">
        <f aca="false">0</f>
        <v>0</v>
      </c>
      <c r="T14" s="74" t="n">
        <f aca="false">C14-S14</f>
        <v>0.256582722923421</v>
      </c>
      <c r="U14" s="74" t="n">
        <f aca="false">0</f>
        <v>0</v>
      </c>
      <c r="V14" s="75" t="n">
        <f aca="false">'Champion funding'!P14</f>
        <v>0</v>
      </c>
    </row>
    <row r="15" customFormat="false" ht="14.25" hidden="false" customHeight="false" outlineLevel="0" collapsed="false">
      <c r="A15" s="61" t="n">
        <v>1855</v>
      </c>
      <c r="B15" s="62" t="n">
        <v>0.002</v>
      </c>
      <c r="C15" s="56" t="n">
        <f aca="false">Economy!O15*B15</f>
        <v>0.251576694462801</v>
      </c>
      <c r="D15" s="56" t="n">
        <f aca="false">IF(AND($A15&gt;=1914,$A15&lt;=1918),entente_total*entente_private*CHOOSE($A15-1913,0.05,0.1333,0.2333,0.3,0.2834),0)</f>
        <v>0</v>
      </c>
      <c r="E15" s="56" t="n">
        <f aca="false">H14</f>
        <v>1.27393173063538</v>
      </c>
      <c r="F15" s="56" t="n">
        <f aca="false">(E15-0-'War credit'!Q15)*abroad_repat+0+'War credit'!R15</f>
        <v>0.0382179519190614</v>
      </c>
      <c r="G15" s="56" t="n">
        <f aca="false">'War credit'!S15+IF(OR(A15=1931,A15=1932),(E15-0-'War credit'!Q15)*abroad_loss/2,0)</f>
        <v>0</v>
      </c>
      <c r="H15" s="56" t="n">
        <f aca="false">E15+C15+D15-F15-G15</f>
        <v>1.48729047317912</v>
      </c>
      <c r="I15" s="72" t="n">
        <f aca="false">Champions!AY15</f>
        <v>0</v>
      </c>
      <c r="J15" s="56" t="n">
        <f aca="false">H15+I15</f>
        <v>1.48729047317912</v>
      </c>
      <c r="K15" s="56" t="n">
        <f aca="false">(E15-0-'War credit'!Q15)*abroad_return*IF(OR(A15=1931,A15=1932),abroad_slump,1)+0+'War credit'!U15</f>
        <v>0.0764359038381228</v>
      </c>
      <c r="L15" s="72" t="n">
        <f aca="false">Champions!AZ15</f>
        <v>0</v>
      </c>
      <c r="M15" s="56" t="n">
        <f aca="false">K15+L15</f>
        <v>0.0764359038381228</v>
      </c>
      <c r="N15" s="56" t="n">
        <f aca="false">M15*abroad_tax</f>
        <v>0.00764359038381228</v>
      </c>
      <c r="O15" s="72" t="n">
        <f aca="false">Labour!R15</f>
        <v>0</v>
      </c>
      <c r="P15" s="50" t="n">
        <f aca="false">Economy!O15+M15-O15-V15</f>
        <v>125.864783135239</v>
      </c>
      <c r="Q15" s="66" t="n">
        <f aca="false">M15/P15</f>
        <v>0.000607285866102787</v>
      </c>
      <c r="R15" s="66" t="n">
        <f aca="false">J15/Economy!O15</f>
        <v>0.0118237539956153</v>
      </c>
      <c r="S15" s="74" t="n">
        <f aca="false">0</f>
        <v>0</v>
      </c>
      <c r="T15" s="74" t="n">
        <f aca="false">C15-S15</f>
        <v>0.251576694462801</v>
      </c>
      <c r="U15" s="74" t="n">
        <f aca="false">0</f>
        <v>0</v>
      </c>
      <c r="V15" s="75" t="n">
        <f aca="false">'Champion funding'!P15</f>
        <v>0</v>
      </c>
    </row>
    <row r="16" customFormat="false" ht="14.25" hidden="false" customHeight="false" outlineLevel="0" collapsed="false">
      <c r="A16" s="61" t="n">
        <v>1856</v>
      </c>
      <c r="B16" s="62" t="n">
        <v>0.002</v>
      </c>
      <c r="C16" s="56" t="n">
        <f aca="false">Economy!O16*B16</f>
        <v>0.282997440834694</v>
      </c>
      <c r="D16" s="56" t="n">
        <f aca="false">IF(AND($A16&gt;=1914,$A16&lt;=1918),entente_total*entente_private*CHOOSE($A16-1913,0.05,0.1333,0.2333,0.3,0.2834),0)</f>
        <v>0</v>
      </c>
      <c r="E16" s="56" t="n">
        <f aca="false">H15</f>
        <v>1.48729047317912</v>
      </c>
      <c r="F16" s="56" t="n">
        <f aca="false">(E16-0-'War credit'!Q16)*abroad_repat+0+'War credit'!R16</f>
        <v>0.0446187141953736</v>
      </c>
      <c r="G16" s="56" t="n">
        <f aca="false">'War credit'!S16+IF(OR(A16=1931,A16=1932),(E16-0-'War credit'!Q16)*abroad_loss/2,0)</f>
        <v>0</v>
      </c>
      <c r="H16" s="56" t="n">
        <f aca="false">E16+C16+D16-F16-G16</f>
        <v>1.72566919981844</v>
      </c>
      <c r="I16" s="72" t="n">
        <f aca="false">Champions!AY16</f>
        <v>0</v>
      </c>
      <c r="J16" s="56" t="n">
        <f aca="false">H16+I16</f>
        <v>1.72566919981844</v>
      </c>
      <c r="K16" s="56" t="n">
        <f aca="false">(E16-0-'War credit'!Q16)*abroad_return*IF(OR(A16=1931,A16=1932),abroad_slump,1)+0+'War credit'!U16</f>
        <v>0.0892374283907472</v>
      </c>
      <c r="L16" s="72" t="n">
        <f aca="false">Champions!AZ16</f>
        <v>0</v>
      </c>
      <c r="M16" s="56" t="n">
        <f aca="false">K16+L16</f>
        <v>0.0892374283907472</v>
      </c>
      <c r="N16" s="56" t="n">
        <f aca="false">M16*abroad_tax</f>
        <v>0.00892374283907472</v>
      </c>
      <c r="O16" s="72" t="n">
        <f aca="false">Labour!R16</f>
        <v>0</v>
      </c>
      <c r="P16" s="50" t="n">
        <f aca="false">Economy!O16+M16-O16-V16</f>
        <v>141.587957845738</v>
      </c>
      <c r="Q16" s="66" t="n">
        <f aca="false">M16/P16</f>
        <v>0.0006302614272322</v>
      </c>
      <c r="R16" s="66" t="n">
        <f aca="false">J16/Economy!O16</f>
        <v>0.0121956523333117</v>
      </c>
      <c r="S16" s="74" t="n">
        <f aca="false">0</f>
        <v>0</v>
      </c>
      <c r="T16" s="74" t="n">
        <f aca="false">C16-S16</f>
        <v>0.282997440834694</v>
      </c>
      <c r="U16" s="74" t="n">
        <f aca="false">0</f>
        <v>0</v>
      </c>
      <c r="V16" s="75" t="n">
        <f aca="false">'Champion funding'!P16</f>
        <v>0</v>
      </c>
    </row>
    <row r="17" customFormat="false" ht="14.25" hidden="false" customHeight="false" outlineLevel="0" collapsed="false">
      <c r="A17" s="61" t="n">
        <v>1857</v>
      </c>
      <c r="B17" s="62" t="n">
        <v>0.002</v>
      </c>
      <c r="C17" s="56" t="n">
        <f aca="false">Economy!O17*B17</f>
        <v>0.286924461161801</v>
      </c>
      <c r="D17" s="56" t="n">
        <f aca="false">IF(AND($A17&gt;=1914,$A17&lt;=1918),entente_total*entente_private*CHOOSE($A17-1913,0.05,0.1333,0.2333,0.3,0.2834),0)</f>
        <v>0</v>
      </c>
      <c r="E17" s="56" t="n">
        <f aca="false">H16</f>
        <v>1.72566919981844</v>
      </c>
      <c r="F17" s="56" t="n">
        <f aca="false">(E17-0-'War credit'!Q17)*abroad_repat+0+'War credit'!R17</f>
        <v>0.0517700759945532</v>
      </c>
      <c r="G17" s="56" t="n">
        <f aca="false">'War credit'!S17+IF(OR(A17=1931,A17=1932),(E17-0-'War credit'!Q17)*abroad_loss/2,0)</f>
        <v>0</v>
      </c>
      <c r="H17" s="56" t="n">
        <f aca="false">E17+C17+D17-F17-G17</f>
        <v>1.96082358498569</v>
      </c>
      <c r="I17" s="72" t="n">
        <f aca="false">Champions!AY17</f>
        <v>0</v>
      </c>
      <c r="J17" s="56" t="n">
        <f aca="false">H17+I17</f>
        <v>1.96082358498569</v>
      </c>
      <c r="K17" s="56" t="n">
        <f aca="false">(E17-0-'War credit'!Q17)*abroad_return*IF(OR(A17=1931,A17=1932),abroad_slump,1)+0+'War credit'!U17</f>
        <v>0.103540151989106</v>
      </c>
      <c r="L17" s="72" t="n">
        <f aca="false">Champions!AZ17</f>
        <v>0</v>
      </c>
      <c r="M17" s="56" t="n">
        <f aca="false">K17+L17</f>
        <v>0.103540151989106</v>
      </c>
      <c r="N17" s="56" t="n">
        <f aca="false">M17*abroad_tax</f>
        <v>0.0103540151989106</v>
      </c>
      <c r="O17" s="72" t="n">
        <f aca="false">Labour!R17</f>
        <v>0</v>
      </c>
      <c r="P17" s="50" t="n">
        <f aca="false">Economy!O17+M17-O17-V17</f>
        <v>143.56577073289</v>
      </c>
      <c r="Q17" s="66" t="n">
        <f aca="false">M17/P17</f>
        <v>0.000721203609053494</v>
      </c>
      <c r="R17" s="66" t="n">
        <f aca="false">J17/Economy!O17</f>
        <v>0.0136678732586689</v>
      </c>
      <c r="S17" s="74" t="n">
        <f aca="false">0</f>
        <v>0</v>
      </c>
      <c r="T17" s="74" t="n">
        <f aca="false">C17-S17</f>
        <v>0.286924461161801</v>
      </c>
      <c r="U17" s="74" t="n">
        <f aca="false">0</f>
        <v>0</v>
      </c>
      <c r="V17" s="75" t="n">
        <f aca="false">'Champion funding'!P17</f>
        <v>0</v>
      </c>
    </row>
    <row r="18" customFormat="false" ht="14.25" hidden="false" customHeight="false" outlineLevel="0" collapsed="false">
      <c r="A18" s="61" t="n">
        <v>1858</v>
      </c>
      <c r="B18" s="62" t="n">
        <v>0.002</v>
      </c>
      <c r="C18" s="56" t="n">
        <f aca="false">Economy!O18*B18</f>
        <v>0.31131061676365</v>
      </c>
      <c r="D18" s="56" t="n">
        <f aca="false">IF(AND($A18&gt;=1914,$A18&lt;=1918),entente_total*entente_private*CHOOSE($A18-1913,0.05,0.1333,0.2333,0.3,0.2834),0)</f>
        <v>0</v>
      </c>
      <c r="E18" s="56" t="n">
        <f aca="false">H17</f>
        <v>1.96082358498569</v>
      </c>
      <c r="F18" s="56" t="n">
        <f aca="false">(E18-0-'War credit'!Q18)*abroad_repat+0+'War credit'!R18</f>
        <v>0.0588247075495707</v>
      </c>
      <c r="G18" s="56" t="n">
        <f aca="false">'War credit'!S18+IF(OR(A18=1931,A18=1932),(E18-0-'War credit'!Q18)*abroad_loss/2,0)</f>
        <v>0</v>
      </c>
      <c r="H18" s="56" t="n">
        <f aca="false">E18+C18+D18-F18-G18</f>
        <v>2.21330949419977</v>
      </c>
      <c r="I18" s="72" t="n">
        <f aca="false">Champions!AY18</f>
        <v>0</v>
      </c>
      <c r="J18" s="56" t="n">
        <f aca="false">H18+I18</f>
        <v>2.21330949419977</v>
      </c>
      <c r="K18" s="56" t="n">
        <f aca="false">(E18-0-'War credit'!Q18)*abroad_return*IF(OR(A18=1931,A18=1932),abroad_slump,1)+0+'War credit'!U18</f>
        <v>0.117649415099141</v>
      </c>
      <c r="L18" s="72" t="n">
        <f aca="false">Champions!AZ18</f>
        <v>0</v>
      </c>
      <c r="M18" s="56" t="n">
        <f aca="false">K18+L18</f>
        <v>0.117649415099141</v>
      </c>
      <c r="N18" s="56" t="n">
        <f aca="false">M18*abroad_tax</f>
        <v>0.0117649415099141</v>
      </c>
      <c r="O18" s="72" t="n">
        <f aca="false">Labour!R18</f>
        <v>0</v>
      </c>
      <c r="P18" s="50" t="n">
        <f aca="false">Economy!O18+M18-O18-V18</f>
        <v>155.772957796924</v>
      </c>
      <c r="Q18" s="66" t="n">
        <f aca="false">M18/P18</f>
        <v>0.000755262124845296</v>
      </c>
      <c r="R18" s="66" t="n">
        <f aca="false">J18/Economy!O18</f>
        <v>0.0142192997926578</v>
      </c>
      <c r="S18" s="74" t="n">
        <f aca="false">0</f>
        <v>0</v>
      </c>
      <c r="T18" s="74" t="n">
        <f aca="false">C18-S18</f>
        <v>0.31131061676365</v>
      </c>
      <c r="U18" s="74" t="n">
        <f aca="false">0</f>
        <v>0</v>
      </c>
      <c r="V18" s="75" t="n">
        <f aca="false">'Champion funding'!P18</f>
        <v>0</v>
      </c>
    </row>
    <row r="19" customFormat="false" ht="14.25" hidden="false" customHeight="false" outlineLevel="0" collapsed="false">
      <c r="A19" s="61" t="n">
        <v>1859</v>
      </c>
      <c r="B19" s="62" t="n">
        <v>0.002</v>
      </c>
      <c r="C19" s="56" t="n">
        <f aca="false">Economy!O19*B19</f>
        <v>0.332095564259886</v>
      </c>
      <c r="D19" s="56" t="n">
        <f aca="false">IF(AND($A19&gt;=1914,$A19&lt;=1918),entente_total*entente_private*CHOOSE($A19-1913,0.05,0.1333,0.2333,0.3,0.2834),0)</f>
        <v>0</v>
      </c>
      <c r="E19" s="56" t="n">
        <f aca="false">H18</f>
        <v>2.21330949419977</v>
      </c>
      <c r="F19" s="56" t="n">
        <f aca="false">(E19-0-'War credit'!Q19)*abroad_repat+0+'War credit'!R19</f>
        <v>0.066399284825993</v>
      </c>
      <c r="G19" s="56" t="n">
        <f aca="false">'War credit'!S19+IF(OR(A19=1931,A19=1932),(E19-0-'War credit'!Q19)*abroad_loss/2,0)</f>
        <v>0</v>
      </c>
      <c r="H19" s="56" t="n">
        <f aca="false">E19+C19+D19-F19-G19</f>
        <v>2.47900577363366</v>
      </c>
      <c r="I19" s="72" t="n">
        <f aca="false">Champions!AY19</f>
        <v>0</v>
      </c>
      <c r="J19" s="56" t="n">
        <f aca="false">H19+I19</f>
        <v>2.47900577363366</v>
      </c>
      <c r="K19" s="56" t="n">
        <f aca="false">(E19-0-'War credit'!Q19)*abroad_return*IF(OR(A19=1931,A19=1932),abroad_slump,1)+0+'War credit'!U19</f>
        <v>0.132798569651986</v>
      </c>
      <c r="L19" s="72" t="n">
        <f aca="false">Champions!AZ19</f>
        <v>0</v>
      </c>
      <c r="M19" s="56" t="n">
        <f aca="false">K19+L19</f>
        <v>0.132798569651986</v>
      </c>
      <c r="N19" s="56" t="n">
        <f aca="false">M19*abroad_tax</f>
        <v>0.0132798569651986</v>
      </c>
      <c r="O19" s="72" t="n">
        <f aca="false">Labour!R19</f>
        <v>0</v>
      </c>
      <c r="P19" s="50" t="n">
        <f aca="false">Economy!O19+M19-O19-V19</f>
        <v>166.180580699595</v>
      </c>
      <c r="Q19" s="66" t="n">
        <f aca="false">M19/P19</f>
        <v>0.000799122070057309</v>
      </c>
      <c r="R19" s="66" t="n">
        <f aca="false">J19/Economy!O19</f>
        <v>0.0149294723593097</v>
      </c>
      <c r="S19" s="74" t="n">
        <f aca="false">0</f>
        <v>0</v>
      </c>
      <c r="T19" s="74" t="n">
        <f aca="false">C19-S19</f>
        <v>0.332095564259886</v>
      </c>
      <c r="U19" s="74" t="n">
        <f aca="false">0</f>
        <v>0</v>
      </c>
      <c r="V19" s="75" t="n">
        <f aca="false">'Champion funding'!P19</f>
        <v>0</v>
      </c>
    </row>
    <row r="20" customFormat="false" ht="14.25" hidden="false" customHeight="false" outlineLevel="0" collapsed="false">
      <c r="A20" s="61" t="n">
        <v>1860</v>
      </c>
      <c r="B20" s="62" t="n">
        <v>0.002</v>
      </c>
      <c r="C20" s="56" t="n">
        <f aca="false">Economy!O20*B20</f>
        <v>0.350010734650555</v>
      </c>
      <c r="D20" s="56" t="n">
        <f aca="false">IF(AND($A20&gt;=1914,$A20&lt;=1918),entente_total*entente_private*CHOOSE($A20-1913,0.05,0.1333,0.2333,0.3,0.2834),0)</f>
        <v>0</v>
      </c>
      <c r="E20" s="56" t="n">
        <f aca="false">H19</f>
        <v>2.47900577363366</v>
      </c>
      <c r="F20" s="56" t="n">
        <f aca="false">(E20-0-'War credit'!Q20)*abroad_repat+0+'War credit'!R20</f>
        <v>0.0743701732090098</v>
      </c>
      <c r="G20" s="56" t="n">
        <f aca="false">'War credit'!S20+IF(OR(A20=1931,A20=1932),(E20-0-'War credit'!Q20)*abroad_loss/2,0)</f>
        <v>0</v>
      </c>
      <c r="H20" s="56" t="n">
        <f aca="false">E20+C20+D20-F20-G20</f>
        <v>2.75464633507521</v>
      </c>
      <c r="I20" s="72" t="n">
        <f aca="false">Champions!AY20</f>
        <v>0</v>
      </c>
      <c r="J20" s="56" t="n">
        <f aca="false">H20+I20</f>
        <v>2.75464633507521</v>
      </c>
      <c r="K20" s="56" t="n">
        <f aca="false">(E20-0-'War credit'!Q20)*abroad_return*IF(OR(A20=1931,A20=1932),abroad_slump,1)+0+'War credit'!U20</f>
        <v>0.14874034641802</v>
      </c>
      <c r="L20" s="72" t="n">
        <f aca="false">Champions!AZ20</f>
        <v>0</v>
      </c>
      <c r="M20" s="56" t="n">
        <f aca="false">K20+L20</f>
        <v>0.14874034641802</v>
      </c>
      <c r="N20" s="56" t="n">
        <f aca="false">M20*abroad_tax</f>
        <v>0.014874034641802</v>
      </c>
      <c r="O20" s="72" t="n">
        <f aca="false">Labour!R20</f>
        <v>0</v>
      </c>
      <c r="P20" s="50" t="n">
        <f aca="false">Economy!O20+M20-O20-V20</f>
        <v>175.154107671696</v>
      </c>
      <c r="Q20" s="66" t="n">
        <f aca="false">M20/P20</f>
        <v>0.000849197020813321</v>
      </c>
      <c r="R20" s="66" t="n">
        <f aca="false">J20/Economy!O20</f>
        <v>0.015740353437019</v>
      </c>
      <c r="S20" s="74" t="n">
        <f aca="false">0</f>
        <v>0</v>
      </c>
      <c r="T20" s="74" t="n">
        <f aca="false">C20-S20</f>
        <v>0.350010734650555</v>
      </c>
      <c r="U20" s="74" t="n">
        <f aca="false">0</f>
        <v>0</v>
      </c>
      <c r="V20" s="75" t="n">
        <f aca="false">'Champion funding'!P20</f>
        <v>0</v>
      </c>
    </row>
    <row r="21" customFormat="false" ht="14.25" hidden="false" customHeight="false" outlineLevel="0" collapsed="false">
      <c r="A21" s="64" t="n">
        <v>1861</v>
      </c>
      <c r="B21" s="62" t="n">
        <v>0.002</v>
      </c>
      <c r="C21" s="56" t="n">
        <f aca="false">Economy!O21*B21</f>
        <v>0.360933845745993</v>
      </c>
      <c r="D21" s="56" t="n">
        <f aca="false">IF(AND($A21&gt;=1914,$A21&lt;=1918),entente_total*entente_private*CHOOSE($A21-1913,0.05,0.1333,0.2333,0.3,0.2834),0)</f>
        <v>0</v>
      </c>
      <c r="E21" s="56" t="n">
        <f aca="false">H20</f>
        <v>2.75464633507521</v>
      </c>
      <c r="F21" s="56" t="n">
        <f aca="false">(E21-0-'War credit'!Q21)*abroad_repat+0+'War credit'!R21</f>
        <v>0.0826393900522562</v>
      </c>
      <c r="G21" s="56" t="n">
        <f aca="false">'War credit'!S21+IF(OR(A21=1931,A21=1932),(E21-0-'War credit'!Q21)*abroad_loss/2,0)</f>
        <v>0</v>
      </c>
      <c r="H21" s="56" t="n">
        <f aca="false">E21+C21+D21-F21-G21</f>
        <v>3.03294079076894</v>
      </c>
      <c r="I21" s="72" t="n">
        <f aca="false">Champions!AY21</f>
        <v>0</v>
      </c>
      <c r="J21" s="56" t="n">
        <f aca="false">H21+I21</f>
        <v>3.03294079076894</v>
      </c>
      <c r="K21" s="56" t="n">
        <f aca="false">(E21-0-'War credit'!Q21)*abroad_return*IF(OR(A21=1931,A21=1932),abroad_slump,1)+0+'War credit'!U21</f>
        <v>0.165278780104512</v>
      </c>
      <c r="L21" s="72" t="n">
        <f aca="false">Champions!AZ21</f>
        <v>0</v>
      </c>
      <c r="M21" s="56" t="n">
        <f aca="false">K21+L21</f>
        <v>0.165278780104512</v>
      </c>
      <c r="N21" s="56" t="n">
        <f aca="false">M21*abroad_tax</f>
        <v>0.0165278780104512</v>
      </c>
      <c r="O21" s="72" t="n">
        <f aca="false">Labour!R21</f>
        <v>0</v>
      </c>
      <c r="P21" s="50" t="n">
        <f aca="false">Economy!O21+M21-O21-V21</f>
        <v>180.632201653101</v>
      </c>
      <c r="Q21" s="66" t="n">
        <f aca="false">M21/P21</f>
        <v>0.000915001747152069</v>
      </c>
      <c r="R21" s="66" t="n">
        <f aca="false">J21/Economy!O21</f>
        <v>0.0168060758308788</v>
      </c>
      <c r="S21" s="74" t="n">
        <f aca="false">0</f>
        <v>0</v>
      </c>
      <c r="T21" s="74" t="n">
        <f aca="false">C21-S21</f>
        <v>0.360933845745993</v>
      </c>
      <c r="U21" s="74" t="n">
        <f aca="false">0</f>
        <v>0</v>
      </c>
      <c r="V21" s="75" t="n">
        <f aca="false">'Champion funding'!P21</f>
        <v>0</v>
      </c>
    </row>
    <row r="22" customFormat="false" ht="14.25" hidden="false" customHeight="false" outlineLevel="0" collapsed="false">
      <c r="A22" s="64" t="n">
        <v>1862</v>
      </c>
      <c r="B22" s="62" t="n">
        <v>0.002</v>
      </c>
      <c r="C22" s="56" t="n">
        <f aca="false">Economy!O22*B22</f>
        <v>0.415912456708736</v>
      </c>
      <c r="D22" s="56" t="n">
        <f aca="false">IF(AND($A22&gt;=1914,$A22&lt;=1918),entente_total*entente_private*CHOOSE($A22-1913,0.05,0.1333,0.2333,0.3,0.2834),0)</f>
        <v>0</v>
      </c>
      <c r="E22" s="56" t="n">
        <f aca="false">H21</f>
        <v>3.03294079076894</v>
      </c>
      <c r="F22" s="56" t="n">
        <f aca="false">(E22-0-'War credit'!Q22)*abroad_repat+0+'War credit'!R22</f>
        <v>0.0909882237230683</v>
      </c>
      <c r="G22" s="56" t="n">
        <f aca="false">'War credit'!S22+IF(OR(A22=1931,A22=1932),(E22-0-'War credit'!Q22)*abroad_loss/2,0)</f>
        <v>0</v>
      </c>
      <c r="H22" s="56" t="n">
        <f aca="false">E22+C22+D22-F22-G22</f>
        <v>3.35786502375461</v>
      </c>
      <c r="I22" s="72" t="n">
        <f aca="false">Champions!AY22</f>
        <v>0</v>
      </c>
      <c r="J22" s="56" t="n">
        <f aca="false">H22+I22</f>
        <v>3.35786502375461</v>
      </c>
      <c r="K22" s="56" t="n">
        <f aca="false">(E22-0-'War credit'!Q22)*abroad_return*IF(OR(A22=1931,A22=1932),abroad_slump,1)+0+'War credit'!U22</f>
        <v>0.181976447446137</v>
      </c>
      <c r="L22" s="72" t="n">
        <f aca="false">Champions!AZ22</f>
        <v>0</v>
      </c>
      <c r="M22" s="56" t="n">
        <f aca="false">K22+L22</f>
        <v>0.181976447446137</v>
      </c>
      <c r="N22" s="56" t="n">
        <f aca="false">M22*abroad_tax</f>
        <v>0.0181976447446137</v>
      </c>
      <c r="O22" s="72" t="n">
        <f aca="false">Labour!R22</f>
        <v>0</v>
      </c>
      <c r="P22" s="50" t="n">
        <f aca="false">Economy!O22+M22-O22-V22</f>
        <v>208.138204801814</v>
      </c>
      <c r="Q22" s="66" t="n">
        <f aca="false">M22/P22</f>
        <v>0.000874305837409388</v>
      </c>
      <c r="R22" s="66" t="n">
        <f aca="false">J22/Economy!O22</f>
        <v>0.0161469798251613</v>
      </c>
      <c r="S22" s="74" t="n">
        <f aca="false">0</f>
        <v>0</v>
      </c>
      <c r="T22" s="74" t="n">
        <f aca="false">C22-S22</f>
        <v>0.415912456708736</v>
      </c>
      <c r="U22" s="74" t="n">
        <f aca="false">0</f>
        <v>0</v>
      </c>
      <c r="V22" s="75" t="n">
        <f aca="false">'Champion funding'!P22</f>
        <v>0</v>
      </c>
    </row>
    <row r="23" customFormat="false" ht="14.25" hidden="false" customHeight="false" outlineLevel="0" collapsed="false">
      <c r="A23" s="64" t="n">
        <v>1863</v>
      </c>
      <c r="B23" s="62" t="n">
        <v>0.002</v>
      </c>
      <c r="C23" s="56" t="n">
        <f aca="false">Economy!O23*B23</f>
        <v>0.518311455621933</v>
      </c>
      <c r="D23" s="56" t="n">
        <f aca="false">IF(AND($A23&gt;=1914,$A23&lt;=1918),entente_total*entente_private*CHOOSE($A23-1913,0.05,0.1333,0.2333,0.3,0.2834),0)</f>
        <v>0</v>
      </c>
      <c r="E23" s="56" t="n">
        <f aca="false">H22</f>
        <v>3.35786502375461</v>
      </c>
      <c r="F23" s="56" t="n">
        <f aca="false">(E23-0-'War credit'!Q23)*abroad_repat+0+'War credit'!R23</f>
        <v>0.100735950712638</v>
      </c>
      <c r="G23" s="56" t="n">
        <f aca="false">'War credit'!S23+IF(OR(A23=1931,A23=1932),(E23-0-'War credit'!Q23)*abroad_loss/2,0)</f>
        <v>0</v>
      </c>
      <c r="H23" s="56" t="n">
        <f aca="false">E23+C23+D23-F23-G23</f>
        <v>3.77544052866391</v>
      </c>
      <c r="I23" s="72" t="n">
        <f aca="false">Champions!AY23</f>
        <v>0</v>
      </c>
      <c r="J23" s="56" t="n">
        <f aca="false">H23+I23</f>
        <v>3.77544052866391</v>
      </c>
      <c r="K23" s="56" t="n">
        <f aca="false">(E23-0-'War credit'!Q23)*abroad_return*IF(OR(A23=1931,A23=1932),abroad_slump,1)+0+'War credit'!U23</f>
        <v>0.201471901425277</v>
      </c>
      <c r="L23" s="72" t="n">
        <f aca="false">Champions!AZ23</f>
        <v>0</v>
      </c>
      <c r="M23" s="56" t="n">
        <f aca="false">K23+L23</f>
        <v>0.201471901425277</v>
      </c>
      <c r="N23" s="56" t="n">
        <f aca="false">M23*abroad_tax</f>
        <v>0.0201471901425277</v>
      </c>
      <c r="O23" s="72" t="n">
        <f aca="false">Labour!R23</f>
        <v>0</v>
      </c>
      <c r="P23" s="50" t="n">
        <f aca="false">Economy!O23+M23-O23-V23</f>
        <v>259.357199712392</v>
      </c>
      <c r="Q23" s="66" t="n">
        <f aca="false">M23/P23</f>
        <v>0.00077681244881073</v>
      </c>
      <c r="R23" s="66" t="n">
        <f aca="false">J23/Economy!O23</f>
        <v>0.0145682310808032</v>
      </c>
      <c r="S23" s="74" t="n">
        <f aca="false">0</f>
        <v>0</v>
      </c>
      <c r="T23" s="74" t="n">
        <f aca="false">C23-S23</f>
        <v>0.518311455621933</v>
      </c>
      <c r="U23" s="74" t="n">
        <f aca="false">0</f>
        <v>0</v>
      </c>
      <c r="V23" s="75" t="n">
        <f aca="false">'Champion funding'!P23</f>
        <v>0</v>
      </c>
    </row>
    <row r="24" customFormat="false" ht="14.25" hidden="false" customHeight="false" outlineLevel="0" collapsed="false">
      <c r="A24" s="64" t="n">
        <v>1864</v>
      </c>
      <c r="B24" s="62" t="n">
        <v>0.002</v>
      </c>
      <c r="C24" s="56" t="n">
        <f aca="false">Economy!O24*B24</f>
        <v>0.62897238093662</v>
      </c>
      <c r="D24" s="56" t="n">
        <f aca="false">IF(AND($A24&gt;=1914,$A24&lt;=1918),entente_total*entente_private*CHOOSE($A24-1913,0.05,0.1333,0.2333,0.3,0.2834),0)</f>
        <v>0</v>
      </c>
      <c r="E24" s="56" t="n">
        <f aca="false">H23</f>
        <v>3.77544052866391</v>
      </c>
      <c r="F24" s="56" t="n">
        <f aca="false">(E24-0-'War credit'!Q24)*abroad_repat+0+'War credit'!R24</f>
        <v>0.113263215859917</v>
      </c>
      <c r="G24" s="56" t="n">
        <f aca="false">'War credit'!S24+IF(OR(A24=1931,A24=1932),(E24-0-'War credit'!Q24)*abroad_loss/2,0)</f>
        <v>0</v>
      </c>
      <c r="H24" s="56" t="n">
        <f aca="false">E24+C24+D24-F24-G24</f>
        <v>4.29114969374061</v>
      </c>
      <c r="I24" s="72" t="n">
        <f aca="false">Champions!AY24</f>
        <v>0</v>
      </c>
      <c r="J24" s="56" t="n">
        <f aca="false">H24+I24</f>
        <v>4.29114969374061</v>
      </c>
      <c r="K24" s="56" t="n">
        <f aca="false">(E24-0-'War credit'!Q24)*abroad_return*IF(OR(A24=1931,A24=1932),abroad_slump,1)+0+'War credit'!U24</f>
        <v>0.226526431719834</v>
      </c>
      <c r="L24" s="72" t="n">
        <f aca="false">Champions!AZ24</f>
        <v>0</v>
      </c>
      <c r="M24" s="56" t="n">
        <f aca="false">K24+L24</f>
        <v>0.226526431719834</v>
      </c>
      <c r="N24" s="56" t="n">
        <f aca="false">M24*abroad_tax</f>
        <v>0.0226526431719834</v>
      </c>
      <c r="O24" s="72" t="n">
        <f aca="false">Labour!R24</f>
        <v>0</v>
      </c>
      <c r="P24" s="50" t="n">
        <f aca="false">Economy!O24+M24-O24-V24</f>
        <v>314.71271690003</v>
      </c>
      <c r="Q24" s="66" t="n">
        <f aca="false">M24/P24</f>
        <v>0.000719787982993365</v>
      </c>
      <c r="R24" s="66" t="n">
        <f aca="false">J24/Economy!O24</f>
        <v>0.0136449542898864</v>
      </c>
      <c r="S24" s="74" t="n">
        <f aca="false">0</f>
        <v>0</v>
      </c>
      <c r="T24" s="74" t="n">
        <f aca="false">C24-S24</f>
        <v>0.62897238093662</v>
      </c>
      <c r="U24" s="74" t="n">
        <f aca="false">0</f>
        <v>0</v>
      </c>
      <c r="V24" s="75" t="n">
        <f aca="false">'Champion funding'!P24</f>
        <v>0</v>
      </c>
    </row>
    <row r="25" customFormat="false" ht="14.25" hidden="false" customHeight="false" outlineLevel="0" collapsed="false">
      <c r="A25" s="64" t="n">
        <v>1865</v>
      </c>
      <c r="B25" s="62" t="n">
        <v>0.002</v>
      </c>
      <c r="C25" s="56" t="n">
        <f aca="false">Economy!O25*B25</f>
        <v>0.686317600280506</v>
      </c>
      <c r="D25" s="56" t="n">
        <f aca="false">IF(AND($A25&gt;=1914,$A25&lt;=1918),entente_total*entente_private*CHOOSE($A25-1913,0.05,0.1333,0.2333,0.3,0.2834),0)</f>
        <v>0</v>
      </c>
      <c r="E25" s="56" t="n">
        <f aca="false">H24</f>
        <v>4.29114969374061</v>
      </c>
      <c r="F25" s="56" t="n">
        <f aca="false">(E25-0-'War credit'!Q25)*abroad_repat+0+'War credit'!R25</f>
        <v>0.128734490812218</v>
      </c>
      <c r="G25" s="56" t="n">
        <f aca="false">'War credit'!S25+IF(OR(A25=1931,A25=1932),(E25-0-'War credit'!Q25)*abroad_loss/2,0)</f>
        <v>0</v>
      </c>
      <c r="H25" s="56" t="n">
        <f aca="false">E25+C25+D25-F25-G25</f>
        <v>4.8487328032089</v>
      </c>
      <c r="I25" s="72" t="n">
        <f aca="false">Champions!AY25</f>
        <v>0</v>
      </c>
      <c r="J25" s="56" t="n">
        <f aca="false">H25+I25</f>
        <v>4.8487328032089</v>
      </c>
      <c r="K25" s="56" t="n">
        <f aca="false">(E25-0-'War credit'!Q25)*abroad_return*IF(OR(A25=1931,A25=1932),abroad_slump,1)+0+'War credit'!U25</f>
        <v>0.257468981624437</v>
      </c>
      <c r="L25" s="72" t="n">
        <f aca="false">Champions!AZ25</f>
        <v>0</v>
      </c>
      <c r="M25" s="56" t="n">
        <f aca="false">K25+L25</f>
        <v>0.257468981624437</v>
      </c>
      <c r="N25" s="56" t="n">
        <f aca="false">M25*abroad_tax</f>
        <v>0.0257468981624437</v>
      </c>
      <c r="O25" s="72" t="n">
        <f aca="false">Labour!R25</f>
        <v>0</v>
      </c>
      <c r="P25" s="50" t="n">
        <f aca="false">Economy!O25+M25-O25-V25</f>
        <v>343.416269121877</v>
      </c>
      <c r="Q25" s="66" t="n">
        <f aca="false">M25/P25</f>
        <v>0.000749728550376458</v>
      </c>
      <c r="R25" s="66" t="n">
        <f aca="false">J25/Economy!O25</f>
        <v>0.0141297055509786</v>
      </c>
      <c r="S25" s="74" t="n">
        <f aca="false">0</f>
        <v>0</v>
      </c>
      <c r="T25" s="74" t="n">
        <f aca="false">C25-S25</f>
        <v>0.686317600280506</v>
      </c>
      <c r="U25" s="74" t="n">
        <f aca="false">0</f>
        <v>0</v>
      </c>
      <c r="V25" s="75" t="n">
        <f aca="false">'Champion funding'!P25</f>
        <v>0</v>
      </c>
    </row>
    <row r="26" customFormat="false" ht="14.25" hidden="false" customHeight="false" outlineLevel="0" collapsed="false">
      <c r="A26" s="61" t="n">
        <v>1866</v>
      </c>
      <c r="B26" s="62" t="n">
        <v>0.002</v>
      </c>
      <c r="C26" s="56" t="n">
        <f aca="false">Economy!O26*B26</f>
        <v>0.733502688175672</v>
      </c>
      <c r="D26" s="56" t="n">
        <f aca="false">IF(AND($A26&gt;=1914,$A26&lt;=1918),entente_total*entente_private*CHOOSE($A26-1913,0.05,0.1333,0.2333,0.3,0.2834),0)</f>
        <v>0</v>
      </c>
      <c r="E26" s="56" t="n">
        <f aca="false">H25</f>
        <v>4.8487328032089</v>
      </c>
      <c r="F26" s="56" t="n">
        <f aca="false">(E26-0-'War credit'!Q26)*abroad_repat+0+'War credit'!R26</f>
        <v>0.145461984096267</v>
      </c>
      <c r="G26" s="56" t="n">
        <f aca="false">'War credit'!S26+IF(OR(A26=1931,A26=1932),(E26-0-'War credit'!Q26)*abroad_loss/2,0)</f>
        <v>0</v>
      </c>
      <c r="H26" s="56" t="n">
        <f aca="false">E26+C26+D26-F26-G26</f>
        <v>5.4367735072883</v>
      </c>
      <c r="I26" s="72" t="n">
        <f aca="false">Champions!AY26</f>
        <v>0</v>
      </c>
      <c r="J26" s="56" t="n">
        <f aca="false">H26+I26</f>
        <v>5.4367735072883</v>
      </c>
      <c r="K26" s="56" t="n">
        <f aca="false">(E26-0-'War credit'!Q26)*abroad_return*IF(OR(A26=1931,A26=1932),abroad_slump,1)+0+'War credit'!U26</f>
        <v>0.290923968192534</v>
      </c>
      <c r="L26" s="72" t="n">
        <f aca="false">Champions!AZ26</f>
        <v>0</v>
      </c>
      <c r="M26" s="56" t="n">
        <f aca="false">K26+L26</f>
        <v>0.290923968192534</v>
      </c>
      <c r="N26" s="56" t="n">
        <f aca="false">M26*abroad_tax</f>
        <v>0.0290923968192534</v>
      </c>
      <c r="O26" s="72" t="n">
        <f aca="false">Labour!R26</f>
        <v>0</v>
      </c>
      <c r="P26" s="50" t="n">
        <f aca="false">Economy!O26+M26-O26-V26</f>
        <v>367.042268056028</v>
      </c>
      <c r="Q26" s="66" t="n">
        <f aca="false">M26/P26</f>
        <v>0.000792617073050902</v>
      </c>
      <c r="R26" s="66" t="n">
        <f aca="false">J26/Economy!O26</f>
        <v>0.0148241406471471</v>
      </c>
      <c r="S26" s="74" t="n">
        <f aca="false">0</f>
        <v>0</v>
      </c>
      <c r="T26" s="74" t="n">
        <f aca="false">C26-S26</f>
        <v>0.733502688175672</v>
      </c>
      <c r="U26" s="74" t="n">
        <f aca="false">0</f>
        <v>0</v>
      </c>
      <c r="V26" s="75" t="n">
        <f aca="false">'Champion funding'!P26</f>
        <v>0</v>
      </c>
    </row>
    <row r="27" customFormat="false" ht="14.25" hidden="false" customHeight="false" outlineLevel="0" collapsed="false">
      <c r="A27" s="61" t="n">
        <v>1867</v>
      </c>
      <c r="B27" s="62" t="n">
        <v>0.002</v>
      </c>
      <c r="C27" s="56" t="n">
        <f aca="false">Economy!O27*B27</f>
        <v>0.797796439901777</v>
      </c>
      <c r="D27" s="56" t="n">
        <f aca="false">IF(AND($A27&gt;=1914,$A27&lt;=1918),entente_total*entente_private*CHOOSE($A27-1913,0.05,0.1333,0.2333,0.3,0.2834),0)</f>
        <v>0</v>
      </c>
      <c r="E27" s="56" t="n">
        <f aca="false">H26</f>
        <v>5.4367735072883</v>
      </c>
      <c r="F27" s="56" t="n">
        <f aca="false">(E27-0-'War credit'!Q27)*abroad_repat+0+'War credit'!R27</f>
        <v>0.163103205218649</v>
      </c>
      <c r="G27" s="56" t="n">
        <f aca="false">'War credit'!S27+IF(OR(A27=1931,A27=1932),(E27-0-'War credit'!Q27)*abroad_loss/2,0)</f>
        <v>0</v>
      </c>
      <c r="H27" s="56" t="n">
        <f aca="false">E27+C27+D27-F27-G27</f>
        <v>6.07146674197143</v>
      </c>
      <c r="I27" s="72" t="n">
        <f aca="false">Champions!AY27</f>
        <v>0</v>
      </c>
      <c r="J27" s="56" t="n">
        <f aca="false">H27+I27</f>
        <v>6.07146674197143</v>
      </c>
      <c r="K27" s="56" t="n">
        <f aca="false">(E27-0-'War credit'!Q27)*abroad_return*IF(OR(A27=1931,A27=1932),abroad_slump,1)+0+'War credit'!U27</f>
        <v>0.326206410437298</v>
      </c>
      <c r="L27" s="72" t="n">
        <f aca="false">Champions!AZ27</f>
        <v>0.018013995316643</v>
      </c>
      <c r="M27" s="56" t="n">
        <f aca="false">K27+L27</f>
        <v>0.344220405753941</v>
      </c>
      <c r="N27" s="56" t="n">
        <f aca="false">M27*abroad_tax</f>
        <v>0.0344220405753941</v>
      </c>
      <c r="O27" s="72" t="n">
        <f aca="false">Labour!R27</f>
        <v>0</v>
      </c>
      <c r="P27" s="50" t="n">
        <f aca="false">Economy!O27+M27-O27-V27</f>
        <v>399.242440356642</v>
      </c>
      <c r="Q27" s="66" t="n">
        <f aca="false">M27/P27</f>
        <v>0.000862183903711363</v>
      </c>
      <c r="R27" s="66" t="n">
        <f aca="false">J27/Economy!O27</f>
        <v>0.0152205912142675</v>
      </c>
      <c r="S27" s="74" t="n">
        <f aca="false">0</f>
        <v>0</v>
      </c>
      <c r="T27" s="74" t="n">
        <f aca="false">C27-S27</f>
        <v>0.797796439901777</v>
      </c>
      <c r="U27" s="74" t="n">
        <f aca="false">0</f>
        <v>0</v>
      </c>
      <c r="V27" s="75" t="n">
        <f aca="false">'Champion funding'!P27</f>
        <v>0</v>
      </c>
    </row>
    <row r="28" customFormat="false" ht="14.25" hidden="false" customHeight="false" outlineLevel="0" collapsed="false">
      <c r="A28" s="61" t="n">
        <v>1868</v>
      </c>
      <c r="B28" s="62" t="n">
        <v>0.002</v>
      </c>
      <c r="C28" s="56" t="n">
        <f aca="false">Economy!O28*B28</f>
        <v>0.868521344471055</v>
      </c>
      <c r="D28" s="56" t="n">
        <f aca="false">IF(AND($A28&gt;=1914,$A28&lt;=1918),entente_total*entente_private*CHOOSE($A28-1913,0.05,0.1333,0.2333,0.3,0.2834),0)</f>
        <v>0</v>
      </c>
      <c r="E28" s="56" t="n">
        <f aca="false">H27</f>
        <v>6.07146674197143</v>
      </c>
      <c r="F28" s="56" t="n">
        <f aca="false">(E28-0-'War credit'!Q28)*abroad_repat+0+'War credit'!R28</f>
        <v>0.182144002259143</v>
      </c>
      <c r="G28" s="56" t="n">
        <f aca="false">'War credit'!S28+IF(OR(A28=1931,A28=1932),(E28-0-'War credit'!Q28)*abroad_loss/2,0)</f>
        <v>0</v>
      </c>
      <c r="H28" s="56" t="n">
        <f aca="false">E28+C28+D28-F28-G28</f>
        <v>6.75784408418334</v>
      </c>
      <c r="I28" s="72" t="n">
        <f aca="false">Champions!AY28</f>
        <v>0</v>
      </c>
      <c r="J28" s="56" t="n">
        <f aca="false">H28+I28</f>
        <v>6.75784408418334</v>
      </c>
      <c r="K28" s="56" t="n">
        <f aca="false">(E28-0-'War credit'!Q28)*abroad_return*IF(OR(A28=1931,A28=1932),abroad_slump,1)+0+'War credit'!U28</f>
        <v>0.364288004518286</v>
      </c>
      <c r="L28" s="72" t="n">
        <f aca="false">Champions!AZ28</f>
        <v>0.0193987063457289</v>
      </c>
      <c r="M28" s="56" t="n">
        <f aca="false">K28+L28</f>
        <v>0.383686710864015</v>
      </c>
      <c r="N28" s="56" t="n">
        <f aca="false">M28*abroad_tax</f>
        <v>0.0383686710864015</v>
      </c>
      <c r="O28" s="72" t="n">
        <f aca="false">Labour!R28</f>
        <v>0</v>
      </c>
      <c r="P28" s="50" t="n">
        <f aca="false">Economy!O28+M28-O28-V28</f>
        <v>434.644358946392</v>
      </c>
      <c r="Q28" s="66" t="n">
        <f aca="false">M28/P28</f>
        <v>0.000882760130130523</v>
      </c>
      <c r="R28" s="66" t="n">
        <f aca="false">J28/Economy!O28</f>
        <v>0.0155617225234666</v>
      </c>
      <c r="S28" s="74" t="n">
        <f aca="false">0</f>
        <v>0</v>
      </c>
      <c r="T28" s="74" t="n">
        <f aca="false">C28-S28</f>
        <v>0.868521344471055</v>
      </c>
      <c r="U28" s="74" t="n">
        <f aca="false">0</f>
        <v>0</v>
      </c>
      <c r="V28" s="75" t="n">
        <f aca="false">'Champion funding'!P28</f>
        <v>0</v>
      </c>
    </row>
    <row r="29" customFormat="false" ht="14.25" hidden="false" customHeight="false" outlineLevel="0" collapsed="false">
      <c r="A29" s="61" t="n">
        <v>1869</v>
      </c>
      <c r="B29" s="62" t="n">
        <v>0.002</v>
      </c>
      <c r="C29" s="56" t="n">
        <f aca="false">Economy!O29*B29</f>
        <v>0.943224127916458</v>
      </c>
      <c r="D29" s="56" t="n">
        <f aca="false">IF(AND($A29&gt;=1914,$A29&lt;=1918),entente_total*entente_private*CHOOSE($A29-1913,0.05,0.1333,0.2333,0.3,0.2834),0)</f>
        <v>0</v>
      </c>
      <c r="E29" s="56" t="n">
        <f aca="false">H28</f>
        <v>6.75784408418334</v>
      </c>
      <c r="F29" s="56" t="n">
        <f aca="false">(E29-0-'War credit'!Q29)*abroad_repat+0+'War credit'!R29</f>
        <v>0.2027353225255</v>
      </c>
      <c r="G29" s="56" t="n">
        <f aca="false">'War credit'!S29+IF(OR(A29=1931,A29=1932),(E29-0-'War credit'!Q29)*abroad_loss/2,0)</f>
        <v>0</v>
      </c>
      <c r="H29" s="56" t="n">
        <f aca="false">E29+C29+D29-F29-G29</f>
        <v>7.4983328895743</v>
      </c>
      <c r="I29" s="72" t="n">
        <f aca="false">Champions!AY29</f>
        <v>0</v>
      </c>
      <c r="J29" s="56" t="n">
        <f aca="false">H29+I29</f>
        <v>7.4983328895743</v>
      </c>
      <c r="K29" s="56" t="n">
        <f aca="false">(E29-0-'War credit'!Q29)*abroad_return*IF(OR(A29=1931,A29=1932),abroad_slump,1)+0+'War credit'!U29</f>
        <v>0.405470645051001</v>
      </c>
      <c r="L29" s="72" t="n">
        <f aca="false">Champions!AZ29</f>
        <v>0.0312132602015734</v>
      </c>
      <c r="M29" s="56" t="n">
        <f aca="false">K29+L29</f>
        <v>0.436683905252574</v>
      </c>
      <c r="N29" s="56" t="n">
        <f aca="false">M29*abroad_tax</f>
        <v>0.0436683905252574</v>
      </c>
      <c r="O29" s="72" t="n">
        <f aca="false">Labour!R29</f>
        <v>0</v>
      </c>
      <c r="P29" s="50" t="n">
        <f aca="false">Economy!O29+M29-O29-V29</f>
        <v>472.048747863482</v>
      </c>
      <c r="Q29" s="66" t="n">
        <f aca="false">M29/P29</f>
        <v>0.000925082223454737</v>
      </c>
      <c r="R29" s="66" t="n">
        <f aca="false">J29/Economy!O29</f>
        <v>0.0158993661583653</v>
      </c>
      <c r="S29" s="74" t="n">
        <f aca="false">0</f>
        <v>0</v>
      </c>
      <c r="T29" s="74" t="n">
        <f aca="false">C29-S29</f>
        <v>0.943224127916458</v>
      </c>
      <c r="U29" s="74" t="n">
        <f aca="false">0</f>
        <v>0</v>
      </c>
      <c r="V29" s="75" t="n">
        <f aca="false">'Champion funding'!P29</f>
        <v>0</v>
      </c>
    </row>
    <row r="30" customFormat="false" ht="14.25" hidden="false" customHeight="false" outlineLevel="0" collapsed="false">
      <c r="A30" s="64" t="n">
        <v>1870</v>
      </c>
      <c r="B30" s="62" t="n">
        <v>0.006</v>
      </c>
      <c r="C30" s="56" t="n">
        <f aca="false">Economy!O30*B30</f>
        <v>3.08686169606558</v>
      </c>
      <c r="D30" s="56" t="n">
        <f aca="false">IF(AND($A30&gt;=1914,$A30&lt;=1918),entente_total*entente_private*CHOOSE($A30-1913,0.05,0.1333,0.2333,0.3,0.2834),0)</f>
        <v>0</v>
      </c>
      <c r="E30" s="56" t="n">
        <f aca="false">H29</f>
        <v>7.4983328895743</v>
      </c>
      <c r="F30" s="56" t="n">
        <f aca="false">(E30-0-'War credit'!Q30)*abroad_repat+0+'War credit'!R30</f>
        <v>0.224949986687229</v>
      </c>
      <c r="G30" s="56" t="n">
        <f aca="false">'War credit'!S30+IF(OR(A30=1931,A30=1932),(E30-0-'War credit'!Q30)*abroad_loss/2,0)</f>
        <v>0</v>
      </c>
      <c r="H30" s="56" t="n">
        <f aca="false">E30+C30+D30-F30-G30</f>
        <v>10.3602445989527</v>
      </c>
      <c r="I30" s="72" t="n">
        <f aca="false">Champions!AY30</f>
        <v>7.02658390748947</v>
      </c>
      <c r="J30" s="56" t="n">
        <f aca="false">H30+I30</f>
        <v>17.3868285064421</v>
      </c>
      <c r="K30" s="56" t="n">
        <f aca="false">(E30-0-'War credit'!Q30)*abroad_return*IF(OR(A30=1931,A30=1932),abroad_slump,1)+0+'War credit'!U30</f>
        <v>0.449899973374458</v>
      </c>
      <c r="L30" s="72" t="n">
        <f aca="false">Champions!AZ30</f>
        <v>0.485045087133998</v>
      </c>
      <c r="M30" s="56" t="n">
        <f aca="false">K30+L30</f>
        <v>0.934945060508456</v>
      </c>
      <c r="N30" s="56" t="n">
        <f aca="false">M30*abroad_tax</f>
        <v>0.0934945060508456</v>
      </c>
      <c r="O30" s="72" t="n">
        <f aca="false">Labour!R30</f>
        <v>0</v>
      </c>
      <c r="P30" s="50" t="n">
        <f aca="false">Economy!O30+M30-O30-V30</f>
        <v>515.411894404772</v>
      </c>
      <c r="Q30" s="66" t="n">
        <f aca="false">M30/P30</f>
        <v>0.00181397649270044</v>
      </c>
      <c r="R30" s="66" t="n">
        <f aca="false">J30/Economy!O30</f>
        <v>0.0337951555042511</v>
      </c>
      <c r="S30" s="74" t="n">
        <f aca="false">0</f>
        <v>0</v>
      </c>
      <c r="T30" s="74" t="n">
        <f aca="false">C30-S30</f>
        <v>3.08686169606558</v>
      </c>
      <c r="U30" s="74" t="n">
        <f aca="false">0</f>
        <v>0</v>
      </c>
      <c r="V30" s="75" t="n">
        <f aca="false">'Champion funding'!P30</f>
        <v>0</v>
      </c>
    </row>
    <row r="31" customFormat="false" ht="14.25" hidden="false" customHeight="false" outlineLevel="0" collapsed="false">
      <c r="A31" s="64" t="n">
        <v>1871</v>
      </c>
      <c r="B31" s="62" t="n">
        <v>0.006</v>
      </c>
      <c r="C31" s="56" t="n">
        <f aca="false">Economy!O31*B31</f>
        <v>3.31796152171007</v>
      </c>
      <c r="D31" s="56" t="n">
        <f aca="false">IF(AND($A31&gt;=1914,$A31&lt;=1918),entente_total*entente_private*CHOOSE($A31-1913,0.05,0.1333,0.2333,0.3,0.2834),0)</f>
        <v>0</v>
      </c>
      <c r="E31" s="56" t="n">
        <f aca="false">H30</f>
        <v>10.3602445989527</v>
      </c>
      <c r="F31" s="56" t="n">
        <f aca="false">(E31-0-'War credit'!Q31)*abroad_repat+0+'War credit'!R31</f>
        <v>0.31080733796858</v>
      </c>
      <c r="G31" s="56" t="n">
        <f aca="false">'War credit'!S31+IF(OR(A31=1931,A31=1932),(E31-0-'War credit'!Q31)*abroad_loss/2,0)</f>
        <v>0</v>
      </c>
      <c r="H31" s="56" t="n">
        <f aca="false">E31+C31+D31-F31-G31</f>
        <v>13.3673987826941</v>
      </c>
      <c r="I31" s="72" t="n">
        <f aca="false">Champions!AY31</f>
        <v>11.0589649356428</v>
      </c>
      <c r="J31" s="56" t="n">
        <f aca="false">H31+I31</f>
        <v>24.426363718337</v>
      </c>
      <c r="K31" s="56" t="n">
        <f aca="false">(E31-0-'War credit'!Q31)*abroad_return*IF(OR(A31=1931,A31=1932),abroad_slump,1)+0+'War credit'!U31</f>
        <v>0.621614675937159</v>
      </c>
      <c r="L31" s="72" t="n">
        <f aca="false">Champions!AZ31</f>
        <v>0.739221430716316</v>
      </c>
      <c r="M31" s="56" t="n">
        <f aca="false">K31+L31</f>
        <v>1.36083610665347</v>
      </c>
      <c r="N31" s="56" t="n">
        <f aca="false">M31*abroad_tax</f>
        <v>0.136083610665348</v>
      </c>
      <c r="O31" s="72" t="n">
        <f aca="false">Labour!R31</f>
        <v>0</v>
      </c>
      <c r="P31" s="50" t="n">
        <f aca="false">Economy!O31+M31-O31-V31</f>
        <v>554.237002453435</v>
      </c>
      <c r="Q31" s="66" t="n">
        <f aca="false">M31/P31</f>
        <v>0.00245533246721074</v>
      </c>
      <c r="R31" s="66" t="n">
        <f aca="false">J31/Economy!O31</f>
        <v>0.0441711518807747</v>
      </c>
      <c r="S31" s="74" t="n">
        <f aca="false">0</f>
        <v>0</v>
      </c>
      <c r="T31" s="74" t="n">
        <f aca="false">C31-S31</f>
        <v>3.31796152171007</v>
      </c>
      <c r="U31" s="74" t="n">
        <f aca="false">0</f>
        <v>0</v>
      </c>
      <c r="V31" s="75" t="n">
        <f aca="false">'Champion funding'!P31</f>
        <v>0.117420604897701</v>
      </c>
    </row>
    <row r="32" customFormat="false" ht="14.25" hidden="false" customHeight="false" outlineLevel="0" collapsed="false">
      <c r="A32" s="61" t="n">
        <v>1872</v>
      </c>
      <c r="B32" s="62" t="n">
        <v>0.006</v>
      </c>
      <c r="C32" s="56" t="n">
        <f aca="false">Economy!O32*B32</f>
        <v>3.55559083053938</v>
      </c>
      <c r="D32" s="56" t="n">
        <f aca="false">IF(AND($A32&gt;=1914,$A32&lt;=1918),entente_total*entente_private*CHOOSE($A32-1913,0.05,0.1333,0.2333,0.3,0.2834),0)</f>
        <v>0</v>
      </c>
      <c r="E32" s="56" t="n">
        <f aca="false">H31</f>
        <v>13.3673987826941</v>
      </c>
      <c r="F32" s="56" t="n">
        <f aca="false">(E32-0-'War credit'!Q32)*abroad_repat+0+'War credit'!R32</f>
        <v>0.401021963480824</v>
      </c>
      <c r="G32" s="56" t="n">
        <f aca="false">'War credit'!S32+IF(OR(A32=1931,A32=1932),(E32-0-'War credit'!Q32)*abroad_loss/2,0)</f>
        <v>0</v>
      </c>
      <c r="H32" s="56" t="n">
        <f aca="false">E32+C32+D32-F32-G32</f>
        <v>16.5219676497527</v>
      </c>
      <c r="I32" s="72" t="n">
        <f aca="false">Champions!AY32</f>
        <v>14.0976530417482</v>
      </c>
      <c r="J32" s="56" t="n">
        <f aca="false">H32+I32</f>
        <v>30.6196206915009</v>
      </c>
      <c r="K32" s="56" t="n">
        <f aca="false">(E32-0-'War credit'!Q32)*abroad_return*IF(OR(A32=1931,A32=1932),abroad_slump,1)+0+'War credit'!U32</f>
        <v>0.802043926961649</v>
      </c>
      <c r="L32" s="72" t="n">
        <f aca="false">Champions!AZ32</f>
        <v>0.956425061360891</v>
      </c>
      <c r="M32" s="56" t="n">
        <f aca="false">K32+L32</f>
        <v>1.75846898832254</v>
      </c>
      <c r="N32" s="56" t="n">
        <f aca="false">M32*abroad_tax</f>
        <v>0.175846898832254</v>
      </c>
      <c r="O32" s="72" t="n">
        <f aca="false">Labour!R32</f>
        <v>0</v>
      </c>
      <c r="P32" s="50" t="n">
        <f aca="false">Economy!O32+M32-O32-V32</f>
        <v>594.169372800317</v>
      </c>
      <c r="Q32" s="66" t="n">
        <f aca="false">M32/P32</f>
        <v>0.00295954162032096</v>
      </c>
      <c r="R32" s="66" t="n">
        <f aca="false">J32/Economy!O32</f>
        <v>0.0516700972932635</v>
      </c>
      <c r="S32" s="74" t="n">
        <f aca="false">0</f>
        <v>0</v>
      </c>
      <c r="T32" s="74" t="n">
        <f aca="false">C32-S32</f>
        <v>3.55559083053938</v>
      </c>
      <c r="U32" s="74" t="n">
        <f aca="false">0</f>
        <v>0</v>
      </c>
      <c r="V32" s="75" t="n">
        <f aca="false">'Champion funding'!P32</f>
        <v>0.187567944569171</v>
      </c>
    </row>
    <row r="33" customFormat="false" ht="14.25" hidden="false" customHeight="false" outlineLevel="0" collapsed="false">
      <c r="A33" s="61" t="n">
        <v>1873</v>
      </c>
      <c r="B33" s="62" t="n">
        <v>0.006</v>
      </c>
      <c r="C33" s="56" t="n">
        <f aca="false">Economy!O33*B33</f>
        <v>3.77144767779555</v>
      </c>
      <c r="D33" s="56" t="n">
        <f aca="false">IF(AND($A33&gt;=1914,$A33&lt;=1918),entente_total*entente_private*CHOOSE($A33-1913,0.05,0.1333,0.2333,0.3,0.2834),0)</f>
        <v>0</v>
      </c>
      <c r="E33" s="56" t="n">
        <f aca="false">H32</f>
        <v>16.5219676497527</v>
      </c>
      <c r="F33" s="56" t="n">
        <f aca="false">(E33-0-'War credit'!Q33)*abroad_repat+0+'War credit'!R33</f>
        <v>0.495659029492581</v>
      </c>
      <c r="G33" s="56" t="n">
        <f aca="false">'War credit'!S33+IF(OR(A33=1931,A33=1932),(E33-0-'War credit'!Q33)*abroad_loss/2,0)</f>
        <v>0</v>
      </c>
      <c r="H33" s="56" t="n">
        <f aca="false">E33+C33+D33-F33-G33</f>
        <v>19.7977562980557</v>
      </c>
      <c r="I33" s="72" t="n">
        <f aca="false">Champions!AY33</f>
        <v>16.1383528843603</v>
      </c>
      <c r="J33" s="56" t="n">
        <f aca="false">H33+I33</f>
        <v>35.936109182416</v>
      </c>
      <c r="K33" s="56" t="n">
        <f aca="false">(E33-0-'War credit'!Q33)*abroad_return*IF(OR(A33=1931,A33=1932),abroad_slump,1)+0+'War credit'!U33</f>
        <v>0.991318058985162</v>
      </c>
      <c r="L33" s="72" t="n">
        <f aca="false">Champions!AZ33</f>
        <v>1.06166154449764</v>
      </c>
      <c r="M33" s="56" t="n">
        <f aca="false">K33+L33</f>
        <v>2.0529796034828</v>
      </c>
      <c r="N33" s="56" t="n">
        <f aca="false">M33*abroad_tax</f>
        <v>0.20529796034828</v>
      </c>
      <c r="O33" s="72" t="n">
        <f aca="false">Labour!R33</f>
        <v>0</v>
      </c>
      <c r="P33" s="50" t="n">
        <f aca="false">Economy!O33+M33-O33-V33</f>
        <v>630.39573904307</v>
      </c>
      <c r="Q33" s="66" t="n">
        <f aca="false">M33/P33</f>
        <v>0.00325665209380887</v>
      </c>
      <c r="R33" s="66" t="n">
        <f aca="false">J33/Economy!O33</f>
        <v>0.0571707931582723</v>
      </c>
      <c r="S33" s="74" t="n">
        <f aca="false">0</f>
        <v>0</v>
      </c>
      <c r="T33" s="74" t="n">
        <f aca="false">C33-S33</f>
        <v>3.77144767779555</v>
      </c>
      <c r="U33" s="74" t="n">
        <f aca="false">0</f>
        <v>0</v>
      </c>
      <c r="V33" s="75" t="n">
        <f aca="false">'Champion funding'!P33</f>
        <v>0.231853526337852</v>
      </c>
    </row>
    <row r="34" customFormat="false" ht="14.25" hidden="false" customHeight="false" outlineLevel="0" collapsed="false">
      <c r="A34" s="61" t="n">
        <v>1874</v>
      </c>
      <c r="B34" s="62" t="n">
        <v>0.006</v>
      </c>
      <c r="C34" s="56" t="n">
        <f aca="false">Economy!O34*B34</f>
        <v>4.02217336239489</v>
      </c>
      <c r="D34" s="56" t="n">
        <f aca="false">IF(AND($A34&gt;=1914,$A34&lt;=1918),entente_total*entente_private*CHOOSE($A34-1913,0.05,0.1333,0.2333,0.3,0.2834),0)</f>
        <v>0</v>
      </c>
      <c r="E34" s="56" t="n">
        <f aca="false">H33</f>
        <v>19.7977562980557</v>
      </c>
      <c r="F34" s="56" t="n">
        <f aca="false">(E34-0-'War credit'!Q34)*abroad_repat+0+'War credit'!R34</f>
        <v>0.59393268894167</v>
      </c>
      <c r="G34" s="56" t="n">
        <f aca="false">'War credit'!S34+IF(OR(A34=1931,A34=1932),(E34-0-'War credit'!Q34)*abroad_loss/2,0)</f>
        <v>0</v>
      </c>
      <c r="H34" s="56" t="n">
        <f aca="false">E34+C34+D34-F34-G34</f>
        <v>23.2259969715089</v>
      </c>
      <c r="I34" s="72" t="n">
        <f aca="false">Champions!AY34</f>
        <v>20.2073229518815</v>
      </c>
      <c r="J34" s="56" t="n">
        <f aca="false">H34+I34</f>
        <v>43.4333199233904</v>
      </c>
      <c r="K34" s="56" t="n">
        <f aca="false">(E34-0-'War credit'!Q34)*abroad_return*IF(OR(A34=1931,A34=1932),abroad_slump,1)+0+'War credit'!U34</f>
        <v>1.18786537788334</v>
      </c>
      <c r="L34" s="72" t="n">
        <f aca="false">Champions!AZ34</f>
        <v>1.31897238371521</v>
      </c>
      <c r="M34" s="56" t="n">
        <f aca="false">K34+L34</f>
        <v>2.50683776159855</v>
      </c>
      <c r="N34" s="56" t="n">
        <f aca="false">M34*abroad_tax</f>
        <v>0.250683776159855</v>
      </c>
      <c r="O34" s="72" t="n">
        <f aca="false">Labour!R34</f>
        <v>0</v>
      </c>
      <c r="P34" s="50" t="n">
        <f aca="false">Economy!O34+M34-O34-V34</f>
        <v>672.605719185047</v>
      </c>
      <c r="Q34" s="66" t="n">
        <f aca="false">M34/P34</f>
        <v>0.00372705388921748</v>
      </c>
      <c r="R34" s="66" t="n">
        <f aca="false">J34/Economy!O34</f>
        <v>0.0647908222894638</v>
      </c>
      <c r="S34" s="74" t="n">
        <f aca="false">0</f>
        <v>0</v>
      </c>
      <c r="T34" s="74" t="n">
        <f aca="false">C34-S34</f>
        <v>4.02217336239489</v>
      </c>
      <c r="U34" s="74" t="n">
        <f aca="false">0</f>
        <v>0</v>
      </c>
      <c r="V34" s="75" t="n">
        <f aca="false">'Champion funding'!P34</f>
        <v>0.263345642366991</v>
      </c>
    </row>
    <row r="35" customFormat="false" ht="14.25" hidden="false" customHeight="false" outlineLevel="0" collapsed="false">
      <c r="A35" s="61" t="n">
        <v>1875</v>
      </c>
      <c r="B35" s="62" t="n">
        <v>0.006</v>
      </c>
      <c r="C35" s="56" t="n">
        <f aca="false">Economy!O35*B35</f>
        <v>4.35729986784203</v>
      </c>
      <c r="D35" s="56" t="n">
        <f aca="false">IF(AND($A35&gt;=1914,$A35&lt;=1918),entente_total*entente_private*CHOOSE($A35-1913,0.05,0.1333,0.2333,0.3,0.2834),0)</f>
        <v>0</v>
      </c>
      <c r="E35" s="56" t="n">
        <f aca="false">H34</f>
        <v>23.2259969715089</v>
      </c>
      <c r="F35" s="56" t="n">
        <f aca="false">(E35-0-'War credit'!Q35)*abroad_repat+0+'War credit'!R35</f>
        <v>0.696779909145267</v>
      </c>
      <c r="G35" s="56" t="n">
        <f aca="false">'War credit'!S35+IF(OR(A35=1931,A35=1932),(E35-0-'War credit'!Q35)*abroad_loss/2,0)</f>
        <v>0</v>
      </c>
      <c r="H35" s="56" t="n">
        <f aca="false">E35+C35+D35-F35-G35</f>
        <v>26.8865169302057</v>
      </c>
      <c r="I35" s="72" t="n">
        <f aca="false">Champions!AY35</f>
        <v>24.2912518812842</v>
      </c>
      <c r="J35" s="56" t="n">
        <f aca="false">H35+I35</f>
        <v>51.1777688114898</v>
      </c>
      <c r="K35" s="56" t="n">
        <f aca="false">(E35-0-'War credit'!Q35)*abroad_return*IF(OR(A35=1931,A35=1932),abroad_slump,1)+0+'War credit'!U35</f>
        <v>1.39355981829053</v>
      </c>
      <c r="L35" s="72" t="n">
        <f aca="false">Champions!AZ35</f>
        <v>1.5918360998454</v>
      </c>
      <c r="M35" s="56" t="n">
        <f aca="false">K35+L35</f>
        <v>2.98539591813594</v>
      </c>
      <c r="N35" s="56" t="n">
        <f aca="false">M35*abroad_tax</f>
        <v>0.298539591813594</v>
      </c>
      <c r="O35" s="72" t="n">
        <f aca="false">Labour!R35</f>
        <v>0</v>
      </c>
      <c r="P35" s="50" t="n">
        <f aca="false">Economy!O35+M35-O35-V35</f>
        <v>728.870987775426</v>
      </c>
      <c r="Q35" s="66" t="n">
        <f aca="false">M35/P35</f>
        <v>0.0040959181641289</v>
      </c>
      <c r="R35" s="66" t="n">
        <f aca="false">J35/Economy!O35</f>
        <v>0.0704717651257303</v>
      </c>
      <c r="S35" s="74" t="n">
        <f aca="false">0</f>
        <v>0</v>
      </c>
      <c r="T35" s="74" t="n">
        <f aca="false">C35-S35</f>
        <v>4.35729986784203</v>
      </c>
      <c r="U35" s="74" t="n">
        <f aca="false">0</f>
        <v>0</v>
      </c>
      <c r="V35" s="75" t="n">
        <f aca="false">'Champion funding'!P35</f>
        <v>0.331052783047621</v>
      </c>
    </row>
    <row r="36" customFormat="false" ht="14.25" hidden="false" customHeight="false" outlineLevel="0" collapsed="false">
      <c r="A36" s="61" t="n">
        <v>1876</v>
      </c>
      <c r="B36" s="62" t="n">
        <v>0.006</v>
      </c>
      <c r="C36" s="56" t="n">
        <f aca="false">Economy!O36*B36</f>
        <v>4.75032049149813</v>
      </c>
      <c r="D36" s="56" t="n">
        <f aca="false">IF(AND($A36&gt;=1914,$A36&lt;=1918),entente_total*entente_private*CHOOSE($A36-1913,0.05,0.1333,0.2333,0.3,0.2834),0)</f>
        <v>0</v>
      </c>
      <c r="E36" s="56" t="n">
        <f aca="false">H35</f>
        <v>26.8865169302057</v>
      </c>
      <c r="F36" s="56" t="n">
        <f aca="false">(E36-0-'War credit'!Q36)*abroad_repat+0+'War credit'!R36</f>
        <v>0.80659550790617</v>
      </c>
      <c r="G36" s="56" t="n">
        <f aca="false">'War credit'!S36+IF(OR(A36=1931,A36=1932),(E36-0-'War credit'!Q36)*abroad_loss/2,0)</f>
        <v>0</v>
      </c>
      <c r="H36" s="56" t="n">
        <f aca="false">E36+C36+D36-F36-G36</f>
        <v>30.8302419137976</v>
      </c>
      <c r="I36" s="72" t="n">
        <f aca="false">Champions!AY36</f>
        <v>27.3771844635967</v>
      </c>
      <c r="J36" s="56" t="n">
        <f aca="false">H36+I36</f>
        <v>58.2074263773943</v>
      </c>
      <c r="K36" s="56" t="n">
        <f aca="false">(E36-0-'War credit'!Q36)*abroad_return*IF(OR(A36=1931,A36=1932),abroad_slump,1)+0+'War credit'!U36</f>
        <v>1.61319101581234</v>
      </c>
      <c r="L36" s="72" t="n">
        <f aca="false">Champions!AZ36</f>
        <v>1.80101314978669</v>
      </c>
      <c r="M36" s="56" t="n">
        <f aca="false">K36+L36</f>
        <v>3.41420416559903</v>
      </c>
      <c r="N36" s="56" t="n">
        <f aca="false">M36*abroad_tax</f>
        <v>0.341420416559903</v>
      </c>
      <c r="O36" s="72" t="n">
        <f aca="false">Labour!R36</f>
        <v>0</v>
      </c>
      <c r="P36" s="50" t="n">
        <f aca="false">Economy!O36+M36-O36-V36</f>
        <v>794.734784956106</v>
      </c>
      <c r="Q36" s="66" t="n">
        <f aca="false">M36/P36</f>
        <v>0.00429602960664116</v>
      </c>
      <c r="R36" s="66" t="n">
        <f aca="false">J36/Economy!O36</f>
        <v>0.0735202096131041</v>
      </c>
      <c r="S36" s="74" t="n">
        <f aca="false">0</f>
        <v>0</v>
      </c>
      <c r="T36" s="74" t="n">
        <f aca="false">C36-S36</f>
        <v>4.75032049149813</v>
      </c>
      <c r="U36" s="74" t="n">
        <f aca="false">0</f>
        <v>0</v>
      </c>
      <c r="V36" s="75" t="n">
        <f aca="false">'Champion funding'!P36</f>
        <v>0.399501125847565</v>
      </c>
    </row>
    <row r="37" customFormat="false" ht="14.25" hidden="false" customHeight="false" outlineLevel="0" collapsed="false">
      <c r="A37" s="61" t="n">
        <v>1877</v>
      </c>
      <c r="B37" s="62" t="n">
        <v>0.006</v>
      </c>
      <c r="C37" s="56" t="n">
        <f aca="false">Economy!O37*B37</f>
        <v>4.9742912605655</v>
      </c>
      <c r="D37" s="56" t="n">
        <f aca="false">IF(AND($A37&gt;=1914,$A37&lt;=1918),entente_total*entente_private*CHOOSE($A37-1913,0.05,0.1333,0.2333,0.3,0.2834),0)</f>
        <v>0</v>
      </c>
      <c r="E37" s="56" t="n">
        <f aca="false">H36</f>
        <v>30.8302419137976</v>
      </c>
      <c r="F37" s="56" t="n">
        <f aca="false">(E37-0-'War credit'!Q37)*abroad_repat+0+'War credit'!R37</f>
        <v>0.924907257413928</v>
      </c>
      <c r="G37" s="56" t="n">
        <f aca="false">'War credit'!S37+IF(OR(A37=1931,A37=1932),(E37-0-'War credit'!Q37)*abroad_loss/2,0)</f>
        <v>0</v>
      </c>
      <c r="H37" s="56" t="n">
        <f aca="false">E37+C37+D37-F37-G37</f>
        <v>34.8796259169492</v>
      </c>
      <c r="I37" s="72" t="n">
        <f aca="false">Champions!AY37</f>
        <v>30.4853053584696</v>
      </c>
      <c r="J37" s="56" t="n">
        <f aca="false">H37+I37</f>
        <v>65.3649312754188</v>
      </c>
      <c r="K37" s="56" t="n">
        <f aca="false">(E37-0-'War credit'!Q37)*abroad_return*IF(OR(A37=1931,A37=1932),abroad_slump,1)+0+'War credit'!U37</f>
        <v>1.84981451482786</v>
      </c>
      <c r="L37" s="72" t="n">
        <f aca="false">Champions!AZ37</f>
        <v>2.01167449176315</v>
      </c>
      <c r="M37" s="56" t="n">
        <f aca="false">K37+L37</f>
        <v>3.861489006591</v>
      </c>
      <c r="N37" s="56" t="n">
        <f aca="false">M37*abroad_tax</f>
        <v>0.3861489006591</v>
      </c>
      <c r="O37" s="72" t="n">
        <f aca="false">Labour!R37</f>
        <v>0</v>
      </c>
      <c r="P37" s="50" t="n">
        <f aca="false">Economy!O37+M37-O37-V37</f>
        <v>832.458388740647</v>
      </c>
      <c r="Q37" s="66" t="n">
        <f aca="false">M37/P37</f>
        <v>0.00463865708943448</v>
      </c>
      <c r="R37" s="66" t="n">
        <f aca="false">J37/Economy!O37</f>
        <v>0.0788433099528488</v>
      </c>
      <c r="S37" s="74" t="n">
        <f aca="false">0</f>
        <v>0</v>
      </c>
      <c r="T37" s="74" t="n">
        <f aca="false">C37-S37</f>
        <v>4.9742912605655</v>
      </c>
      <c r="U37" s="74" t="n">
        <f aca="false">0</f>
        <v>0</v>
      </c>
      <c r="V37" s="75" t="n">
        <f aca="false">'Champion funding'!P37</f>
        <v>0.451643693527994</v>
      </c>
    </row>
    <row r="38" customFormat="false" ht="14.25" hidden="false" customHeight="false" outlineLevel="0" collapsed="false">
      <c r="A38" s="61" t="n">
        <v>1878</v>
      </c>
      <c r="B38" s="62" t="n">
        <v>0.006</v>
      </c>
      <c r="C38" s="56" t="n">
        <f aca="false">Economy!O38*B38</f>
        <v>5.2998979403721</v>
      </c>
      <c r="D38" s="56" t="n">
        <f aca="false">IF(AND($A38&gt;=1914,$A38&lt;=1918),entente_total*entente_private*CHOOSE($A38-1913,0.05,0.1333,0.2333,0.3,0.2834),0)</f>
        <v>0</v>
      </c>
      <c r="E38" s="56" t="n">
        <f aca="false">H37</f>
        <v>34.8796259169492</v>
      </c>
      <c r="F38" s="56" t="n">
        <f aca="false">(E38-0-'War credit'!Q38)*abroad_repat+0+'War credit'!R38</f>
        <v>1.04638877750848</v>
      </c>
      <c r="G38" s="56" t="n">
        <f aca="false">'War credit'!S38+IF(OR(A38=1931,A38=1932),(E38-0-'War credit'!Q38)*abroad_loss/2,0)</f>
        <v>0</v>
      </c>
      <c r="H38" s="56" t="n">
        <f aca="false">E38+C38+D38-F38-G38</f>
        <v>39.1331350798128</v>
      </c>
      <c r="I38" s="72" t="n">
        <f aca="false">Champions!AY38</f>
        <v>33.6081208986832</v>
      </c>
      <c r="J38" s="56" t="n">
        <f aca="false">H38+I38</f>
        <v>72.741255978496</v>
      </c>
      <c r="K38" s="56" t="n">
        <f aca="false">(E38-0-'War credit'!Q38)*abroad_return*IF(OR(A38=1931,A38=1932),abroad_slump,1)+0+'War credit'!U38</f>
        <v>2.09277755501695</v>
      </c>
      <c r="L38" s="72" t="n">
        <f aca="false">Champions!AZ38</f>
        <v>2.18933483813082</v>
      </c>
      <c r="M38" s="56" t="n">
        <f aca="false">K38+L38</f>
        <v>4.28211239314777</v>
      </c>
      <c r="N38" s="56" t="n">
        <f aca="false">M38*abroad_tax</f>
        <v>0.428211239314777</v>
      </c>
      <c r="O38" s="72" t="n">
        <f aca="false">Labour!R38</f>
        <v>0</v>
      </c>
      <c r="P38" s="50" t="n">
        <f aca="false">Economy!O38+M38-O38-V38</f>
        <v>887.101959495806</v>
      </c>
      <c r="Q38" s="66" t="n">
        <f aca="false">M38/P38</f>
        <v>0.00482708030042179</v>
      </c>
      <c r="R38" s="66" t="n">
        <f aca="false">J38/Economy!O38</f>
        <v>0.0823501774527254</v>
      </c>
      <c r="S38" s="74" t="n">
        <f aca="false">0</f>
        <v>0</v>
      </c>
      <c r="T38" s="74" t="n">
        <f aca="false">C38-S38</f>
        <v>5.2998979403721</v>
      </c>
      <c r="U38" s="74" t="n">
        <f aca="false">0</f>
        <v>0</v>
      </c>
      <c r="V38" s="75" t="n">
        <f aca="false">'Champion funding'!P38</f>
        <v>0.49647629269098</v>
      </c>
    </row>
    <row r="39" customFormat="false" ht="14.25" hidden="false" customHeight="false" outlineLevel="0" collapsed="false">
      <c r="A39" s="61" t="n">
        <v>1879</v>
      </c>
      <c r="B39" s="62" t="n">
        <v>0.006</v>
      </c>
      <c r="C39" s="56" t="n">
        <f aca="false">Economy!O39*B39</f>
        <v>5.5572158122567</v>
      </c>
      <c r="D39" s="56" t="n">
        <f aca="false">IF(AND($A39&gt;=1914,$A39&lt;=1918),entente_total*entente_private*CHOOSE($A39-1913,0.05,0.1333,0.2333,0.3,0.2834),0)</f>
        <v>0</v>
      </c>
      <c r="E39" s="56" t="n">
        <f aca="false">H38</f>
        <v>39.1331350798128</v>
      </c>
      <c r="F39" s="56" t="n">
        <f aca="false">(E39-0-'War credit'!Q39)*abroad_repat+0+'War credit'!R39</f>
        <v>1.17399405239438</v>
      </c>
      <c r="G39" s="56" t="n">
        <f aca="false">'War credit'!S39+IF(OR(A39=1931,A39=1932),(E39-0-'War credit'!Q39)*abroad_loss/2,0)</f>
        <v>0</v>
      </c>
      <c r="H39" s="56" t="n">
        <f aca="false">E39+C39+D39-F39-G39</f>
        <v>43.5163568396751</v>
      </c>
      <c r="I39" s="72" t="n">
        <f aca="false">Champions!AY39</f>
        <v>37.7673167903773</v>
      </c>
      <c r="J39" s="56" t="n">
        <f aca="false">H39+I39</f>
        <v>81.2836736300524</v>
      </c>
      <c r="K39" s="56" t="n">
        <f aca="false">(E39-0-'War credit'!Q39)*abroad_return*IF(OR(A39=1931,A39=1932),abroad_slump,1)+0+'War credit'!U39</f>
        <v>2.34798810478877</v>
      </c>
      <c r="L39" s="72" t="n">
        <f aca="false">Champions!AZ39</f>
        <v>2.45371194972206</v>
      </c>
      <c r="M39" s="56" t="n">
        <f aca="false">K39+L39</f>
        <v>4.80170005451083</v>
      </c>
      <c r="N39" s="56" t="n">
        <f aca="false">M39*abroad_tax</f>
        <v>0.480170005451083</v>
      </c>
      <c r="O39" s="72" t="n">
        <f aca="false">Labour!R39</f>
        <v>0</v>
      </c>
      <c r="P39" s="50" t="n">
        <f aca="false">Economy!O39+M39-O39-V39</f>
        <v>930.458462339387</v>
      </c>
      <c r="Q39" s="66" t="n">
        <f aca="false">M39/P39</f>
        <v>0.00516057432852859</v>
      </c>
      <c r="R39" s="66" t="n">
        <f aca="false">J39/Economy!O39</f>
        <v>0.0877601407353417</v>
      </c>
      <c r="S39" s="74" t="n">
        <f aca="false">0</f>
        <v>0</v>
      </c>
      <c r="T39" s="74" t="n">
        <f aca="false">C39-S39</f>
        <v>5.5572158122567</v>
      </c>
      <c r="U39" s="74" t="n">
        <f aca="false">0</f>
        <v>0</v>
      </c>
      <c r="V39" s="75" t="n">
        <f aca="false">'Champion funding'!P39</f>
        <v>0.545873091239923</v>
      </c>
    </row>
    <row r="40" customFormat="false" ht="14.25" hidden="false" customHeight="false" outlineLevel="0" collapsed="false">
      <c r="A40" s="61" t="n">
        <v>1880</v>
      </c>
      <c r="B40" s="62" t="n">
        <v>0.006</v>
      </c>
      <c r="C40" s="56" t="n">
        <f aca="false">Economy!O40*B40</f>
        <v>5.87086364958515</v>
      </c>
      <c r="D40" s="56" t="n">
        <f aca="false">IF(AND($A40&gt;=1914,$A40&lt;=1918),entente_total*entente_private*CHOOSE($A40-1913,0.05,0.1333,0.2333,0.3,0.2834),0)</f>
        <v>0</v>
      </c>
      <c r="E40" s="56" t="n">
        <f aca="false">H39</f>
        <v>43.5163568396751</v>
      </c>
      <c r="F40" s="56" t="n">
        <f aca="false">(E40-0-'War credit'!Q40)*abroad_repat+0+'War credit'!R40</f>
        <v>1.30549070519025</v>
      </c>
      <c r="G40" s="56" t="n">
        <f aca="false">'War credit'!S40+IF(OR(A40=1931,A40=1932),(E40-0-'War credit'!Q40)*abroad_loss/2,0)</f>
        <v>0</v>
      </c>
      <c r="H40" s="56" t="n">
        <f aca="false">E40+C40+D40-F40-G40</f>
        <v>48.08172978407</v>
      </c>
      <c r="I40" s="72" t="n">
        <f aca="false">Champions!AY40</f>
        <v>46.2482801421313</v>
      </c>
      <c r="J40" s="56" t="n">
        <f aca="false">H40+I40</f>
        <v>94.3300099262013</v>
      </c>
      <c r="K40" s="56" t="n">
        <f aca="false">(E40-0-'War credit'!Q40)*abroad_return*IF(OR(A40=1931,A40=1932),abroad_slump,1)+0+'War credit'!U40</f>
        <v>2.61098141038051</v>
      </c>
      <c r="L40" s="72" t="n">
        <f aca="false">Champions!AZ40</f>
        <v>3.42360056096397</v>
      </c>
      <c r="M40" s="56" t="n">
        <f aca="false">K40+L40</f>
        <v>6.03458197134447</v>
      </c>
      <c r="N40" s="56" t="n">
        <f aca="false">M40*abroad_tax</f>
        <v>0.603458197134448</v>
      </c>
      <c r="O40" s="72" t="n">
        <f aca="false">Labour!R40</f>
        <v>0</v>
      </c>
      <c r="P40" s="50" t="n">
        <f aca="false">Economy!O40+M40-O40-V40</f>
        <v>983.812910873549</v>
      </c>
      <c r="Q40" s="66" t="n">
        <f aca="false">M40/P40</f>
        <v>0.00613387149593944</v>
      </c>
      <c r="R40" s="66" t="n">
        <f aca="false">J40/Economy!O40</f>
        <v>0.0964049062180487</v>
      </c>
      <c r="S40" s="74" t="n">
        <f aca="false">0</f>
        <v>0</v>
      </c>
      <c r="T40" s="74" t="n">
        <f aca="false">C40-S40</f>
        <v>5.87086364958515</v>
      </c>
      <c r="U40" s="74" t="n">
        <f aca="false">0</f>
        <v>0</v>
      </c>
      <c r="V40" s="75" t="n">
        <f aca="false">'Champion funding'!P40</f>
        <v>0.698946028653774</v>
      </c>
    </row>
    <row r="41" customFormat="false" ht="14.25" hidden="false" customHeight="false" outlineLevel="0" collapsed="false">
      <c r="A41" s="61" t="n">
        <v>1881</v>
      </c>
      <c r="B41" s="62" t="n">
        <v>0.006</v>
      </c>
      <c r="C41" s="56" t="n">
        <f aca="false">Economy!O41*B41</f>
        <v>6.23850558396075</v>
      </c>
      <c r="D41" s="56" t="n">
        <f aca="false">IF(AND($A41&gt;=1914,$A41&lt;=1918),entente_total*entente_private*CHOOSE($A41-1913,0.05,0.1333,0.2333,0.3,0.2834),0)</f>
        <v>0</v>
      </c>
      <c r="E41" s="56" t="n">
        <f aca="false">H40</f>
        <v>48.08172978407</v>
      </c>
      <c r="F41" s="56" t="n">
        <f aca="false">(E41-0-'War credit'!Q41)*abroad_repat+0+'War credit'!R41</f>
        <v>1.4424518935221</v>
      </c>
      <c r="G41" s="56" t="n">
        <f aca="false">'War credit'!S41+IF(OR(A41=1931,A41=1932),(E41-0-'War credit'!Q41)*abroad_loss/2,0)</f>
        <v>0</v>
      </c>
      <c r="H41" s="56" t="n">
        <f aca="false">E41+C41+D41-F41-G41</f>
        <v>52.8777834745087</v>
      </c>
      <c r="I41" s="72" t="n">
        <f aca="false">Champions!AY41</f>
        <v>53.6434055018594</v>
      </c>
      <c r="J41" s="56" t="n">
        <f aca="false">H41+I41</f>
        <v>106.521188976368</v>
      </c>
      <c r="K41" s="56" t="n">
        <f aca="false">(E41-0-'War credit'!Q41)*abroad_return*IF(OR(A41=1931,A41=1932),abroad_slump,1)+0+'War credit'!U41</f>
        <v>2.8849037870442</v>
      </c>
      <c r="L41" s="72" t="n">
        <f aca="false">Champions!AZ41</f>
        <v>3.90643149367103</v>
      </c>
      <c r="M41" s="56" t="n">
        <f aca="false">K41+L41</f>
        <v>6.79133528071523</v>
      </c>
      <c r="N41" s="56" t="n">
        <f aca="false">M41*abroad_tax</f>
        <v>0.679133528071523</v>
      </c>
      <c r="O41" s="72" t="n">
        <f aca="false">Labour!R41</f>
        <v>0</v>
      </c>
      <c r="P41" s="50" t="n">
        <f aca="false">Economy!O41+M41-O41-V41</f>
        <v>1045.58471329434</v>
      </c>
      <c r="Q41" s="66" t="n">
        <f aca="false">M41/P41</f>
        <v>0.00649525112060758</v>
      </c>
      <c r="R41" s="66" t="n">
        <f aca="false">J41/Economy!O41</f>
        <v>0.102448755596438</v>
      </c>
      <c r="S41" s="74" t="n">
        <f aca="false">0</f>
        <v>0</v>
      </c>
      <c r="T41" s="74" t="n">
        <f aca="false">C41-S41</f>
        <v>6.23850558396075</v>
      </c>
      <c r="U41" s="74" t="n">
        <f aca="false">0</f>
        <v>0</v>
      </c>
      <c r="V41" s="75" t="n">
        <f aca="false">'Champion funding'!P41</f>
        <v>0.957552646498469</v>
      </c>
    </row>
    <row r="42" customFormat="false" ht="14.25" hidden="false" customHeight="false" outlineLevel="0" collapsed="false">
      <c r="A42" s="61" t="n">
        <v>1882</v>
      </c>
      <c r="B42" s="62" t="n">
        <v>0.006</v>
      </c>
      <c r="C42" s="56" t="n">
        <f aca="false">Economy!O42*B42</f>
        <v>6.60298053092956</v>
      </c>
      <c r="D42" s="56" t="n">
        <f aca="false">IF(AND($A42&gt;=1914,$A42&lt;=1918),entente_total*entente_private*CHOOSE($A42-1913,0.05,0.1333,0.2333,0.3,0.2834),0)</f>
        <v>0</v>
      </c>
      <c r="E42" s="56" t="n">
        <f aca="false">H41</f>
        <v>52.8777834745087</v>
      </c>
      <c r="F42" s="56" t="n">
        <f aca="false">(E42-0-'War credit'!Q42)*abroad_repat+0+'War credit'!R42</f>
        <v>1.58633350423526</v>
      </c>
      <c r="G42" s="56" t="n">
        <f aca="false">'War credit'!S42+IF(OR(A42=1931,A42=1932),(E42-0-'War credit'!Q42)*abroad_loss/2,0)</f>
        <v>0</v>
      </c>
      <c r="H42" s="56" t="n">
        <f aca="false">E42+C42+D42-F42-G42</f>
        <v>57.894430501203</v>
      </c>
      <c r="I42" s="72" t="n">
        <f aca="false">Champions!AY42</f>
        <v>64.2302239553171</v>
      </c>
      <c r="J42" s="56" t="n">
        <f aca="false">H42+I42</f>
        <v>122.12465445652</v>
      </c>
      <c r="K42" s="56" t="n">
        <f aca="false">(E42-0-'War credit'!Q42)*abroad_return*IF(OR(A42=1931,A42=1932),abroad_slump,1)+0+'War credit'!U42</f>
        <v>3.17266700847052</v>
      </c>
      <c r="L42" s="72" t="n">
        <f aca="false">Champions!AZ42</f>
        <v>4.89336822515993</v>
      </c>
      <c r="M42" s="56" t="n">
        <f aca="false">K42+L42</f>
        <v>8.06603523363046</v>
      </c>
      <c r="N42" s="56" t="n">
        <f aca="false">M42*abroad_tax</f>
        <v>0.806603523363046</v>
      </c>
      <c r="O42" s="72" t="n">
        <f aca="false">Labour!R42</f>
        <v>0</v>
      </c>
      <c r="P42" s="50" t="n">
        <f aca="false">Economy!O42+M42-O42-V42</f>
        <v>1107.26883536881</v>
      </c>
      <c r="Q42" s="66" t="n">
        <f aca="false">M42/P42</f>
        <v>0.00728462228501519</v>
      </c>
      <c r="R42" s="66" t="n">
        <f aca="false">J42/Economy!O42</f>
        <v>0.11097229854106</v>
      </c>
      <c r="S42" s="74" t="n">
        <f aca="false">0</f>
        <v>0</v>
      </c>
      <c r="T42" s="74" t="n">
        <f aca="false">C42-S42</f>
        <v>6.60298053092956</v>
      </c>
      <c r="U42" s="74" t="n">
        <f aca="false">0</f>
        <v>0</v>
      </c>
      <c r="V42" s="75" t="n">
        <f aca="false">'Champion funding'!P42</f>
        <v>1.29395501974591</v>
      </c>
    </row>
    <row r="43" customFormat="false" ht="14.25" hidden="false" customHeight="false" outlineLevel="0" collapsed="false">
      <c r="A43" s="61" t="n">
        <v>1883</v>
      </c>
      <c r="B43" s="62" t="n">
        <v>0.006</v>
      </c>
      <c r="C43" s="56" t="n">
        <f aca="false">Economy!O43*B43</f>
        <v>6.98012140342332</v>
      </c>
      <c r="D43" s="56" t="n">
        <f aca="false">IF(AND($A43&gt;=1914,$A43&lt;=1918),entente_total*entente_private*CHOOSE($A43-1913,0.05,0.1333,0.2333,0.3,0.2834),0)</f>
        <v>0</v>
      </c>
      <c r="E43" s="56" t="n">
        <f aca="false">H42</f>
        <v>57.894430501203</v>
      </c>
      <c r="F43" s="56" t="n">
        <f aca="false">(E43-0-'War credit'!Q43)*abroad_repat+0+'War credit'!R43</f>
        <v>1.73683291503609</v>
      </c>
      <c r="G43" s="56" t="n">
        <f aca="false">'War credit'!S43+IF(OR(A43=1931,A43=1932),(E43-0-'War credit'!Q43)*abroad_loss/2,0)</f>
        <v>0</v>
      </c>
      <c r="H43" s="56" t="n">
        <f aca="false">E43+C43+D43-F43-G43</f>
        <v>63.1377189895902</v>
      </c>
      <c r="I43" s="72" t="n">
        <f aca="false">Champions!AY43</f>
        <v>71.6219387318466</v>
      </c>
      <c r="J43" s="56" t="n">
        <f aca="false">H43+I43</f>
        <v>134.759657721437</v>
      </c>
      <c r="K43" s="56" t="n">
        <f aca="false">(E43-0-'War credit'!Q43)*abroad_return*IF(OR(A43=1931,A43=1932),abroad_slump,1)+0+'War credit'!U43</f>
        <v>3.47366583007218</v>
      </c>
      <c r="L43" s="72" t="n">
        <f aca="false">Champions!AZ43</f>
        <v>5.41706666556301</v>
      </c>
      <c r="M43" s="56" t="n">
        <f aca="false">K43+L43</f>
        <v>8.89073249563518</v>
      </c>
      <c r="N43" s="56" t="n">
        <f aca="false">M43*abroad_tax</f>
        <v>0.889073249563519</v>
      </c>
      <c r="O43" s="72" t="n">
        <f aca="false">Labour!R43</f>
        <v>0</v>
      </c>
      <c r="P43" s="50" t="n">
        <f aca="false">Economy!O43+M43-O43-V43</f>
        <v>1170.60642665043</v>
      </c>
      <c r="Q43" s="66" t="n">
        <f aca="false">M43/P43</f>
        <v>0.00759498008316517</v>
      </c>
      <c r="R43" s="66" t="n">
        <f aca="false">J43/Economy!O43</f>
        <v>0.115837232563329</v>
      </c>
      <c r="S43" s="74" t="n">
        <f aca="false">0</f>
        <v>0</v>
      </c>
      <c r="T43" s="74" t="n">
        <f aca="false">C43-S43</f>
        <v>6.98012140342332</v>
      </c>
      <c r="U43" s="74" t="n">
        <f aca="false">0</f>
        <v>0</v>
      </c>
      <c r="V43" s="75" t="n">
        <f aca="false">'Champion funding'!P43</f>
        <v>1.63787308242338</v>
      </c>
    </row>
    <row r="44" customFormat="false" ht="14.25" hidden="false" customHeight="false" outlineLevel="0" collapsed="false">
      <c r="A44" s="61" t="n">
        <v>1884</v>
      </c>
      <c r="B44" s="62" t="n">
        <v>0.006</v>
      </c>
      <c r="C44" s="56" t="n">
        <f aca="false">Economy!O44*B44</f>
        <v>7.22872713324319</v>
      </c>
      <c r="D44" s="56" t="n">
        <f aca="false">IF(AND($A44&gt;=1914,$A44&lt;=1918),entente_total*entente_private*CHOOSE($A44-1913,0.05,0.1333,0.2333,0.3,0.2834),0)</f>
        <v>0</v>
      </c>
      <c r="E44" s="56" t="n">
        <f aca="false">H43</f>
        <v>63.1377189895902</v>
      </c>
      <c r="F44" s="56" t="n">
        <f aca="false">(E44-0-'War credit'!Q44)*abroad_repat+0+'War credit'!R44</f>
        <v>1.89413156968771</v>
      </c>
      <c r="G44" s="56" t="n">
        <f aca="false">'War credit'!S44+IF(OR(A44=1931,A44=1932),(E44-0-'War credit'!Q44)*abroad_loss/2,0)</f>
        <v>0</v>
      </c>
      <c r="H44" s="56" t="n">
        <f aca="false">E44+C44+D44-F44-G44</f>
        <v>68.4723145531457</v>
      </c>
      <c r="I44" s="72" t="n">
        <f aca="false">Champions!AY44</f>
        <v>83.3735119756541</v>
      </c>
      <c r="J44" s="56" t="n">
        <f aca="false">H44+I44</f>
        <v>151.8458265288</v>
      </c>
      <c r="K44" s="56" t="n">
        <f aca="false">(E44-0-'War credit'!Q44)*abroad_return*IF(OR(A44=1931,A44=1932),abroad_slump,1)+0+'War credit'!U44</f>
        <v>3.78826313937541</v>
      </c>
      <c r="L44" s="72" t="n">
        <f aca="false">Champions!AZ44</f>
        <v>6.5159733927185</v>
      </c>
      <c r="M44" s="56" t="n">
        <f aca="false">K44+L44</f>
        <v>10.3042365320939</v>
      </c>
      <c r="N44" s="56" t="n">
        <f aca="false">M44*abroad_tax</f>
        <v>1.03042365320939</v>
      </c>
      <c r="O44" s="72" t="n">
        <f aca="false">Labour!R44</f>
        <v>0</v>
      </c>
      <c r="P44" s="50" t="n">
        <f aca="false">Economy!O44+M44-O44-V44</f>
        <v>1213.15561966376</v>
      </c>
      <c r="Q44" s="66" t="n">
        <f aca="false">M44/P44</f>
        <v>0.00849374669257176</v>
      </c>
      <c r="R44" s="66" t="n">
        <f aca="false">J44/Economy!O44</f>
        <v>0.126035323007696</v>
      </c>
      <c r="S44" s="74" t="n">
        <f aca="false">0</f>
        <v>0</v>
      </c>
      <c r="T44" s="74" t="n">
        <f aca="false">C44-S44</f>
        <v>7.22872713324319</v>
      </c>
      <c r="U44" s="74" t="n">
        <f aca="false">0</f>
        <v>0</v>
      </c>
      <c r="V44" s="75" t="n">
        <f aca="false">'Champion funding'!P44</f>
        <v>1.93647240886579</v>
      </c>
    </row>
    <row r="45" customFormat="false" ht="14.25" hidden="false" customHeight="false" outlineLevel="0" collapsed="false">
      <c r="A45" s="61" t="n">
        <v>1885</v>
      </c>
      <c r="B45" s="62" t="n">
        <v>0.006</v>
      </c>
      <c r="C45" s="56" t="n">
        <f aca="false">Economy!O45*B45</f>
        <v>7.63771051289339</v>
      </c>
      <c r="D45" s="56" t="n">
        <f aca="false">IF(AND($A45&gt;=1914,$A45&lt;=1918),entente_total*entente_private*CHOOSE($A45-1913,0.05,0.1333,0.2333,0.3,0.2834),0)</f>
        <v>0</v>
      </c>
      <c r="E45" s="56" t="n">
        <f aca="false">H44</f>
        <v>68.4723145531457</v>
      </c>
      <c r="F45" s="56" t="n">
        <f aca="false">(E45-0-'War credit'!Q45)*abroad_repat+0+'War credit'!R45</f>
        <v>2.05416943659437</v>
      </c>
      <c r="G45" s="56" t="n">
        <f aca="false">'War credit'!S45+IF(OR(A45=1931,A45=1932),(E45-0-'War credit'!Q45)*abroad_loss/2,0)</f>
        <v>0</v>
      </c>
      <c r="H45" s="56" t="n">
        <f aca="false">E45+C45+D45-F45-G45</f>
        <v>74.0558556294447</v>
      </c>
      <c r="I45" s="72" t="n">
        <f aca="false">Champions!AY45</f>
        <v>90.9902184360575</v>
      </c>
      <c r="J45" s="56" t="n">
        <f aca="false">H45+I45</f>
        <v>165.046074065502</v>
      </c>
      <c r="K45" s="56" t="n">
        <f aca="false">(E45-0-'War credit'!Q45)*abroad_return*IF(OR(A45=1931,A45=1932),abroad_slump,1)+0+'War credit'!U45</f>
        <v>4.10833887318874</v>
      </c>
      <c r="L45" s="72" t="n">
        <f aca="false">Champions!AZ45</f>
        <v>7.01479290823386</v>
      </c>
      <c r="M45" s="56" t="n">
        <f aca="false">K45+L45</f>
        <v>11.1231317814226</v>
      </c>
      <c r="N45" s="56" t="n">
        <f aca="false">M45*abroad_tax</f>
        <v>1.11231317814226</v>
      </c>
      <c r="O45" s="72" t="n">
        <f aca="false">Labour!R45</f>
        <v>0</v>
      </c>
      <c r="P45" s="50" t="n">
        <f aca="false">Economy!O45+M45-O45-V45</f>
        <v>1281.77758806092</v>
      </c>
      <c r="Q45" s="66" t="n">
        <f aca="false">M45/P45</f>
        <v>0.00867789535800023</v>
      </c>
      <c r="R45" s="66" t="n">
        <f aca="false">J45/Economy!O45</f>
        <v>0.129656189864922</v>
      </c>
      <c r="S45" s="74" t="n">
        <f aca="false">0</f>
        <v>0</v>
      </c>
      <c r="T45" s="74" t="n">
        <f aca="false">C45-S45</f>
        <v>7.63771051289339</v>
      </c>
      <c r="U45" s="74" t="n">
        <f aca="false">0</f>
        <v>0</v>
      </c>
      <c r="V45" s="75" t="n">
        <f aca="false">'Champion funding'!P45</f>
        <v>2.29729586940022</v>
      </c>
    </row>
    <row r="46" customFormat="false" ht="14.25" hidden="false" customHeight="false" outlineLevel="0" collapsed="false">
      <c r="A46" s="61" t="n">
        <v>1886</v>
      </c>
      <c r="B46" s="62" t="n">
        <v>0.006</v>
      </c>
      <c r="C46" s="56" t="n">
        <f aca="false">Economy!O46*B46</f>
        <v>8.32832777764271</v>
      </c>
      <c r="D46" s="56" t="n">
        <f aca="false">IF(AND($A46&gt;=1914,$A46&lt;=1918),entente_total*entente_private*CHOOSE($A46-1913,0.05,0.1333,0.2333,0.3,0.2834),0)</f>
        <v>0</v>
      </c>
      <c r="E46" s="56" t="n">
        <f aca="false">H45</f>
        <v>74.0558556294447</v>
      </c>
      <c r="F46" s="56" t="n">
        <f aca="false">(E46-0-'War credit'!Q46)*abroad_repat+0+'War credit'!R46</f>
        <v>2.22167566888334</v>
      </c>
      <c r="G46" s="56" t="n">
        <f aca="false">'War credit'!S46+IF(OR(A46=1931,A46=1932),(E46-0-'War credit'!Q46)*abroad_loss/2,0)</f>
        <v>0</v>
      </c>
      <c r="H46" s="56" t="n">
        <f aca="false">E46+C46+D46-F46-G46</f>
        <v>80.1625077382041</v>
      </c>
      <c r="I46" s="72" t="n">
        <f aca="false">Champions!AY46</f>
        <v>101.786328780557</v>
      </c>
      <c r="J46" s="56" t="n">
        <f aca="false">H46+I46</f>
        <v>181.948836518761</v>
      </c>
      <c r="K46" s="56" t="n">
        <f aca="false">(E46-0-'War credit'!Q46)*abroad_return*IF(OR(A46=1931,A46=1932),abroad_slump,1)+0+'War credit'!U46</f>
        <v>4.44335133776668</v>
      </c>
      <c r="L46" s="72" t="n">
        <f aca="false">Champions!AZ46</f>
        <v>8.05238775579848</v>
      </c>
      <c r="M46" s="56" t="n">
        <f aca="false">K46+L46</f>
        <v>12.4957390935652</v>
      </c>
      <c r="N46" s="56" t="n">
        <f aca="false">M46*abroad_tax</f>
        <v>1.24957390935652</v>
      </c>
      <c r="O46" s="72" t="n">
        <f aca="false">Labour!R46</f>
        <v>0</v>
      </c>
      <c r="P46" s="50" t="n">
        <f aca="false">Economy!O46+M46-O46-V46</f>
        <v>1397.98880975202</v>
      </c>
      <c r="Q46" s="66" t="n">
        <f aca="false">M46/P46</f>
        <v>0.00893836846646984</v>
      </c>
      <c r="R46" s="66" t="n">
        <f aca="false">J46/Economy!O46</f>
        <v>0.131081898822859</v>
      </c>
      <c r="S46" s="74" t="n">
        <f aca="false">0</f>
        <v>0</v>
      </c>
      <c r="T46" s="74" t="n">
        <f aca="false">C46-S46</f>
        <v>8.32832777764271</v>
      </c>
      <c r="U46" s="74" t="n">
        <f aca="false">0</f>
        <v>0</v>
      </c>
      <c r="V46" s="75" t="n">
        <f aca="false">'Champion funding'!P46</f>
        <v>2.56155894866267</v>
      </c>
    </row>
    <row r="47" customFormat="false" ht="14.25" hidden="false" customHeight="false" outlineLevel="0" collapsed="false">
      <c r="A47" s="61" t="n">
        <v>1887</v>
      </c>
      <c r="B47" s="62" t="n">
        <v>0.006</v>
      </c>
      <c r="C47" s="56" t="n">
        <f aca="false">Economy!O47*B47</f>
        <v>8.91805200752044</v>
      </c>
      <c r="D47" s="56" t="n">
        <f aca="false">IF(AND($A47&gt;=1914,$A47&lt;=1918),entente_total*entente_private*CHOOSE($A47-1913,0.05,0.1333,0.2333,0.3,0.2834),0)</f>
        <v>0</v>
      </c>
      <c r="E47" s="56" t="n">
        <f aca="false">H46</f>
        <v>80.1625077382041</v>
      </c>
      <c r="F47" s="56" t="n">
        <f aca="false">(E47-0-'War credit'!Q47)*abroad_repat+0+'War credit'!R47</f>
        <v>2.40487523214612</v>
      </c>
      <c r="G47" s="56" t="n">
        <f aca="false">'War credit'!S47+IF(OR(A47=1931,A47=1932),(E47-0-'War credit'!Q47)*abroad_loss/2,0)</f>
        <v>0</v>
      </c>
      <c r="H47" s="56" t="n">
        <f aca="false">E47+C47+D47-F47-G47</f>
        <v>86.6756845135784</v>
      </c>
      <c r="I47" s="72" t="n">
        <f aca="false">Champions!AY47</f>
        <v>108.483341207655</v>
      </c>
      <c r="J47" s="56" t="n">
        <f aca="false">H47+I47</f>
        <v>195.159025721234</v>
      </c>
      <c r="K47" s="56" t="n">
        <f aca="false">(E47-0-'War credit'!Q47)*abroad_return*IF(OR(A47=1931,A47=1932),abroad_slump,1)+0+'War credit'!U47</f>
        <v>4.80975046429225</v>
      </c>
      <c r="L47" s="72" t="n">
        <f aca="false">Champions!AZ47</f>
        <v>8.47873893695966</v>
      </c>
      <c r="M47" s="56" t="n">
        <f aca="false">K47+L47</f>
        <v>13.2884894012519</v>
      </c>
      <c r="N47" s="56" t="n">
        <f aca="false">M47*abroad_tax</f>
        <v>1.32884894012519</v>
      </c>
      <c r="O47" s="72" t="n">
        <f aca="false">Labour!R47</f>
        <v>0</v>
      </c>
      <c r="P47" s="50" t="n">
        <f aca="false">Economy!O47+M47-O47-V47</f>
        <v>1496.81514018977</v>
      </c>
      <c r="Q47" s="66" t="n">
        <f aca="false">M47/P47</f>
        <v>0.00887784272382973</v>
      </c>
      <c r="R47" s="66" t="n">
        <f aca="false">J47/Economy!O47</f>
        <v>0.131301561522624</v>
      </c>
      <c r="S47" s="74" t="n">
        <f aca="false">0</f>
        <v>0</v>
      </c>
      <c r="T47" s="74" t="n">
        <f aca="false">C47-S47</f>
        <v>8.91805200752044</v>
      </c>
      <c r="U47" s="74" t="n">
        <f aca="false">0</f>
        <v>0</v>
      </c>
      <c r="V47" s="75" t="n">
        <f aca="false">'Champion funding'!P47</f>
        <v>2.81535046489008</v>
      </c>
    </row>
    <row r="48" customFormat="false" ht="14.25" hidden="false" customHeight="false" outlineLevel="0" collapsed="false">
      <c r="A48" s="61" t="n">
        <v>1888</v>
      </c>
      <c r="B48" s="62" t="n">
        <v>0.006</v>
      </c>
      <c r="C48" s="56" t="n">
        <f aca="false">Economy!O48*B48</f>
        <v>9.59144627809261</v>
      </c>
      <c r="D48" s="56" t="n">
        <f aca="false">IF(AND($A48&gt;=1914,$A48&lt;=1918),entente_total*entente_private*CHOOSE($A48-1913,0.05,0.1333,0.2333,0.3,0.2834),0)</f>
        <v>0</v>
      </c>
      <c r="E48" s="56" t="n">
        <f aca="false">H47</f>
        <v>86.6756845135784</v>
      </c>
      <c r="F48" s="56" t="n">
        <f aca="false">(E48-0-'War credit'!Q48)*abroad_repat+0+'War credit'!R48</f>
        <v>2.60027053540735</v>
      </c>
      <c r="G48" s="56" t="n">
        <f aca="false">'War credit'!S48+IF(OR(A48=1931,A48=1932),(E48-0-'War credit'!Q48)*abroad_loss/2,0)</f>
        <v>0</v>
      </c>
      <c r="H48" s="56" t="n">
        <f aca="false">E48+C48+D48-F48-G48</f>
        <v>93.6668602562637</v>
      </c>
      <c r="I48" s="72" t="n">
        <f aca="false">Champions!AY48</f>
        <v>121.916115713861</v>
      </c>
      <c r="J48" s="56" t="n">
        <f aca="false">H48+I48</f>
        <v>215.582975970124</v>
      </c>
      <c r="K48" s="56" t="n">
        <f aca="false">(E48-0-'War credit'!Q48)*abroad_return*IF(OR(A48=1931,A48=1932),abroad_slump,1)+0+'War credit'!U48</f>
        <v>5.20054107081471</v>
      </c>
      <c r="L48" s="72" t="n">
        <f aca="false">Champions!AZ48</f>
        <v>9.78247299339421</v>
      </c>
      <c r="M48" s="56" t="n">
        <f aca="false">K48+L48</f>
        <v>14.9830140642089</v>
      </c>
      <c r="N48" s="56" t="n">
        <f aca="false">M48*abroad_tax</f>
        <v>1.49830140642089</v>
      </c>
      <c r="O48" s="72" t="n">
        <f aca="false">Labour!R48</f>
        <v>0</v>
      </c>
      <c r="P48" s="50" t="n">
        <f aca="false">Economy!O48+M48-O48-V48</f>
        <v>1610.56382374423</v>
      </c>
      <c r="Q48" s="66" t="n">
        <f aca="false">M48/P48</f>
        <v>0.00930296200828382</v>
      </c>
      <c r="R48" s="66" t="n">
        <f aca="false">J48/Economy!O48</f>
        <v>0.134859521527547</v>
      </c>
      <c r="S48" s="74" t="n">
        <f aca="false">0</f>
        <v>0</v>
      </c>
      <c r="T48" s="74" t="n">
        <f aca="false">C48-S48</f>
        <v>9.59144627809261</v>
      </c>
      <c r="U48" s="74" t="n">
        <f aca="false">0</f>
        <v>0</v>
      </c>
      <c r="V48" s="75" t="n">
        <f aca="false">'Champion funding'!P48</f>
        <v>2.9935700020779</v>
      </c>
    </row>
    <row r="49" customFormat="false" ht="14.25" hidden="false" customHeight="false" outlineLevel="0" collapsed="false">
      <c r="A49" s="61" t="n">
        <v>1889</v>
      </c>
      <c r="B49" s="62" t="n">
        <v>0.006</v>
      </c>
      <c r="C49" s="56" t="n">
        <f aca="false">Economy!O49*B49</f>
        <v>10.242614489423</v>
      </c>
      <c r="D49" s="56" t="n">
        <f aca="false">IF(AND($A49&gt;=1914,$A49&lt;=1918),entente_total*entente_private*CHOOSE($A49-1913,0.05,0.1333,0.2333,0.3,0.2834),0)</f>
        <v>0</v>
      </c>
      <c r="E49" s="56" t="n">
        <f aca="false">H48</f>
        <v>93.6668602562637</v>
      </c>
      <c r="F49" s="56" t="n">
        <f aca="false">(E49-0-'War credit'!Q49)*abroad_repat+0+'War credit'!R49</f>
        <v>2.81000580768791</v>
      </c>
      <c r="G49" s="56" t="n">
        <f aca="false">'War credit'!S49+IF(OR(A49=1931,A49=1932),(E49-0-'War credit'!Q49)*abroad_loss/2,0)</f>
        <v>0</v>
      </c>
      <c r="H49" s="56" t="n">
        <f aca="false">E49+C49+D49-F49-G49</f>
        <v>101.099468937999</v>
      </c>
      <c r="I49" s="72" t="n">
        <f aca="false">Champions!AY49</f>
        <v>130.333005522568</v>
      </c>
      <c r="J49" s="56" t="n">
        <f aca="false">H49+I49</f>
        <v>231.432474460567</v>
      </c>
      <c r="K49" s="56" t="n">
        <f aca="false">(E49-0-'War credit'!Q49)*abroad_return*IF(OR(A49=1931,A49=1932),abroad_slump,1)+0+'War credit'!U49</f>
        <v>5.62001161537582</v>
      </c>
      <c r="L49" s="72" t="n">
        <f aca="false">Champions!AZ49</f>
        <v>10.4114990797959</v>
      </c>
      <c r="M49" s="56" t="n">
        <f aca="false">K49+L49</f>
        <v>16.0315106951718</v>
      </c>
      <c r="N49" s="56" t="n">
        <f aca="false">M49*abroad_tax</f>
        <v>1.60315106951718</v>
      </c>
      <c r="O49" s="72" t="n">
        <f aca="false">Labour!R49</f>
        <v>0</v>
      </c>
      <c r="P49" s="50" t="n">
        <f aca="false">Economy!O49+M49-O49-V49</f>
        <v>1719.76591096935</v>
      </c>
      <c r="Q49" s="66" t="n">
        <f aca="false">M49/P49</f>
        <v>0.00932191444947037</v>
      </c>
      <c r="R49" s="66" t="n">
        <f aca="false">J49/Economy!O49</f>
        <v>0.13557035151497</v>
      </c>
      <c r="S49" s="74" t="n">
        <f aca="false">0</f>
        <v>0</v>
      </c>
      <c r="T49" s="74" t="n">
        <f aca="false">C49-S49</f>
        <v>10.242614489423</v>
      </c>
      <c r="U49" s="74" t="n">
        <f aca="false">0</f>
        <v>0</v>
      </c>
      <c r="V49" s="75" t="n">
        <f aca="false">'Champion funding'!P49</f>
        <v>3.36801462965178</v>
      </c>
    </row>
    <row r="50" customFormat="false" ht="14.25" hidden="false" customHeight="false" outlineLevel="0" collapsed="false">
      <c r="A50" s="61" t="n">
        <v>1890</v>
      </c>
      <c r="B50" s="62" t="n">
        <v>0.006</v>
      </c>
      <c r="C50" s="56" t="n">
        <f aca="false">Economy!O50*B50</f>
        <v>11.1490439842639</v>
      </c>
      <c r="D50" s="56" t="n">
        <f aca="false">IF(AND($A50&gt;=1914,$A50&lt;=1918),entente_total*entente_private*CHOOSE($A50-1913,0.05,0.1333,0.2333,0.3,0.2834),0)</f>
        <v>0</v>
      </c>
      <c r="E50" s="56" t="n">
        <f aca="false">H49</f>
        <v>101.099468937999</v>
      </c>
      <c r="F50" s="56" t="n">
        <f aca="false">(E50-0-'War credit'!Q50)*abroad_repat+0+'War credit'!R50</f>
        <v>3.03298406813996</v>
      </c>
      <c r="G50" s="56" t="n">
        <f aca="false">'War credit'!S50+IF(OR(A50=1931,A50=1932),(E50-0-'War credit'!Q50)*abroad_loss/2,0)</f>
        <v>0</v>
      </c>
      <c r="H50" s="56" t="n">
        <f aca="false">E50+C50+D50-F50-G50</f>
        <v>109.215528854123</v>
      </c>
      <c r="I50" s="72" t="n">
        <f aca="false">Champions!AY50</f>
        <v>147.690567892379</v>
      </c>
      <c r="J50" s="56" t="n">
        <f aca="false">H50+I50</f>
        <v>256.906096746502</v>
      </c>
      <c r="K50" s="56" t="n">
        <f aca="false">(E50-0-'War credit'!Q50)*abroad_return*IF(OR(A50=1931,A50=1932),abroad_slump,1)+0+'War credit'!U50</f>
        <v>6.06596813627993</v>
      </c>
      <c r="L50" s="72" t="n">
        <f aca="false">Champions!AZ50</f>
        <v>11.9315456963001</v>
      </c>
      <c r="M50" s="56" t="n">
        <f aca="false">K50+L50</f>
        <v>17.9975138325801</v>
      </c>
      <c r="N50" s="56" t="n">
        <f aca="false">M50*abroad_tax</f>
        <v>1.79975138325801</v>
      </c>
      <c r="O50" s="72" t="n">
        <f aca="false">Labour!R50</f>
        <v>6.38516821907041</v>
      </c>
      <c r="P50" s="50" t="n">
        <f aca="false">Economy!O50+M50-O50-V50</f>
        <v>1866.21578986967</v>
      </c>
      <c r="Q50" s="66" t="n">
        <f aca="false">M50/P50</f>
        <v>0.00964385465511305</v>
      </c>
      <c r="R50" s="66" t="n">
        <f aca="false">J50/Economy!O50</f>
        <v>0.138257287589379</v>
      </c>
      <c r="S50" s="74" t="n">
        <f aca="false">0</f>
        <v>0</v>
      </c>
      <c r="T50" s="74" t="n">
        <f aca="false">C50-S50</f>
        <v>11.1490439842639</v>
      </c>
      <c r="U50" s="74" t="n">
        <f aca="false">0</f>
        <v>0</v>
      </c>
      <c r="V50" s="75" t="n">
        <f aca="false">'Champion funding'!P50</f>
        <v>3.5705531211666</v>
      </c>
    </row>
    <row r="51" customFormat="false" ht="14.25" hidden="false" customHeight="false" outlineLevel="0" collapsed="false">
      <c r="A51" s="61" t="n">
        <v>1891</v>
      </c>
      <c r="B51" s="62" t="n">
        <v>0.006</v>
      </c>
      <c r="C51" s="56" t="n">
        <f aca="false">Economy!O51*B51</f>
        <v>11.9851169157715</v>
      </c>
      <c r="D51" s="56" t="n">
        <f aca="false">IF(AND($A51&gt;=1914,$A51&lt;=1918),entente_total*entente_private*CHOOSE($A51-1913,0.05,0.1333,0.2333,0.3,0.2834),0)</f>
        <v>0</v>
      </c>
      <c r="E51" s="56" t="n">
        <f aca="false">H50</f>
        <v>109.215528854123</v>
      </c>
      <c r="F51" s="56" t="n">
        <f aca="false">(E51-0-'War credit'!Q51)*abroad_repat+0+'War credit'!R51</f>
        <v>3.27646586562368</v>
      </c>
      <c r="G51" s="56" t="n">
        <f aca="false">'War credit'!S51+IF(OR(A51=1931,A51=1932),(E51-0-'War credit'!Q51)*abroad_loss/2,0)</f>
        <v>0</v>
      </c>
      <c r="H51" s="56" t="n">
        <f aca="false">E51+C51+D51-F51-G51</f>
        <v>117.924179904271</v>
      </c>
      <c r="I51" s="72" t="n">
        <f aca="false">Champions!AY51</f>
        <v>180.853407387642</v>
      </c>
      <c r="J51" s="56" t="n">
        <f aca="false">H51+I51</f>
        <v>298.777587291913</v>
      </c>
      <c r="K51" s="56" t="n">
        <f aca="false">(E51-0-'War credit'!Q51)*abroad_return*IF(OR(A51=1931,A51=1932),abroad_slump,1)+0+'War credit'!U51</f>
        <v>6.55293173124736</v>
      </c>
      <c r="L51" s="72" t="n">
        <f aca="false">Champions!AZ51</f>
        <v>14.4967383512859</v>
      </c>
      <c r="M51" s="56" t="n">
        <f aca="false">K51+L51</f>
        <v>21.0496700825333</v>
      </c>
      <c r="N51" s="56" t="n">
        <f aca="false">M51*abroad_tax</f>
        <v>2.10496700825333</v>
      </c>
      <c r="O51" s="72" t="n">
        <f aca="false">Labour!R51</f>
        <v>10.5412118358073</v>
      </c>
      <c r="P51" s="50" t="n">
        <f aca="false">Economy!O51+M51-O51-V51</f>
        <v>2003.92928439214</v>
      </c>
      <c r="Q51" s="66" t="n">
        <f aca="false">M51/P51</f>
        <v>0.0105041980505407</v>
      </c>
      <c r="R51" s="66" t="n">
        <f aca="false">J51/Economy!O51</f>
        <v>0.149574304226642</v>
      </c>
      <c r="S51" s="74" t="n">
        <f aca="false">0</f>
        <v>0</v>
      </c>
      <c r="T51" s="74" t="n">
        <f aca="false">C51-S51</f>
        <v>11.9851169157715</v>
      </c>
      <c r="U51" s="74" t="n">
        <f aca="false">0</f>
        <v>0</v>
      </c>
      <c r="V51" s="75" t="n">
        <f aca="false">'Champion funding'!P51</f>
        <v>4.09865981650477</v>
      </c>
    </row>
    <row r="52" customFormat="false" ht="14.25" hidden="false" customHeight="false" outlineLevel="0" collapsed="false">
      <c r="A52" s="61" t="n">
        <v>1892</v>
      </c>
      <c r="B52" s="62" t="n">
        <v>0.006</v>
      </c>
      <c r="C52" s="56" t="n">
        <f aca="false">Economy!O52*B52</f>
        <v>12.8511617486718</v>
      </c>
      <c r="D52" s="56" t="n">
        <f aca="false">IF(AND($A52&gt;=1914,$A52&lt;=1918),entente_total*entente_private*CHOOSE($A52-1913,0.05,0.1333,0.2333,0.3,0.2834),0)</f>
        <v>0</v>
      </c>
      <c r="E52" s="56" t="n">
        <f aca="false">H51</f>
        <v>117.924179904271</v>
      </c>
      <c r="F52" s="56" t="n">
        <f aca="false">(E52-0-'War credit'!Q52)*abroad_repat+0+'War credit'!R52</f>
        <v>3.53772539712812</v>
      </c>
      <c r="G52" s="56" t="n">
        <f aca="false">'War credit'!S52+IF(OR(A52=1931,A52=1932),(E52-0-'War credit'!Q52)*abroad_loss/2,0)</f>
        <v>0</v>
      </c>
      <c r="H52" s="56" t="n">
        <f aca="false">E52+C52+D52-F52-G52</f>
        <v>127.237616255814</v>
      </c>
      <c r="I52" s="72" t="n">
        <f aca="false">Champions!AY52</f>
        <v>214.853246471222</v>
      </c>
      <c r="J52" s="56" t="n">
        <f aca="false">H52+I52</f>
        <v>342.090862727036</v>
      </c>
      <c r="K52" s="56" t="n">
        <f aca="false">(E52-0-'War credit'!Q52)*abroad_return*IF(OR(A52=1931,A52=1932),abroad_slump,1)+0+'War credit'!U52</f>
        <v>7.07545079425623</v>
      </c>
      <c r="L52" s="72" t="n">
        <f aca="false">Champions!AZ52</f>
        <v>17.1018422411774</v>
      </c>
      <c r="M52" s="56" t="n">
        <f aca="false">K52+L52</f>
        <v>24.1772930354336</v>
      </c>
      <c r="N52" s="56" t="n">
        <f aca="false">M52*abroad_tax</f>
        <v>2.41772930354336</v>
      </c>
      <c r="O52" s="72" t="n">
        <f aca="false">Labour!R52</f>
        <v>13.5414344409379</v>
      </c>
      <c r="P52" s="50" t="n">
        <f aca="false">Economy!O52+M52-O52-V52</f>
        <v>2147.03464439141</v>
      </c>
      <c r="Q52" s="66" t="n">
        <f aca="false">M52/P52</f>
        <v>0.0112607838437031</v>
      </c>
      <c r="R52" s="66" t="n">
        <f aca="false">J52/Economy!O52</f>
        <v>0.159716702388743</v>
      </c>
      <c r="S52" s="74" t="n">
        <f aca="false">0</f>
        <v>0</v>
      </c>
      <c r="T52" s="74" t="n">
        <f aca="false">C52-S52</f>
        <v>12.8511617486718</v>
      </c>
      <c r="U52" s="74" t="n">
        <f aca="false">0</f>
        <v>0</v>
      </c>
      <c r="V52" s="75" t="n">
        <f aca="false">'Champion funding'!P52</f>
        <v>5.46150564838666</v>
      </c>
    </row>
    <row r="53" customFormat="false" ht="14.25" hidden="false" customHeight="false" outlineLevel="0" collapsed="false">
      <c r="A53" s="61" t="n">
        <v>1893</v>
      </c>
      <c r="B53" s="62" t="n">
        <v>0.006</v>
      </c>
      <c r="C53" s="56" t="n">
        <f aca="false">Economy!O53*B53</f>
        <v>13.0801228780766</v>
      </c>
      <c r="D53" s="56" t="n">
        <f aca="false">IF(AND($A53&gt;=1914,$A53&lt;=1918),entente_total*entente_private*CHOOSE($A53-1913,0.05,0.1333,0.2333,0.3,0.2834),0)</f>
        <v>0</v>
      </c>
      <c r="E53" s="56" t="n">
        <f aca="false">H52</f>
        <v>127.237616255814</v>
      </c>
      <c r="F53" s="56" t="n">
        <f aca="false">(E53-0-'War credit'!Q53)*abroad_repat+0+'War credit'!R53</f>
        <v>3.81712848767443</v>
      </c>
      <c r="G53" s="56" t="n">
        <f aca="false">'War credit'!S53+IF(OR(A53=1931,A53=1932),(E53-0-'War credit'!Q53)*abroad_loss/2,0)</f>
        <v>0</v>
      </c>
      <c r="H53" s="56" t="n">
        <f aca="false">E53+C53+D53-F53-G53</f>
        <v>136.500610646216</v>
      </c>
      <c r="I53" s="72" t="n">
        <f aca="false">Champions!AY53</f>
        <v>251.140250392045</v>
      </c>
      <c r="J53" s="56" t="n">
        <f aca="false">H53+I53</f>
        <v>387.640861038262</v>
      </c>
      <c r="K53" s="56" t="n">
        <f aca="false">(E53-0-'War credit'!Q53)*abroad_return*IF(OR(A53=1931,A53=1932),abroad_slump,1)+0+'War credit'!U53</f>
        <v>7.63425697534886</v>
      </c>
      <c r="L53" s="72" t="n">
        <f aca="false">Champions!AZ53</f>
        <v>19.9470722490233</v>
      </c>
      <c r="M53" s="56" t="n">
        <f aca="false">K53+L53</f>
        <v>27.5813292243722</v>
      </c>
      <c r="N53" s="56" t="n">
        <f aca="false">M53*abroad_tax</f>
        <v>2.75813292243722</v>
      </c>
      <c r="O53" s="72" t="n">
        <f aca="false">Labour!R53</f>
        <v>13.9237553306696</v>
      </c>
      <c r="P53" s="50" t="n">
        <f aca="false">Economy!O53+M53-O53-V53</f>
        <v>2186.88058460821</v>
      </c>
      <c r="Q53" s="66" t="n">
        <f aca="false">M53/P53</f>
        <v>0.012612178926685</v>
      </c>
      <c r="R53" s="66" t="n">
        <f aca="false">J53/Economy!O53</f>
        <v>0.177815238274854</v>
      </c>
      <c r="S53" s="74" t="n">
        <f aca="false">0</f>
        <v>0</v>
      </c>
      <c r="T53" s="74" t="n">
        <f aca="false">C53-S53</f>
        <v>13.0801228780766</v>
      </c>
      <c r="U53" s="74" t="n">
        <f aca="false">0</f>
        <v>0</v>
      </c>
      <c r="V53" s="75" t="n">
        <f aca="false">'Champion funding'!P53</f>
        <v>6.79746896493019</v>
      </c>
    </row>
    <row r="54" customFormat="false" ht="14.25" hidden="false" customHeight="false" outlineLevel="0" collapsed="false">
      <c r="A54" s="61" t="n">
        <v>1894</v>
      </c>
      <c r="B54" s="62" t="n">
        <v>0.006</v>
      </c>
      <c r="C54" s="56" t="n">
        <f aca="false">Economy!O54*B54</f>
        <v>13.8128900692351</v>
      </c>
      <c r="D54" s="56" t="n">
        <f aca="false">IF(AND($A54&gt;=1914,$A54&lt;=1918),entente_total*entente_private*CHOOSE($A54-1913,0.05,0.1333,0.2333,0.3,0.2834),0)</f>
        <v>0</v>
      </c>
      <c r="E54" s="56" t="n">
        <f aca="false">H53</f>
        <v>136.500610646216</v>
      </c>
      <c r="F54" s="56" t="n">
        <f aca="false">(E54-0-'War credit'!Q54)*abroad_repat+0+'War credit'!R54</f>
        <v>4.09501831938649</v>
      </c>
      <c r="G54" s="56" t="n">
        <f aca="false">'War credit'!S54+IF(OR(A54=1931,A54=1932),(E54-0-'War credit'!Q54)*abroad_loss/2,0)</f>
        <v>0</v>
      </c>
      <c r="H54" s="56" t="n">
        <f aca="false">E54+C54+D54-F54-G54</f>
        <v>146.218482396065</v>
      </c>
      <c r="I54" s="72" t="n">
        <f aca="false">Champions!AY54</f>
        <v>287.329287866193</v>
      </c>
      <c r="J54" s="56" t="n">
        <f aca="false">H54+I54</f>
        <v>433.547770262258</v>
      </c>
      <c r="K54" s="56" t="n">
        <f aca="false">(E54-0-'War credit'!Q54)*abroad_return*IF(OR(A54=1931,A54=1932),abroad_slump,1)+0+'War credit'!U54</f>
        <v>8.19003663877299</v>
      </c>
      <c r="L54" s="72" t="n">
        <f aca="false">Champions!AZ54</f>
        <v>22.7787361449055</v>
      </c>
      <c r="M54" s="56" t="n">
        <f aca="false">K54+L54</f>
        <v>30.9687727836784</v>
      </c>
      <c r="N54" s="56" t="n">
        <f aca="false">M54*abroad_tax</f>
        <v>3.09687727836784</v>
      </c>
      <c r="O54" s="72" t="n">
        <f aca="false">Labour!R54</f>
        <v>14.7573275320654</v>
      </c>
      <c r="P54" s="50" t="n">
        <f aca="false">Economy!O54+M54-O54-V54</f>
        <v>2310.18965773014</v>
      </c>
      <c r="Q54" s="66" t="n">
        <f aca="false">M54/P54</f>
        <v>0.0134052945307125</v>
      </c>
      <c r="R54" s="66" t="n">
        <f aca="false">J54/Economy!O54</f>
        <v>0.188323124888056</v>
      </c>
      <c r="S54" s="74" t="n">
        <f aca="false">0</f>
        <v>0</v>
      </c>
      <c r="T54" s="74" t="n">
        <f aca="false">C54-S54</f>
        <v>13.8128900692351</v>
      </c>
      <c r="U54" s="74" t="n">
        <f aca="false">0</f>
        <v>0</v>
      </c>
      <c r="V54" s="75" t="n">
        <f aca="false">'Champion funding'!P54</f>
        <v>8.17013239398512</v>
      </c>
    </row>
    <row r="55" customFormat="false" ht="14.25" hidden="false" customHeight="false" outlineLevel="0" collapsed="false">
      <c r="A55" s="61" t="n">
        <v>1895</v>
      </c>
      <c r="B55" s="62" t="n">
        <v>0.006</v>
      </c>
      <c r="C55" s="56" t="n">
        <f aca="false">Economy!O55*B55</f>
        <v>15.155110004334</v>
      </c>
      <c r="D55" s="56" t="n">
        <f aca="false">IF(AND($A55&gt;=1914,$A55&lt;=1918),entente_total*entente_private*CHOOSE($A55-1913,0.05,0.1333,0.2333,0.3,0.2834),0)</f>
        <v>0</v>
      </c>
      <c r="E55" s="56" t="n">
        <f aca="false">H54</f>
        <v>146.218482396065</v>
      </c>
      <c r="F55" s="56" t="n">
        <f aca="false">(E55-0-'War credit'!Q55)*abroad_repat+0+'War credit'!R55</f>
        <v>4.38655447188195</v>
      </c>
      <c r="G55" s="56" t="n">
        <f aca="false">'War credit'!S55+IF(OR(A55=1931,A55=1932),(E55-0-'War credit'!Q55)*abroad_loss/2,0)</f>
        <v>0</v>
      </c>
      <c r="H55" s="56" t="n">
        <f aca="false">E55+C55+D55-F55-G55</f>
        <v>156.987037928517</v>
      </c>
      <c r="I55" s="72" t="n">
        <f aca="false">Champions!AY55</f>
        <v>324.89248903177</v>
      </c>
      <c r="J55" s="56" t="n">
        <f aca="false">H55+I55</f>
        <v>481.879526960287</v>
      </c>
      <c r="K55" s="56" t="n">
        <f aca="false">(E55-0-'War credit'!Q55)*abroad_return*IF(OR(A55=1931,A55=1932),abroad_slump,1)+0+'War credit'!U55</f>
        <v>8.7731089437639</v>
      </c>
      <c r="L55" s="72" t="n">
        <f aca="false">Champions!AZ55</f>
        <v>25.3324179922862</v>
      </c>
      <c r="M55" s="56" t="n">
        <f aca="false">K55+L55</f>
        <v>34.1055269360502</v>
      </c>
      <c r="N55" s="56" t="n">
        <f aca="false">M55*abroad_tax</f>
        <v>3.41055269360502</v>
      </c>
      <c r="O55" s="72" t="n">
        <f aca="false">Labour!R55</f>
        <v>17.2474136149266</v>
      </c>
      <c r="P55" s="50" t="n">
        <f aca="false">Economy!O55+M55-O55-V55</f>
        <v>2533.34235160459</v>
      </c>
      <c r="Q55" s="66" t="n">
        <f aca="false">M55/P55</f>
        <v>0.0134626600761039</v>
      </c>
      <c r="R55" s="66" t="n">
        <f aca="false">J55/Economy!O55</f>
        <v>0.190779028389427</v>
      </c>
      <c r="S55" s="74" t="n">
        <f aca="false">0</f>
        <v>0</v>
      </c>
      <c r="T55" s="74" t="n">
        <f aca="false">C55-S55</f>
        <v>15.155110004334</v>
      </c>
      <c r="U55" s="74" t="n">
        <f aca="false">0</f>
        <v>0</v>
      </c>
      <c r="V55" s="75" t="n">
        <f aca="false">'Champion funding'!P55</f>
        <v>9.36742910553497</v>
      </c>
    </row>
    <row r="56" customFormat="false" ht="14.25" hidden="false" customHeight="false" outlineLevel="0" collapsed="false">
      <c r="A56" s="61" t="n">
        <v>1896</v>
      </c>
      <c r="B56" s="62" t="n">
        <v>0.02</v>
      </c>
      <c r="C56" s="56" t="n">
        <f aca="false">Economy!O56*B56</f>
        <v>54.1027958531708</v>
      </c>
      <c r="D56" s="56" t="n">
        <f aca="false">IF(AND($A56&gt;=1914,$A56&lt;=1918),entente_total*entente_private*CHOOSE($A56-1913,0.05,0.1333,0.2333,0.3,0.2834),0)</f>
        <v>0</v>
      </c>
      <c r="E56" s="56" t="n">
        <f aca="false">H55</f>
        <v>156.987037928517</v>
      </c>
      <c r="F56" s="56" t="n">
        <f aca="false">(E56-0-'War credit'!Q56)*abroad_repat+0+'War credit'!R56</f>
        <v>4.70961113785551</v>
      </c>
      <c r="G56" s="56" t="n">
        <f aca="false">'War credit'!S56+IF(OR(A56=1931,A56=1932),(E56-0-'War credit'!Q56)*abroad_loss/2,0)</f>
        <v>0</v>
      </c>
      <c r="H56" s="56" t="n">
        <f aca="false">E56+C56+D56-F56-G56</f>
        <v>206.380222643832</v>
      </c>
      <c r="I56" s="72" t="n">
        <f aca="false">Champions!AY56</f>
        <v>363.400517557511</v>
      </c>
      <c r="J56" s="56" t="n">
        <f aca="false">H56+I56</f>
        <v>569.780740201344</v>
      </c>
      <c r="K56" s="56" t="n">
        <f aca="false">(E56-0-'War credit'!Q56)*abroad_return*IF(OR(A56=1931,A56=1932),abroad_slump,1)+0+'War credit'!U56</f>
        <v>9.41922227571103</v>
      </c>
      <c r="L56" s="72" t="n">
        <f aca="false">Champions!AZ56</f>
        <v>28.314415389458</v>
      </c>
      <c r="M56" s="56" t="n">
        <f aca="false">K56+L56</f>
        <v>37.733637665169</v>
      </c>
      <c r="N56" s="56" t="n">
        <f aca="false">M56*abroad_tax</f>
        <v>3.7733637665169</v>
      </c>
      <c r="O56" s="72" t="n">
        <f aca="false">Labour!R56</f>
        <v>19.3674495552761</v>
      </c>
      <c r="P56" s="50" t="n">
        <f aca="false">Economy!O56+M56-O56-V56</f>
        <v>2712.76269673539</v>
      </c>
      <c r="Q56" s="66" t="n">
        <f aca="false">M56/P56</f>
        <v>0.0139096713879835</v>
      </c>
      <c r="R56" s="66" t="n">
        <f aca="false">J56/Economy!O56</f>
        <v>0.210628944850713</v>
      </c>
      <c r="S56" s="74" t="n">
        <f aca="false">0</f>
        <v>0</v>
      </c>
      <c r="T56" s="74" t="n">
        <f aca="false">C56-S56</f>
        <v>54.1027958531708</v>
      </c>
      <c r="U56" s="74" t="n">
        <f aca="false">0</f>
        <v>0</v>
      </c>
      <c r="V56" s="75" t="n">
        <f aca="false">'Champion funding'!P56</f>
        <v>10.7432840330457</v>
      </c>
    </row>
    <row r="57" customFormat="false" ht="14.25" hidden="false" customHeight="false" outlineLevel="0" collapsed="false">
      <c r="A57" s="61" t="n">
        <v>1897</v>
      </c>
      <c r="B57" s="62" t="n">
        <v>0.02</v>
      </c>
      <c r="C57" s="56" t="n">
        <f aca="false">Economy!O57*B57</f>
        <v>61.0264396227082</v>
      </c>
      <c r="D57" s="56" t="n">
        <f aca="false">IF(AND($A57&gt;=1914,$A57&lt;=1918),entente_total*entente_private*CHOOSE($A57-1913,0.05,0.1333,0.2333,0.3,0.2834),0)</f>
        <v>0</v>
      </c>
      <c r="E57" s="56" t="n">
        <f aca="false">H56</f>
        <v>206.380222643832</v>
      </c>
      <c r="F57" s="56" t="n">
        <f aca="false">(E57-0-'War credit'!Q57)*abroad_repat+0+'War credit'!R57</f>
        <v>6.19140667931497</v>
      </c>
      <c r="G57" s="56" t="n">
        <f aca="false">'War credit'!S57+IF(OR(A57=1931,A57=1932),(E57-0-'War credit'!Q57)*abroad_loss/2,0)</f>
        <v>0</v>
      </c>
      <c r="H57" s="56" t="n">
        <f aca="false">E57+C57+D57-F57-G57</f>
        <v>261.215255587226</v>
      </c>
      <c r="I57" s="72" t="n">
        <f aca="false">Champions!AY57</f>
        <v>402.86991042102</v>
      </c>
      <c r="J57" s="56" t="n">
        <f aca="false">H57+I57</f>
        <v>664.085166008246</v>
      </c>
      <c r="K57" s="56" t="n">
        <f aca="false">(E57-0-'War credit'!Q57)*abroad_return*IF(OR(A57=1931,A57=1932),abroad_slump,1)+0+'War credit'!U57</f>
        <v>12.3828133586299</v>
      </c>
      <c r="L57" s="72" t="n">
        <f aca="false">Champions!AZ57</f>
        <v>31.3771194074684</v>
      </c>
      <c r="M57" s="56" t="n">
        <f aca="false">K57+L57</f>
        <v>43.7599327660983</v>
      </c>
      <c r="N57" s="56" t="n">
        <f aca="false">M57*abroad_tax</f>
        <v>4.37599327660983</v>
      </c>
      <c r="O57" s="72" t="n">
        <f aca="false">Labour!R57</f>
        <v>23.2615766411964</v>
      </c>
      <c r="P57" s="50" t="n">
        <f aca="false">Economy!O57+M57-O57-V57</f>
        <v>3059.8517129936</v>
      </c>
      <c r="Q57" s="66" t="n">
        <f aca="false">M57/P57</f>
        <v>0.0143013246623268</v>
      </c>
      <c r="R57" s="66" t="n">
        <f aca="false">J57/Economy!O57</f>
        <v>0.217638508854165</v>
      </c>
      <c r="S57" s="74" t="n">
        <f aca="false">0</f>
        <v>0</v>
      </c>
      <c r="T57" s="74" t="n">
        <f aca="false">C57-S57</f>
        <v>61.0264396227082</v>
      </c>
      <c r="U57" s="74" t="n">
        <f aca="false">0</f>
        <v>0</v>
      </c>
      <c r="V57" s="75" t="n">
        <f aca="false">'Champion funding'!P57</f>
        <v>11.9686242667146</v>
      </c>
    </row>
    <row r="58" customFormat="false" ht="14.25" hidden="false" customHeight="false" outlineLevel="0" collapsed="false">
      <c r="A58" s="61" t="n">
        <v>1898</v>
      </c>
      <c r="B58" s="62" t="n">
        <v>0.02</v>
      </c>
      <c r="C58" s="56" t="n">
        <f aca="false">Economy!O58*B58</f>
        <v>67.1801684752069</v>
      </c>
      <c r="D58" s="56" t="n">
        <f aca="false">IF(AND($A58&gt;=1914,$A58&lt;=1918),entente_total*entente_private*CHOOSE($A58-1913,0.05,0.1333,0.2333,0.3,0.2834),0)</f>
        <v>0</v>
      </c>
      <c r="E58" s="56" t="n">
        <f aca="false">H57</f>
        <v>261.215255587226</v>
      </c>
      <c r="F58" s="56" t="n">
        <f aca="false">(E58-0-'War credit'!Q58)*abroad_repat+0+'War credit'!R58</f>
        <v>7.83645766761677</v>
      </c>
      <c r="G58" s="56" t="n">
        <f aca="false">'War credit'!S58+IF(OR(A58=1931,A58=1932),(E58-0-'War credit'!Q58)*abroad_loss/2,0)</f>
        <v>0</v>
      </c>
      <c r="H58" s="56" t="n">
        <f aca="false">E58+C58+D58-F58-G58</f>
        <v>320.558966394816</v>
      </c>
      <c r="I58" s="72" t="n">
        <f aca="false">Champions!AY58</f>
        <v>444.289252161996</v>
      </c>
      <c r="J58" s="56" t="n">
        <f aca="false">H58+I58</f>
        <v>764.848218556812</v>
      </c>
      <c r="K58" s="56" t="n">
        <f aca="false">(E58-0-'War credit'!Q58)*abroad_return*IF(OR(A58=1931,A58=1932),abroad_slump,1)+0+'War credit'!U58</f>
        <v>15.6729153352335</v>
      </c>
      <c r="L58" s="72" t="n">
        <f aca="false">Champions!AZ58</f>
        <v>34.6959686347212</v>
      </c>
      <c r="M58" s="56" t="n">
        <f aca="false">K58+L58</f>
        <v>50.3688839699547</v>
      </c>
      <c r="N58" s="56" t="n">
        <f aca="false">M58*abroad_tax</f>
        <v>5.03688839699547</v>
      </c>
      <c r="O58" s="72" t="n">
        <f aca="false">Labour!R58</f>
        <v>26.4499870456524</v>
      </c>
      <c r="P58" s="50" t="n">
        <f aca="false">Economy!O58+M58-O58-V58</f>
        <v>3369.75027786938</v>
      </c>
      <c r="Q58" s="66" t="n">
        <f aca="false">M58/P58</f>
        <v>0.0149473639933348</v>
      </c>
      <c r="R58" s="66" t="n">
        <f aca="false">J58/Economy!O58</f>
        <v>0.227700595552714</v>
      </c>
      <c r="S58" s="74" t="n">
        <f aca="false">0</f>
        <v>0</v>
      </c>
      <c r="T58" s="74" t="n">
        <f aca="false">C58-S58</f>
        <v>67.1801684752069</v>
      </c>
      <c r="U58" s="74" t="n">
        <f aca="false">0</f>
        <v>0</v>
      </c>
      <c r="V58" s="75" t="n">
        <f aca="false">'Champion funding'!P58</f>
        <v>13.1770428152709</v>
      </c>
    </row>
    <row r="59" customFormat="false" ht="14.25" hidden="false" customHeight="false" outlineLevel="0" collapsed="false">
      <c r="A59" s="61" t="n">
        <v>1899</v>
      </c>
      <c r="B59" s="62" t="n">
        <v>0.02</v>
      </c>
      <c r="C59" s="56" t="n">
        <f aca="false">Economy!O59*B59</f>
        <v>73.7619590637926</v>
      </c>
      <c r="D59" s="56" t="n">
        <f aca="false">IF(AND($A59&gt;=1914,$A59&lt;=1918),entente_total*entente_private*CHOOSE($A59-1913,0.05,0.1333,0.2333,0.3,0.2834),0)</f>
        <v>0</v>
      </c>
      <c r="E59" s="56" t="n">
        <f aca="false">H58</f>
        <v>320.558966394816</v>
      </c>
      <c r="F59" s="56" t="n">
        <f aca="false">(E59-0-'War credit'!Q59)*abroad_repat+0+'War credit'!R59</f>
        <v>9.61676899184447</v>
      </c>
      <c r="G59" s="56" t="n">
        <f aca="false">'War credit'!S59+IF(OR(A59=1931,A59=1932),(E59-0-'War credit'!Q59)*abroad_loss/2,0)</f>
        <v>0</v>
      </c>
      <c r="H59" s="56" t="n">
        <f aca="false">E59+C59+D59-F59-G59</f>
        <v>384.704156466764</v>
      </c>
      <c r="I59" s="72" t="n">
        <f aca="false">Champions!AY59</f>
        <v>485.118634692675</v>
      </c>
      <c r="J59" s="56" t="n">
        <f aca="false">H59+I59</f>
        <v>869.822791159439</v>
      </c>
      <c r="K59" s="56" t="n">
        <f aca="false">(E59-0-'War credit'!Q59)*abroad_return*IF(OR(A59=1931,A59=1932),abroad_slump,1)+0+'War credit'!U59</f>
        <v>19.2335379836889</v>
      </c>
      <c r="L59" s="72" t="n">
        <f aca="false">Champions!AZ59</f>
        <v>37.9256779294776</v>
      </c>
      <c r="M59" s="56" t="n">
        <f aca="false">K59+L59</f>
        <v>57.1592159131665</v>
      </c>
      <c r="N59" s="56" t="n">
        <f aca="false">M59*abroad_tax</f>
        <v>5.71592159131665</v>
      </c>
      <c r="O59" s="72" t="n">
        <f aca="false">Labour!R59</f>
        <v>29.5192834569915</v>
      </c>
      <c r="P59" s="50" t="n">
        <f aca="false">Economy!O59+M59-O59-V59</f>
        <v>3701.34356511265</v>
      </c>
      <c r="Q59" s="66" t="n">
        <f aca="false">M59/P59</f>
        <v>0.0154428290450867</v>
      </c>
      <c r="R59" s="66" t="n">
        <f aca="false">J59/Economy!O59</f>
        <v>0.235845902738884</v>
      </c>
      <c r="S59" s="74" t="n">
        <f aca="false">0</f>
        <v>0</v>
      </c>
      <c r="T59" s="74" t="n">
        <f aca="false">C59-S59</f>
        <v>73.7619590637926</v>
      </c>
      <c r="U59" s="74" t="n">
        <f aca="false">0</f>
        <v>0</v>
      </c>
      <c r="V59" s="75" t="n">
        <f aca="false">'Champion funding'!P59</f>
        <v>14.3943205331506</v>
      </c>
    </row>
    <row r="60" customFormat="false" ht="14.25" hidden="false" customHeight="false" outlineLevel="0" collapsed="false">
      <c r="A60" s="61" t="n">
        <v>1900</v>
      </c>
      <c r="B60" s="62" t="n">
        <v>0.02</v>
      </c>
      <c r="C60" s="56" t="n">
        <f aca="false">Economy!O60*B60</f>
        <v>81.107286036886</v>
      </c>
      <c r="D60" s="56" t="n">
        <f aca="false">IF(AND($A60&gt;=1914,$A60&lt;=1918),entente_total*entente_private*CHOOSE($A60-1913,0.05,0.1333,0.2333,0.3,0.2834),0)</f>
        <v>0</v>
      </c>
      <c r="E60" s="56" t="n">
        <f aca="false">H59</f>
        <v>384.704156466764</v>
      </c>
      <c r="F60" s="56" t="n">
        <f aca="false">(E60-0-'War credit'!Q60)*abroad_repat+0+'War credit'!R60</f>
        <v>11.5411246940029</v>
      </c>
      <c r="G60" s="56" t="n">
        <f aca="false">'War credit'!S60+IF(OR(A60=1931,A60=1932),(E60-0-'War credit'!Q60)*abroad_loss/2,0)</f>
        <v>0</v>
      </c>
      <c r="H60" s="56" t="n">
        <f aca="false">E60+C60+D60-F60-G60</f>
        <v>454.270317809647</v>
      </c>
      <c r="I60" s="72" t="n">
        <f aca="false">Champions!AY60</f>
        <v>526.74673315286</v>
      </c>
      <c r="J60" s="56" t="n">
        <f aca="false">H60+I60</f>
        <v>981.017050962507</v>
      </c>
      <c r="K60" s="56" t="n">
        <f aca="false">(E60-0-'War credit'!Q60)*abroad_return*IF(OR(A60=1931,A60=1932),abroad_slump,1)+0+'War credit'!U60</f>
        <v>23.0822493880058</v>
      </c>
      <c r="L60" s="72" t="n">
        <f aca="false">Champions!AZ60</f>
        <v>41.2024885435571</v>
      </c>
      <c r="M60" s="56" t="n">
        <f aca="false">K60+L60</f>
        <v>64.2847379315629</v>
      </c>
      <c r="N60" s="56" t="n">
        <f aca="false">M60*abroad_tax</f>
        <v>6.42847379315629</v>
      </c>
      <c r="O60" s="72" t="n">
        <f aca="false">Labour!R60</f>
        <v>32.6269925638968</v>
      </c>
      <c r="P60" s="50" t="n">
        <f aca="false">Economy!O60+M60-O60-V60</f>
        <v>4071.53647437656</v>
      </c>
      <c r="Q60" s="66" t="n">
        <f aca="false">M60/P60</f>
        <v>0.0157888154351869</v>
      </c>
      <c r="R60" s="66" t="n">
        <f aca="false">J60/Economy!O60</f>
        <v>0.241906023218767</v>
      </c>
      <c r="S60" s="74" t="n">
        <f aca="false">0</f>
        <v>0</v>
      </c>
      <c r="T60" s="74" t="n">
        <f aca="false">C60-S60</f>
        <v>81.107286036886</v>
      </c>
      <c r="U60" s="74" t="n">
        <f aca="false">0</f>
        <v>0</v>
      </c>
      <c r="V60" s="75" t="n">
        <f aca="false">'Champion funding'!P60</f>
        <v>15.4855728354083</v>
      </c>
    </row>
    <row r="61" customFormat="false" ht="14.25" hidden="false" customHeight="false" outlineLevel="0" collapsed="false">
      <c r="A61" s="61" t="n">
        <v>1901</v>
      </c>
      <c r="B61" s="62" t="n">
        <v>0.02</v>
      </c>
      <c r="C61" s="56" t="n">
        <f aca="false">Economy!O61*B61</f>
        <v>88.7018283563295</v>
      </c>
      <c r="D61" s="56" t="n">
        <f aca="false">IF(AND($A61&gt;=1914,$A61&lt;=1918),entente_total*entente_private*CHOOSE($A61-1913,0.05,0.1333,0.2333,0.3,0.2834),0)</f>
        <v>0</v>
      </c>
      <c r="E61" s="56" t="n">
        <f aca="false">H60</f>
        <v>454.270317809647</v>
      </c>
      <c r="F61" s="56" t="n">
        <f aca="false">(E61-0-'War credit'!Q61)*abroad_repat+0+'War credit'!R61</f>
        <v>13.6281095342894</v>
      </c>
      <c r="G61" s="56" t="n">
        <f aca="false">'War credit'!S61+IF(OR(A61=1931,A61=1932),(E61-0-'War credit'!Q61)*abroad_loss/2,0)</f>
        <v>0</v>
      </c>
      <c r="H61" s="56" t="n">
        <f aca="false">E61+C61+D61-F61-G61</f>
        <v>529.344036631687</v>
      </c>
      <c r="I61" s="72" t="n">
        <f aca="false">Champions!AY61</f>
        <v>1223.4827700448</v>
      </c>
      <c r="J61" s="56" t="n">
        <f aca="false">H61+I61</f>
        <v>1752.82680667649</v>
      </c>
      <c r="K61" s="56" t="n">
        <f aca="false">(E61-0-'War credit'!Q61)*abroad_return*IF(OR(A61=1931,A61=1932),abroad_slump,1)+0+'War credit'!U61</f>
        <v>27.2562190685788</v>
      </c>
      <c r="L61" s="72" t="n">
        <f aca="false">Champions!AZ61</f>
        <v>85.3249967359813</v>
      </c>
      <c r="M61" s="56" t="n">
        <f aca="false">K61+L61</f>
        <v>112.58121580456</v>
      </c>
      <c r="N61" s="56" t="n">
        <f aca="false">M61*abroad_tax</f>
        <v>11.258121580456</v>
      </c>
      <c r="O61" s="72" t="n">
        <f aca="false">Labour!R61</f>
        <v>35.6279979412364</v>
      </c>
      <c r="P61" s="50" t="n">
        <f aca="false">Economy!O61+M61-O61-V61</f>
        <v>4496.5821214634</v>
      </c>
      <c r="Q61" s="66" t="n">
        <f aca="false">M61/P61</f>
        <v>0.0250370643220725</v>
      </c>
      <c r="R61" s="66" t="n">
        <f aca="false">J61/Economy!O61</f>
        <v>0.395217739962496</v>
      </c>
      <c r="S61" s="74" t="n">
        <f aca="false">0</f>
        <v>0</v>
      </c>
      <c r="T61" s="74" t="n">
        <f aca="false">C61-S61</f>
        <v>88.7018283563295</v>
      </c>
      <c r="U61" s="74" t="n">
        <f aca="false">0</f>
        <v>0</v>
      </c>
      <c r="V61" s="75" t="n">
        <f aca="false">'Champion funding'!P61</f>
        <v>15.4625142164015</v>
      </c>
    </row>
    <row r="62" customFormat="false" ht="14.25" hidden="false" customHeight="false" outlineLevel="0" collapsed="false">
      <c r="A62" s="61" t="n">
        <v>1902</v>
      </c>
      <c r="B62" s="62" t="n">
        <v>0.02</v>
      </c>
      <c r="C62" s="56" t="n">
        <f aca="false">Economy!O62*B62</f>
        <v>97.1399405861452</v>
      </c>
      <c r="D62" s="56" t="n">
        <f aca="false">IF(AND($A62&gt;=1914,$A62&lt;=1918),entente_total*entente_private*CHOOSE($A62-1913,0.05,0.1333,0.2333,0.3,0.2834),0)</f>
        <v>0</v>
      </c>
      <c r="E62" s="56" t="n">
        <f aca="false">H61</f>
        <v>529.344036631687</v>
      </c>
      <c r="F62" s="56" t="n">
        <f aca="false">(E62-0-'War credit'!Q62)*abroad_repat+0+'War credit'!R62</f>
        <v>15.8803210989506</v>
      </c>
      <c r="G62" s="56" t="n">
        <f aca="false">'War credit'!S62+IF(OR(A62=1931,A62=1932),(E62-0-'War credit'!Q62)*abroad_loss/2,0)</f>
        <v>0</v>
      </c>
      <c r="H62" s="56" t="n">
        <f aca="false">E62+C62+D62-F62-G62</f>
        <v>610.603656118882</v>
      </c>
      <c r="I62" s="72" t="n">
        <f aca="false">Champions!AY62</f>
        <v>1352.40477291144</v>
      </c>
      <c r="J62" s="56" t="n">
        <f aca="false">H62+I62</f>
        <v>1963.00842903032</v>
      </c>
      <c r="K62" s="56" t="n">
        <f aca="false">(E62-0-'War credit'!Q62)*abroad_return*IF(OR(A62=1931,A62=1932),abroad_slump,1)+0+'War credit'!U62</f>
        <v>31.7606421979012</v>
      </c>
      <c r="L62" s="72" t="n">
        <f aca="false">Champions!AZ62</f>
        <v>95.7816821685129</v>
      </c>
      <c r="M62" s="56" t="n">
        <f aca="false">K62+L62</f>
        <v>127.542324366414</v>
      </c>
      <c r="N62" s="56" t="n">
        <f aca="false">M62*abroad_tax</f>
        <v>12.7542324366414</v>
      </c>
      <c r="O62" s="72" t="n">
        <f aca="false">Labour!R62</f>
        <v>39.1516377868807</v>
      </c>
      <c r="P62" s="50" t="n">
        <f aca="false">Economy!O62+M62-O62-V62</f>
        <v>4893.71469652225</v>
      </c>
      <c r="Q62" s="66" t="n">
        <f aca="false">M62/P62</f>
        <v>0.0260624765185132</v>
      </c>
      <c r="R62" s="66" t="n">
        <f aca="false">J62/Economy!O62</f>
        <v>0.404160928488419</v>
      </c>
      <c r="S62" s="74" t="n">
        <f aca="false">0</f>
        <v>0</v>
      </c>
      <c r="T62" s="74" t="n">
        <f aca="false">C62-S62</f>
        <v>97.1399405861452</v>
      </c>
      <c r="U62" s="74" t="n">
        <f aca="false">0</f>
        <v>0</v>
      </c>
      <c r="V62" s="75" t="n">
        <f aca="false">'Champion funding'!P62</f>
        <v>51.6730193645441</v>
      </c>
    </row>
    <row r="63" customFormat="false" ht="14.25" hidden="false" customHeight="false" outlineLevel="0" collapsed="false">
      <c r="A63" s="61" t="n">
        <v>1903</v>
      </c>
      <c r="B63" s="62" t="n">
        <v>0.02</v>
      </c>
      <c r="C63" s="56" t="n">
        <f aca="false">Economy!O63*B63</f>
        <v>106.488738494944</v>
      </c>
      <c r="D63" s="56" t="n">
        <f aca="false">IF(AND($A63&gt;=1914,$A63&lt;=1918),entente_total*entente_private*CHOOSE($A63-1913,0.05,0.1333,0.2333,0.3,0.2834),0)</f>
        <v>0</v>
      </c>
      <c r="E63" s="56" t="n">
        <f aca="false">H62</f>
        <v>610.603656118882</v>
      </c>
      <c r="F63" s="56" t="n">
        <f aca="false">(E63-0-'War credit'!Q63)*abroad_repat+0+'War credit'!R63</f>
        <v>18.3181096835664</v>
      </c>
      <c r="G63" s="56" t="n">
        <f aca="false">'War credit'!S63+IF(OR(A63=1931,A63=1932),(E63-0-'War credit'!Q63)*abroad_loss/2,0)</f>
        <v>0</v>
      </c>
      <c r="H63" s="56" t="n">
        <f aca="false">E63+C63+D63-F63-G63</f>
        <v>698.77428493026</v>
      </c>
      <c r="I63" s="72" t="n">
        <f aca="false">Champions!AY63</f>
        <v>1489.31698385859</v>
      </c>
      <c r="J63" s="56" t="n">
        <f aca="false">H63+I63</f>
        <v>2188.09126878885</v>
      </c>
      <c r="K63" s="56" t="n">
        <f aca="false">(E63-0-'War credit'!Q63)*abroad_return*IF(OR(A63=1931,A63=1932),abroad_slump,1)+0+'War credit'!U63</f>
        <v>36.6362193671329</v>
      </c>
      <c r="L63" s="72" t="n">
        <f aca="false">Champions!AZ63</f>
        <v>107.283289243877</v>
      </c>
      <c r="M63" s="56" t="n">
        <f aca="false">K63+L63</f>
        <v>143.91950861101</v>
      </c>
      <c r="N63" s="56" t="n">
        <f aca="false">M63*abroad_tax</f>
        <v>14.391950861101</v>
      </c>
      <c r="O63" s="72" t="n">
        <f aca="false">Labour!R63</f>
        <v>43.1478974877788</v>
      </c>
      <c r="P63" s="50" t="n">
        <f aca="false">Economy!O63+M63-O63-V63</f>
        <v>5369.47051868039</v>
      </c>
      <c r="Q63" s="66" t="n">
        <f aca="false">M63/P63</f>
        <v>0.0268032961742342</v>
      </c>
      <c r="R63" s="66" t="n">
        <f aca="false">J63/Economy!O63</f>
        <v>0.410952613339998</v>
      </c>
      <c r="S63" s="74" t="n">
        <f aca="false">0</f>
        <v>0</v>
      </c>
      <c r="T63" s="74" t="n">
        <f aca="false">C63-S63</f>
        <v>106.488738494944</v>
      </c>
      <c r="U63" s="74" t="n">
        <f aca="false">0</f>
        <v>0</v>
      </c>
      <c r="V63" s="75" t="n">
        <f aca="false">'Champion funding'!P63</f>
        <v>55.7380171900626</v>
      </c>
    </row>
    <row r="64" customFormat="false" ht="14.25" hidden="false" customHeight="false" outlineLevel="0" collapsed="false">
      <c r="A64" s="61" t="n">
        <v>1904</v>
      </c>
      <c r="B64" s="62" t="n">
        <v>0.02</v>
      </c>
      <c r="C64" s="56" t="n">
        <f aca="false">Economy!O64*B64</f>
        <v>116.697001257022</v>
      </c>
      <c r="D64" s="56" t="n">
        <f aca="false">IF(AND($A64&gt;=1914,$A64&lt;=1918),entente_total*entente_private*CHOOSE($A64-1913,0.05,0.1333,0.2333,0.3,0.2834),0)</f>
        <v>0</v>
      </c>
      <c r="E64" s="56" t="n">
        <f aca="false">H63</f>
        <v>698.77428493026</v>
      </c>
      <c r="F64" s="56" t="n">
        <f aca="false">(E64-0-'War credit'!Q64)*abroad_repat+0+'War credit'!R64</f>
        <v>20.9632285479078</v>
      </c>
      <c r="G64" s="56" t="n">
        <f aca="false">'War credit'!S64+IF(OR(A64=1931,A64=1932),(E64-0-'War credit'!Q64)*abroad_loss/2,0)</f>
        <v>0</v>
      </c>
      <c r="H64" s="56" t="n">
        <f aca="false">E64+C64+D64-F64-G64</f>
        <v>794.508057639374</v>
      </c>
      <c r="I64" s="72" t="n">
        <f aca="false">Champions!AY64</f>
        <v>1633.76758344454</v>
      </c>
      <c r="J64" s="56" t="n">
        <f aca="false">H64+I64</f>
        <v>2428.27564108392</v>
      </c>
      <c r="K64" s="56" t="n">
        <f aca="false">(E64-0-'War credit'!Q64)*abroad_return*IF(OR(A64=1931,A64=1932),abroad_slump,1)+0+'War credit'!U64</f>
        <v>41.9264570958156</v>
      </c>
      <c r="L64" s="72" t="n">
        <f aca="false">Champions!AZ64</f>
        <v>119.968186167947</v>
      </c>
      <c r="M64" s="56" t="n">
        <f aca="false">K64+L64</f>
        <v>161.894643263763</v>
      </c>
      <c r="N64" s="56" t="n">
        <f aca="false">M64*abroad_tax</f>
        <v>16.1894643263763</v>
      </c>
      <c r="O64" s="72" t="n">
        <f aca="false">Labour!R64</f>
        <v>47.531743590799</v>
      </c>
      <c r="P64" s="50" t="n">
        <f aca="false">Economy!O64+M64-O64-V64</f>
        <v>5889.28255990759</v>
      </c>
      <c r="Q64" s="66" t="n">
        <f aca="false">M64/P64</f>
        <v>0.0274897055145378</v>
      </c>
      <c r="R64" s="66" t="n">
        <f aca="false">J64/Economy!O64</f>
        <v>0.416167616121634</v>
      </c>
      <c r="S64" s="74" t="n">
        <f aca="false">0</f>
        <v>0</v>
      </c>
      <c r="T64" s="74" t="n">
        <f aca="false">C64-S64</f>
        <v>116.697001257022</v>
      </c>
      <c r="U64" s="74" t="n">
        <f aca="false">0</f>
        <v>0</v>
      </c>
      <c r="V64" s="75" t="n">
        <f aca="false">'Champion funding'!P64</f>
        <v>59.9304026164863</v>
      </c>
    </row>
    <row r="65" customFormat="false" ht="14.25" hidden="false" customHeight="false" outlineLevel="0" collapsed="false">
      <c r="A65" s="61" t="n">
        <v>1905</v>
      </c>
      <c r="B65" s="62" t="n">
        <v>0.02</v>
      </c>
      <c r="C65" s="56" t="n">
        <f aca="false">Economy!O65*B65</f>
        <v>127.514306455328</v>
      </c>
      <c r="D65" s="56" t="n">
        <f aca="false">IF(AND($A65&gt;=1914,$A65&lt;=1918),entente_total*entente_private*CHOOSE($A65-1913,0.05,0.1333,0.2333,0.3,0.2834),0)</f>
        <v>0</v>
      </c>
      <c r="E65" s="56" t="n">
        <f aca="false">H64</f>
        <v>794.508057639374</v>
      </c>
      <c r="F65" s="56" t="n">
        <f aca="false">(E65-0-'War credit'!Q65)*abroad_repat+0+'War credit'!R65</f>
        <v>23.8352417291812</v>
      </c>
      <c r="G65" s="56" t="n">
        <f aca="false">'War credit'!S65+IF(OR(A65=1931,A65=1932),(E65-0-'War credit'!Q65)*abroad_loss/2,0)</f>
        <v>0</v>
      </c>
      <c r="H65" s="56" t="n">
        <f aca="false">E65+C65+D65-F65-G65</f>
        <v>898.187122365521</v>
      </c>
      <c r="I65" s="72" t="n">
        <f aca="false">Champions!AY65</f>
        <v>1781.2672188384</v>
      </c>
      <c r="J65" s="56" t="n">
        <f aca="false">H65+I65</f>
        <v>2679.45434120392</v>
      </c>
      <c r="K65" s="56" t="n">
        <f aca="false">(E65-0-'War credit'!Q65)*abroad_return*IF(OR(A65=1931,A65=1932),abroad_slump,1)+0+'War credit'!U65</f>
        <v>47.6704834583624</v>
      </c>
      <c r="L65" s="72" t="n">
        <f aca="false">Champions!AZ65</f>
        <v>133.404944923446</v>
      </c>
      <c r="M65" s="56" t="n">
        <f aca="false">K65+L65</f>
        <v>181.075428381808</v>
      </c>
      <c r="N65" s="56" t="n">
        <f aca="false">M65*abroad_tax</f>
        <v>18.1075428381808</v>
      </c>
      <c r="O65" s="72" t="n">
        <f aca="false">Labour!R65</f>
        <v>52.2608605091902</v>
      </c>
      <c r="P65" s="50" t="n">
        <f aca="false">Economy!O65+M65-O65-V65</f>
        <v>6440.43224240339</v>
      </c>
      <c r="Q65" s="66" t="n">
        <f aca="false">M65/P65</f>
        <v>0.0281154154824609</v>
      </c>
      <c r="R65" s="66" t="n">
        <f aca="false">J65/Economy!O65</f>
        <v>0.420259407071725</v>
      </c>
      <c r="S65" s="74" t="n">
        <f aca="false">0</f>
        <v>0</v>
      </c>
      <c r="T65" s="74" t="n">
        <f aca="false">C65-S65</f>
        <v>127.514306455328</v>
      </c>
      <c r="U65" s="74" t="n">
        <f aca="false">0</f>
        <v>0</v>
      </c>
      <c r="V65" s="75" t="n">
        <f aca="false">'Champion funding'!P65</f>
        <v>64.0976482356315</v>
      </c>
    </row>
    <row r="66" customFormat="false" ht="14.25" hidden="false" customHeight="false" outlineLevel="0" collapsed="false">
      <c r="A66" s="61" t="n">
        <v>1906</v>
      </c>
      <c r="B66" s="62" t="n">
        <v>0.02</v>
      </c>
      <c r="C66" s="56" t="n">
        <f aca="false">Economy!O66*B66</f>
        <v>141.173949222301</v>
      </c>
      <c r="D66" s="56" t="n">
        <f aca="false">IF(AND($A66&gt;=1914,$A66&lt;=1918),entente_total*entente_private*CHOOSE($A66-1913,0.05,0.1333,0.2333,0.3,0.2834),0)</f>
        <v>0</v>
      </c>
      <c r="E66" s="56" t="n">
        <f aca="false">H65</f>
        <v>898.187122365521</v>
      </c>
      <c r="F66" s="56" t="n">
        <f aca="false">(E66-0-'War credit'!Q66)*abroad_repat+0+'War credit'!R66</f>
        <v>26.9456136709656</v>
      </c>
      <c r="G66" s="56" t="n">
        <f aca="false">'War credit'!S66+IF(OR(A66=1931,A66=1932),(E66-0-'War credit'!Q66)*abroad_loss/2,0)</f>
        <v>0</v>
      </c>
      <c r="H66" s="56" t="n">
        <f aca="false">E66+C66+D66-F66-G66</f>
        <v>1012.41545791686</v>
      </c>
      <c r="I66" s="72" t="n">
        <f aca="false">Champions!AY66</f>
        <v>1933.51722283806</v>
      </c>
      <c r="J66" s="56" t="n">
        <f aca="false">H66+I66</f>
        <v>2945.93268075491</v>
      </c>
      <c r="K66" s="56" t="n">
        <f aca="false">(E66-0-'War credit'!Q66)*abroad_return*IF(OR(A66=1931,A66=1932),abroad_slump,1)+0+'War credit'!U66</f>
        <v>53.8912273419313</v>
      </c>
      <c r="L66" s="72" t="n">
        <f aca="false">Champions!AZ66</f>
        <v>145.439065508238</v>
      </c>
      <c r="M66" s="56" t="n">
        <f aca="false">K66+L66</f>
        <v>199.330292850169</v>
      </c>
      <c r="N66" s="56" t="n">
        <f aca="false">M66*abroad_tax</f>
        <v>19.9330292850169</v>
      </c>
      <c r="O66" s="72" t="n">
        <f aca="false">Labour!R66</f>
        <v>58.1109944820345</v>
      </c>
      <c r="P66" s="50" t="n">
        <f aca="false">Economy!O66+M66-O66-V66</f>
        <v>7132.20716034369</v>
      </c>
      <c r="Q66" s="66" t="n">
        <f aca="false">M66/P66</f>
        <v>0.027947911266302</v>
      </c>
      <c r="R66" s="66" t="n">
        <f aca="false">J66/Economy!O66</f>
        <v>0.417347916805257</v>
      </c>
      <c r="S66" s="74" t="n">
        <f aca="false">0</f>
        <v>0</v>
      </c>
      <c r="T66" s="74" t="n">
        <f aca="false">C66-S66</f>
        <v>141.173949222301</v>
      </c>
      <c r="U66" s="74" t="n">
        <f aca="false">0</f>
        <v>0</v>
      </c>
      <c r="V66" s="75" t="n">
        <f aca="false">'Champion funding'!P66</f>
        <v>67.7095991394865</v>
      </c>
    </row>
    <row r="67" customFormat="false" ht="14.25" hidden="false" customHeight="false" outlineLevel="0" collapsed="false">
      <c r="A67" s="61" t="n">
        <v>1907</v>
      </c>
      <c r="B67" s="62" t="n">
        <v>0.02</v>
      </c>
      <c r="C67" s="56" t="n">
        <f aca="false">Economy!O67*B67</f>
        <v>153.777238006159</v>
      </c>
      <c r="D67" s="56" t="n">
        <f aca="false">IF(AND($A67&gt;=1914,$A67&lt;=1918),entente_total*entente_private*CHOOSE($A67-1913,0.05,0.1333,0.2333,0.3,0.2834),0)</f>
        <v>0</v>
      </c>
      <c r="E67" s="56" t="n">
        <f aca="false">H66</f>
        <v>1012.41545791686</v>
      </c>
      <c r="F67" s="56" t="n">
        <f aca="false">(E67-0-'War credit'!Q67)*abroad_repat+0+'War credit'!R67</f>
        <v>30.3724637375057</v>
      </c>
      <c r="G67" s="56" t="n">
        <f aca="false">'War credit'!S67+IF(OR(A67=1931,A67=1932),(E67-0-'War credit'!Q67)*abroad_loss/2,0)</f>
        <v>0</v>
      </c>
      <c r="H67" s="56" t="n">
        <f aca="false">E67+C67+D67-F67-G67</f>
        <v>1135.82023218551</v>
      </c>
      <c r="I67" s="72" t="n">
        <f aca="false">Champions!AY67</f>
        <v>2093.74832623122</v>
      </c>
      <c r="J67" s="56" t="n">
        <f aca="false">H67+I67</f>
        <v>3229.56855841673</v>
      </c>
      <c r="K67" s="56" t="n">
        <f aca="false">(E67-0-'War credit'!Q67)*abroad_return*IF(OR(A67=1931,A67=1932),abroad_slump,1)+0+'War credit'!U67</f>
        <v>60.7449274750114</v>
      </c>
      <c r="L67" s="72" t="n">
        <f aca="false">Champions!AZ67</f>
        <v>158.574920066852</v>
      </c>
      <c r="M67" s="56" t="n">
        <f aca="false">K67+L67</f>
        <v>219.319847541864</v>
      </c>
      <c r="N67" s="56" t="n">
        <f aca="false">M67*abroad_tax</f>
        <v>21.9319847541864</v>
      </c>
      <c r="O67" s="72" t="n">
        <f aca="false">Labour!R67</f>
        <v>61.8412910308593</v>
      </c>
      <c r="P67" s="50" t="n">
        <f aca="false">Economy!O67+M67-O67-V67</f>
        <v>7774.48219847471</v>
      </c>
      <c r="Q67" s="66" t="n">
        <f aca="false">M67/P67</f>
        <v>0.0282102192715667</v>
      </c>
      <c r="R67" s="66" t="n">
        <f aca="false">J67/Economy!O67</f>
        <v>0.42003206720196</v>
      </c>
      <c r="S67" s="74" t="n">
        <f aca="false">0</f>
        <v>0</v>
      </c>
      <c r="T67" s="74" t="n">
        <f aca="false">C67-S67</f>
        <v>153.777238006159</v>
      </c>
      <c r="U67" s="74" t="n">
        <f aca="false">0</f>
        <v>0</v>
      </c>
      <c r="V67" s="75" t="n">
        <f aca="false">'Champion funding'!P67</f>
        <v>71.8582583442391</v>
      </c>
    </row>
    <row r="68" customFormat="false" ht="14.25" hidden="false" customHeight="false" outlineLevel="0" collapsed="false">
      <c r="A68" s="61" t="n">
        <v>1908</v>
      </c>
      <c r="B68" s="62" t="n">
        <v>0.02</v>
      </c>
      <c r="C68" s="56" t="n">
        <f aca="false">Economy!O68*B68</f>
        <v>163.014832488944</v>
      </c>
      <c r="D68" s="56" t="n">
        <f aca="false">IF(AND($A68&gt;=1914,$A68&lt;=1918),entente_total*entente_private*CHOOSE($A68-1913,0.05,0.1333,0.2333,0.3,0.2834),0)</f>
        <v>0</v>
      </c>
      <c r="E68" s="56" t="n">
        <f aca="false">H67</f>
        <v>1135.82023218551</v>
      </c>
      <c r="F68" s="56" t="n">
        <f aca="false">(E68-0-'War credit'!Q68)*abroad_repat+0+'War credit'!R68</f>
        <v>34.0746069655653</v>
      </c>
      <c r="G68" s="56" t="n">
        <f aca="false">'War credit'!S68+IF(OR(A68=1931,A68=1932),(E68-0-'War credit'!Q68)*abroad_loss/2,0)</f>
        <v>0</v>
      </c>
      <c r="H68" s="56" t="n">
        <f aca="false">E68+C68+D68-F68-G68</f>
        <v>1264.76045770889</v>
      </c>
      <c r="I68" s="72" t="n">
        <f aca="false">Champions!AY68</f>
        <v>2249.6561588673</v>
      </c>
      <c r="J68" s="56" t="n">
        <f aca="false">H68+I68</f>
        <v>3514.41661657619</v>
      </c>
      <c r="K68" s="56" t="n">
        <f aca="false">(E68-0-'War credit'!Q68)*abroad_return*IF(OR(A68=1931,A68=1932),abroad_slump,1)+0+'War credit'!U68</f>
        <v>68.1492139311306</v>
      </c>
      <c r="L68" s="72" t="n">
        <f aca="false">Champions!AZ68</f>
        <v>170.967708843816</v>
      </c>
      <c r="M68" s="56" t="n">
        <f aca="false">K68+L68</f>
        <v>239.116922774947</v>
      </c>
      <c r="N68" s="56" t="n">
        <f aca="false">M68*abroad_tax</f>
        <v>23.9116922774947</v>
      </c>
      <c r="O68" s="72" t="n">
        <f aca="false">Labour!R68</f>
        <v>61.3859531194836</v>
      </c>
      <c r="P68" s="50" t="n">
        <f aca="false">Economy!O68+M68-O68-V68</f>
        <v>8252.58492253524</v>
      </c>
      <c r="Q68" s="66" t="n">
        <f aca="false">M68/P68</f>
        <v>0.0289747909315048</v>
      </c>
      <c r="R68" s="66" t="n">
        <f aca="false">J68/Economy!O68</f>
        <v>0.431177526967007</v>
      </c>
      <c r="S68" s="74" t="n">
        <f aca="false">0</f>
        <v>0</v>
      </c>
      <c r="T68" s="74" t="n">
        <f aca="false">C68-S68</f>
        <v>163.014832488944</v>
      </c>
      <c r="U68" s="74" t="n">
        <f aca="false">0</f>
        <v>0</v>
      </c>
      <c r="V68" s="75" t="n">
        <f aca="false">'Champion funding'!P68</f>
        <v>75.8876715674328</v>
      </c>
    </row>
    <row r="69" customFormat="false" ht="14.25" hidden="false" customHeight="false" outlineLevel="0" collapsed="false">
      <c r="A69" s="61" t="n">
        <v>1909</v>
      </c>
      <c r="B69" s="62" t="n">
        <v>0.02</v>
      </c>
      <c r="C69" s="56" t="n">
        <f aca="false">Economy!O69*B69</f>
        <v>187.901984467618</v>
      </c>
      <c r="D69" s="56" t="n">
        <f aca="false">IF(AND($A69&gt;=1914,$A69&lt;=1918),entente_total*entente_private*CHOOSE($A69-1913,0.05,0.1333,0.2333,0.3,0.2834),0)</f>
        <v>0</v>
      </c>
      <c r="E69" s="56" t="n">
        <f aca="false">H68</f>
        <v>1264.76045770889</v>
      </c>
      <c r="F69" s="56" t="n">
        <f aca="false">(E69-0-'War credit'!Q69)*abroad_repat+0+'War credit'!R69</f>
        <v>37.9428137312667</v>
      </c>
      <c r="G69" s="56" t="n">
        <f aca="false">'War credit'!S69+IF(OR(A69=1931,A69=1932),(E69-0-'War credit'!Q69)*abroad_loss/2,0)</f>
        <v>0</v>
      </c>
      <c r="H69" s="56" t="n">
        <f aca="false">E69+C69+D69-F69-G69</f>
        <v>1414.71962844524</v>
      </c>
      <c r="I69" s="72" t="n">
        <f aca="false">Champions!AY69</f>
        <v>2403.58539461998</v>
      </c>
      <c r="J69" s="56" t="n">
        <f aca="false">H69+I69</f>
        <v>3818.30502306521</v>
      </c>
      <c r="K69" s="56" t="n">
        <f aca="false">(E69-0-'War credit'!Q69)*abroad_return*IF(OR(A69=1931,A69=1932),abroad_slump,1)+0+'War credit'!U69</f>
        <v>75.8856274625333</v>
      </c>
      <c r="L69" s="72" t="n">
        <f aca="false">Champions!AZ69</f>
        <v>183.45407318892</v>
      </c>
      <c r="M69" s="56" t="n">
        <f aca="false">K69+L69</f>
        <v>259.339700651453</v>
      </c>
      <c r="N69" s="56" t="n">
        <f aca="false">M69*abroad_tax</f>
        <v>25.9339700651453</v>
      </c>
      <c r="O69" s="72" t="n">
        <f aca="false">Labour!R69</f>
        <v>74.8361358387507</v>
      </c>
      <c r="P69" s="50" t="n">
        <f aca="false">Economy!O69+M69-O69-V69</f>
        <v>9500.02079983051</v>
      </c>
      <c r="Q69" s="66" t="n">
        <f aca="false">M69/P69</f>
        <v>0.0272988560884077</v>
      </c>
      <c r="R69" s="66" t="n">
        <f aca="false">J69/Economy!O69</f>
        <v>0.406414549998884</v>
      </c>
      <c r="S69" s="74" t="n">
        <f aca="false">0</f>
        <v>0</v>
      </c>
      <c r="T69" s="74" t="n">
        <f aca="false">C69-S69</f>
        <v>187.901984467618</v>
      </c>
      <c r="U69" s="74" t="n">
        <f aca="false">0</f>
        <v>0</v>
      </c>
      <c r="V69" s="75" t="n">
        <f aca="false">'Champion funding'!P69</f>
        <v>79.5819883631067</v>
      </c>
    </row>
    <row r="70" customFormat="false" ht="14.25" hidden="false" customHeight="false" outlineLevel="0" collapsed="false">
      <c r="A70" s="61" t="n">
        <v>1910</v>
      </c>
      <c r="B70" s="62" t="n">
        <v>0.02</v>
      </c>
      <c r="C70" s="56" t="n">
        <f aca="false">Economy!O70*B70</f>
        <v>205.786224888986</v>
      </c>
      <c r="D70" s="56" t="n">
        <f aca="false">IF(AND($A70&gt;=1914,$A70&lt;=1918),entente_total*entente_private*CHOOSE($A70-1913,0.05,0.1333,0.2333,0.3,0.2834),0)</f>
        <v>0</v>
      </c>
      <c r="E70" s="56" t="n">
        <f aca="false">H69</f>
        <v>1414.71962844524</v>
      </c>
      <c r="F70" s="56" t="n">
        <f aca="false">(E70-0-'War credit'!Q70)*abroad_repat+0+'War credit'!R70</f>
        <v>42.4415888533572</v>
      </c>
      <c r="G70" s="56" t="n">
        <f aca="false">'War credit'!S70+IF(OR(A70=1931,A70=1932),(E70-0-'War credit'!Q70)*abroad_loss/2,0)</f>
        <v>0</v>
      </c>
      <c r="H70" s="56" t="n">
        <f aca="false">E70+C70+D70-F70-G70</f>
        <v>1578.06426448087</v>
      </c>
      <c r="I70" s="72" t="n">
        <f aca="false">Champions!AY70</f>
        <v>2555.82348054402</v>
      </c>
      <c r="J70" s="56" t="n">
        <f aca="false">H70+I70</f>
        <v>4133.88774502489</v>
      </c>
      <c r="K70" s="56" t="n">
        <f aca="false">(E70-0-'War credit'!Q70)*abroad_return*IF(OR(A70=1931,A70=1932),abroad_slump,1)+0+'War credit'!U70</f>
        <v>84.8831777067144</v>
      </c>
      <c r="L70" s="72" t="n">
        <f aca="false">Champions!AZ70</f>
        <v>195.569917690923</v>
      </c>
      <c r="M70" s="56" t="n">
        <f aca="false">K70+L70</f>
        <v>280.453095397637</v>
      </c>
      <c r="N70" s="56" t="n">
        <f aca="false">M70*abroad_tax</f>
        <v>28.0453095397637</v>
      </c>
      <c r="O70" s="72" t="n">
        <f aca="false">Labour!R70</f>
        <v>83.5974828774489</v>
      </c>
      <c r="P70" s="50" t="n">
        <f aca="false">Economy!O70+M70-O70-V70</f>
        <v>10403.4025093931</v>
      </c>
      <c r="Q70" s="66" t="n">
        <f aca="false">M70/P70</f>
        <v>0.0269578241488224</v>
      </c>
      <c r="R70" s="66" t="n">
        <f aca="false">J70/Economy!O70</f>
        <v>0.401765253943015</v>
      </c>
      <c r="S70" s="74" t="n">
        <f aca="false">0</f>
        <v>0</v>
      </c>
      <c r="T70" s="74" t="n">
        <f aca="false">C70-S70</f>
        <v>205.786224888986</v>
      </c>
      <c r="U70" s="74" t="n">
        <f aca="false">0</f>
        <v>0</v>
      </c>
      <c r="V70" s="75" t="n">
        <f aca="false">'Champion funding'!P70</f>
        <v>82.7643475763586</v>
      </c>
    </row>
    <row r="71" customFormat="false" ht="14.25" hidden="false" customHeight="false" outlineLevel="0" collapsed="false">
      <c r="A71" s="61" t="n">
        <v>1911</v>
      </c>
      <c r="B71" s="62" t="n">
        <v>0.02</v>
      </c>
      <c r="C71" s="56" t="n">
        <f aca="false">Economy!O71*B71</f>
        <v>224.28466554879</v>
      </c>
      <c r="D71" s="56" t="n">
        <f aca="false">IF(AND($A71&gt;=1914,$A71&lt;=1918),entente_total*entente_private*CHOOSE($A71-1913,0.05,0.1333,0.2333,0.3,0.2834),0)</f>
        <v>0</v>
      </c>
      <c r="E71" s="56" t="n">
        <f aca="false">H70</f>
        <v>1578.06426448087</v>
      </c>
      <c r="F71" s="56" t="n">
        <f aca="false">(E71-0-'War credit'!Q71)*abroad_repat+0+'War credit'!R71</f>
        <v>47.341927934426</v>
      </c>
      <c r="G71" s="56" t="n">
        <f aca="false">'War credit'!S71+IF(OR(A71=1931,A71=1932),(E71-0-'War credit'!Q71)*abroad_loss/2,0)</f>
        <v>0</v>
      </c>
      <c r="H71" s="56" t="n">
        <f aca="false">E71+C71+D71-F71-G71</f>
        <v>1755.00700209523</v>
      </c>
      <c r="I71" s="72" t="n">
        <f aca="false">Champions!AY71</f>
        <v>2732.67195381556</v>
      </c>
      <c r="J71" s="56" t="n">
        <f aca="false">H71+I71</f>
        <v>4487.67895591079</v>
      </c>
      <c r="K71" s="56" t="n">
        <f aca="false">(E71-0-'War credit'!Q71)*abroad_return*IF(OR(A71=1931,A71=1932),abroad_slump,1)+0+'War credit'!U71</f>
        <v>94.6838558688521</v>
      </c>
      <c r="L71" s="72" t="n">
        <f aca="false">Champions!AZ71</f>
        <v>210.189118858035</v>
      </c>
      <c r="M71" s="56" t="n">
        <f aca="false">K71+L71</f>
        <v>304.872974726887</v>
      </c>
      <c r="N71" s="56" t="n">
        <f aca="false">M71*abroad_tax</f>
        <v>30.4872974726887</v>
      </c>
      <c r="O71" s="72" t="n">
        <f aca="false">Labour!R71</f>
        <v>92.0722325565605</v>
      </c>
      <c r="P71" s="50" t="n">
        <f aca="false">Economy!O71+M71-O71-V71</f>
        <v>11341.2339103661</v>
      </c>
      <c r="Q71" s="66" t="n">
        <f aca="false">M71/P71</f>
        <v>0.0268818170171262</v>
      </c>
      <c r="R71" s="66" t="n">
        <f aca="false">J71/Economy!O71</f>
        <v>0.400177064707489</v>
      </c>
      <c r="S71" s="74" t="n">
        <f aca="false">0</f>
        <v>0</v>
      </c>
      <c r="T71" s="74" t="n">
        <f aca="false">C71-S71</f>
        <v>224.28466554879</v>
      </c>
      <c r="U71" s="74" t="n">
        <f aca="false">0</f>
        <v>0</v>
      </c>
      <c r="V71" s="75" t="n">
        <f aca="false">'Champion funding'!P71</f>
        <v>85.8001092437886</v>
      </c>
    </row>
    <row r="72" customFormat="false" ht="14.25" hidden="false" customHeight="false" outlineLevel="0" collapsed="false">
      <c r="A72" s="61" t="n">
        <v>1912</v>
      </c>
      <c r="B72" s="62" t="n">
        <v>0.02</v>
      </c>
      <c r="C72" s="56" t="n">
        <f aca="false">Economy!O72*B72</f>
        <v>244.620362315991</v>
      </c>
      <c r="D72" s="56" t="n">
        <f aca="false">IF(AND($A72&gt;=1914,$A72&lt;=1918),entente_total*entente_private*CHOOSE($A72-1913,0.05,0.1333,0.2333,0.3,0.2834),0)</f>
        <v>0</v>
      </c>
      <c r="E72" s="56" t="n">
        <f aca="false">H71</f>
        <v>1755.00700209523</v>
      </c>
      <c r="F72" s="56" t="n">
        <f aca="false">(E72-0-'War credit'!Q72)*abroad_repat+0+'War credit'!R72</f>
        <v>52.650210062857</v>
      </c>
      <c r="G72" s="56" t="n">
        <f aca="false">'War credit'!S72+IF(OR(A72=1931,A72=1932),(E72-0-'War credit'!Q72)*abroad_loss/2,0)</f>
        <v>0</v>
      </c>
      <c r="H72" s="56" t="n">
        <f aca="false">E72+C72+D72-F72-G72</f>
        <v>1946.97715434837</v>
      </c>
      <c r="I72" s="72" t="n">
        <f aca="false">Champions!AY72</f>
        <v>2905.28695298418</v>
      </c>
      <c r="J72" s="56" t="n">
        <f aca="false">H72+I72</f>
        <v>4852.26410733255</v>
      </c>
      <c r="K72" s="56" t="n">
        <f aca="false">(E72-0-'War credit'!Q72)*abroad_return*IF(OR(A72=1931,A72=1932),abroad_slump,1)+0+'War credit'!U72</f>
        <v>105.300420125714</v>
      </c>
      <c r="L72" s="72" t="n">
        <f aca="false">Champions!AZ72</f>
        <v>224.293719207178</v>
      </c>
      <c r="M72" s="56" t="n">
        <f aca="false">K72+L72</f>
        <v>329.594139332892</v>
      </c>
      <c r="N72" s="56" t="n">
        <f aca="false">M72*abroad_tax</f>
        <v>32.9594139332892</v>
      </c>
      <c r="O72" s="72" t="n">
        <f aca="false">Labour!R72</f>
        <v>100.867962206493</v>
      </c>
      <c r="P72" s="50" t="n">
        <f aca="false">Economy!O72+M72-O72-V72</f>
        <v>12370.0017229665</v>
      </c>
      <c r="Q72" s="66" t="n">
        <f aca="false">M72/P72</f>
        <v>0.026644631643095</v>
      </c>
      <c r="R72" s="66" t="n">
        <f aca="false">J72/Economy!O72</f>
        <v>0.396717923348065</v>
      </c>
      <c r="S72" s="74" t="n">
        <f aca="false">0</f>
        <v>0</v>
      </c>
      <c r="T72" s="74" t="n">
        <f aca="false">C72-S72</f>
        <v>244.620362315991</v>
      </c>
      <c r="U72" s="74" t="n">
        <f aca="false">0</f>
        <v>0</v>
      </c>
      <c r="V72" s="75" t="n">
        <f aca="false">'Champion funding'!P72</f>
        <v>89.74256995946</v>
      </c>
    </row>
    <row r="73" customFormat="false" ht="14.25" hidden="false" customHeight="false" outlineLevel="0" collapsed="false">
      <c r="A73" s="61" t="n">
        <v>1913</v>
      </c>
      <c r="B73" s="62" t="n">
        <v>0.02</v>
      </c>
      <c r="C73" s="56" t="n">
        <f aca="false">Economy!O73*B73</f>
        <v>266.28352345103</v>
      </c>
      <c r="D73" s="56" t="n">
        <f aca="false">IF(AND($A73&gt;=1914,$A73&lt;=1918),entente_total*entente_private*CHOOSE($A73-1913,0.05,0.1333,0.2333,0.3,0.2834),0)</f>
        <v>0</v>
      </c>
      <c r="E73" s="56" t="n">
        <f aca="false">H72</f>
        <v>1946.97715434837</v>
      </c>
      <c r="F73" s="56" t="n">
        <f aca="false">(E73-0-'War credit'!Q73)*abroad_repat+0+'War credit'!R73</f>
        <v>58.409314630451</v>
      </c>
      <c r="G73" s="56" t="n">
        <f aca="false">'War credit'!S73+IF(OR(A73=1931,A73=1932),(E73-0-'War credit'!Q73)*abroad_loss/2,0)</f>
        <v>0</v>
      </c>
      <c r="H73" s="56" t="n">
        <f aca="false">E73+C73+D73-F73-G73</f>
        <v>2154.85136316895</v>
      </c>
      <c r="I73" s="72" t="n">
        <f aca="false">Champions!AY73</f>
        <v>3085.719848102</v>
      </c>
      <c r="J73" s="56" t="n">
        <f aca="false">H73+I73</f>
        <v>5240.57121127094</v>
      </c>
      <c r="K73" s="56" t="n">
        <f aca="false">(E73-0-'War credit'!Q73)*abroad_return*IF(OR(A73=1931,A73=1932),abroad_slump,1)+0+'War credit'!U73</f>
        <v>116.818629260902</v>
      </c>
      <c r="L73" s="72" t="n">
        <f aca="false">Champions!AZ73</f>
        <v>239.396305427293</v>
      </c>
      <c r="M73" s="56" t="n">
        <f aca="false">K73+L73</f>
        <v>356.214934688195</v>
      </c>
      <c r="N73" s="56" t="n">
        <f aca="false">M73*abroad_tax</f>
        <v>35.6214934688195</v>
      </c>
      <c r="O73" s="72" t="n">
        <f aca="false">Labour!R73</f>
        <v>110.688781177758</v>
      </c>
      <c r="P73" s="50" t="n">
        <f aca="false">Economy!O73+M73-O73-V73</f>
        <v>13466.4552267932</v>
      </c>
      <c r="Q73" s="66" t="n">
        <f aca="false">M73/P73</f>
        <v>0.0264520193836505</v>
      </c>
      <c r="R73" s="66" t="n">
        <f aca="false">J73/Economy!O73</f>
        <v>0.393608372260757</v>
      </c>
      <c r="S73" s="74" t="n">
        <f aca="false">0</f>
        <v>0</v>
      </c>
      <c r="T73" s="74" t="n">
        <f aca="false">C73-S73</f>
        <v>266.28352345103</v>
      </c>
      <c r="U73" s="74" t="n">
        <f aca="false">0</f>
        <v>0</v>
      </c>
      <c r="V73" s="75" t="n">
        <f aca="false">'Champion funding'!P73</f>
        <v>93.2470992687456</v>
      </c>
    </row>
    <row r="74" customFormat="false" ht="14.25" hidden="false" customHeight="false" outlineLevel="0" collapsed="false">
      <c r="A74" s="64" t="n">
        <v>1914</v>
      </c>
      <c r="B74" s="62" t="n">
        <v>0.01</v>
      </c>
      <c r="C74" s="56" t="n">
        <f aca="false">Economy!O74*B74</f>
        <v>138.752609521724</v>
      </c>
      <c r="D74" s="56" t="n">
        <f aca="false">'War credit'!B74-'War credit'!C74-'War credit'!E74</f>
        <v>340</v>
      </c>
      <c r="E74" s="56" t="n">
        <f aca="false">H73</f>
        <v>2154.85136316895</v>
      </c>
      <c r="F74" s="56" t="n">
        <f aca="false">(E74-0-'War credit'!Q74)*abroad_repat+0+'War credit'!R74</f>
        <v>64.6455408950684</v>
      </c>
      <c r="G74" s="56" t="n">
        <f aca="false">'War credit'!S74+IF(OR(A74=1931,A74=1932),(E74-0-'War credit'!Q74)*abroad_loss/2,0)</f>
        <v>0</v>
      </c>
      <c r="H74" s="56" t="n">
        <f aca="false">E74+C74+D74-F74-G74</f>
        <v>2568.9584317956</v>
      </c>
      <c r="I74" s="72" t="n">
        <f aca="false">Champions!AY74</f>
        <v>3337.29210370441</v>
      </c>
      <c r="J74" s="56" t="n">
        <f aca="false">H74+I74</f>
        <v>5906.25053550001</v>
      </c>
      <c r="K74" s="56" t="n">
        <f aca="false">(E74-0-'War credit'!Q74)*abroad_return*IF(OR(A74=1931,A74=1932),abroad_slump,1)+0+'War credit'!U74</f>
        <v>129.291081790137</v>
      </c>
      <c r="L74" s="72" t="n">
        <f aca="false">Champions!AZ74</f>
        <v>268.416788853054</v>
      </c>
      <c r="M74" s="56" t="n">
        <f aca="false">K74+L74</f>
        <v>397.70787064319</v>
      </c>
      <c r="N74" s="56" t="n">
        <f aca="false">M74*abroad_tax</f>
        <v>39.770787064319</v>
      </c>
      <c r="O74" s="72" t="n">
        <f aca="false">Labour!R74</f>
        <v>110.043635370375</v>
      </c>
      <c r="P74" s="50" t="n">
        <f aca="false">Economy!O74+M74-O74-V74</f>
        <v>14064.7659986699</v>
      </c>
      <c r="Q74" s="66" t="n">
        <f aca="false">M74/P74</f>
        <v>0.0282768921061894</v>
      </c>
      <c r="R74" s="66" t="n">
        <f aca="false">J74/Economy!O74</f>
        <v>0.425667708582826</v>
      </c>
      <c r="S74" s="74" t="n">
        <f aca="false">0</f>
        <v>0</v>
      </c>
      <c r="T74" s="74" t="n">
        <f aca="false">C74-S74</f>
        <v>138.752609521724</v>
      </c>
      <c r="U74" s="74" t="n">
        <f aca="false">0</f>
        <v>0</v>
      </c>
      <c r="V74" s="75" t="n">
        <f aca="false">'Champion funding'!P74</f>
        <v>98.1591887753489</v>
      </c>
    </row>
    <row r="75" customFormat="false" ht="14.25" hidden="false" customHeight="false" outlineLevel="0" collapsed="false">
      <c r="A75" s="64" t="n">
        <v>1915</v>
      </c>
      <c r="B75" s="62" t="n">
        <v>0.01</v>
      </c>
      <c r="C75" s="56" t="n">
        <f aca="false">Economy!O75*B75</f>
        <v>155.263948485804</v>
      </c>
      <c r="D75" s="56" t="n">
        <f aca="false">'War credit'!B75-'War credit'!C75-'War credit'!E75</f>
        <v>381.44</v>
      </c>
      <c r="E75" s="56" t="n">
        <f aca="false">H74</f>
        <v>2568.9584317956</v>
      </c>
      <c r="F75" s="56" t="n">
        <f aca="false">(E75-0-'War credit'!Q75)*abroad_repat+0+'War credit'!R75</f>
        <v>66.868752953868</v>
      </c>
      <c r="G75" s="56" t="n">
        <f aca="false">'War credit'!S75+IF(OR(A75=1931,A75=1932),(E75-0-'War credit'!Q75)*abroad_loss/2,0)</f>
        <v>0</v>
      </c>
      <c r="H75" s="56" t="n">
        <f aca="false">E75+C75+D75-F75-G75</f>
        <v>3038.79362732754</v>
      </c>
      <c r="I75" s="72" t="n">
        <f aca="false">Champions!AY75</f>
        <v>3598.28832730015</v>
      </c>
      <c r="J75" s="56" t="n">
        <f aca="false">H75+I75</f>
        <v>6637.08195462769</v>
      </c>
      <c r="K75" s="56" t="n">
        <f aca="false">(E75-0-'War credit'!Q75)*abroad_return*IF(OR(A75=1931,A75=1932),abroad_slump,1)+0+'War credit'!U75</f>
        <v>150.737505907736</v>
      </c>
      <c r="L75" s="72" t="n">
        <f aca="false">Champions!AZ75</f>
        <v>299.357002255109</v>
      </c>
      <c r="M75" s="56" t="n">
        <f aca="false">K75+L75</f>
        <v>450.094508162845</v>
      </c>
      <c r="N75" s="56" t="n">
        <f aca="false">M75*abroad_tax</f>
        <v>45.0094508162845</v>
      </c>
      <c r="O75" s="72" t="n">
        <f aca="false">Labour!R75</f>
        <v>129.631841592392</v>
      </c>
      <c r="P75" s="50" t="n">
        <f aca="false">Economy!O75+M75-O75-V75</f>
        <v>15744.1547028209</v>
      </c>
      <c r="Q75" s="66" t="n">
        <f aca="false">M75/P75</f>
        <v>0.0285880389680241</v>
      </c>
      <c r="R75" s="66" t="n">
        <f aca="false">J75/Economy!O75</f>
        <v>0.427470898386598</v>
      </c>
      <c r="S75" s="74" t="n">
        <f aca="false">0</f>
        <v>0</v>
      </c>
      <c r="T75" s="74" t="n">
        <f aca="false">C75-S75</f>
        <v>155.263948485804</v>
      </c>
      <c r="U75" s="74" t="n">
        <f aca="false">0</f>
        <v>0</v>
      </c>
      <c r="V75" s="75" t="n">
        <f aca="false">'Champion funding'!P75</f>
        <v>102.702812329884</v>
      </c>
    </row>
    <row r="76" customFormat="false" ht="14.25" hidden="false" customHeight="false" outlineLevel="0" collapsed="false">
      <c r="A76" s="64" t="n">
        <v>1916</v>
      </c>
      <c r="B76" s="62" t="n">
        <v>0.01</v>
      </c>
      <c r="C76" s="56" t="n">
        <f aca="false">Economy!O76*B76</f>
        <v>184.173704577914</v>
      </c>
      <c r="D76" s="56" t="n">
        <f aca="false">'War credit'!B76-'War credit'!C76-'War credit'!E76</f>
        <v>536.44</v>
      </c>
      <c r="E76" s="56" t="n">
        <f aca="false">H75</f>
        <v>3038.79362732754</v>
      </c>
      <c r="F76" s="56" t="n">
        <f aca="false">(E76-0-'War credit'!Q76)*abroad_repat+0+'War credit'!R76</f>
        <v>69.5206088198261</v>
      </c>
      <c r="G76" s="56" t="n">
        <f aca="false">'War credit'!S76+IF(OR(A76=1931,A76=1932),(E76-0-'War credit'!Q76)*abroad_loss/2,0)</f>
        <v>0</v>
      </c>
      <c r="H76" s="56" t="n">
        <f aca="false">E76+C76+D76-F76-G76</f>
        <v>3689.88672308563</v>
      </c>
      <c r="I76" s="72" t="n">
        <f aca="false">Champions!AY76</f>
        <v>3878.4221184342</v>
      </c>
      <c r="J76" s="56" t="n">
        <f aca="false">H76+I76</f>
        <v>7568.30884151983</v>
      </c>
      <c r="K76" s="56" t="n">
        <f aca="false">(E76-0-'War credit'!Q76)*abroad_return*IF(OR(A76=1931,A76=1932),abroad_slump,1)+0+'War credit'!U76</f>
        <v>175.113217639652</v>
      </c>
      <c r="L76" s="72" t="n">
        <f aca="false">Champions!AZ76</f>
        <v>332.875922362884</v>
      </c>
      <c r="M76" s="56" t="n">
        <f aca="false">K76+L76</f>
        <v>507.989140002537</v>
      </c>
      <c r="N76" s="56" t="n">
        <f aca="false">M76*abroad_tax</f>
        <v>50.7989140002537</v>
      </c>
      <c r="O76" s="72" t="n">
        <f aca="false">Labour!R76</f>
        <v>160.363345504187</v>
      </c>
      <c r="P76" s="50" t="n">
        <f aca="false">Economy!O76+M76-O76-V76</f>
        <v>18657.4278618128</v>
      </c>
      <c r="Q76" s="66" t="n">
        <f aca="false">M76/P76</f>
        <v>0.02722717963939</v>
      </c>
      <c r="R76" s="66" t="n">
        <f aca="false">J76/Economy!O76</f>
        <v>0.410933192600145</v>
      </c>
      <c r="S76" s="74" t="n">
        <f aca="false">0</f>
        <v>0</v>
      </c>
      <c r="T76" s="74" t="n">
        <f aca="false">C76-S76</f>
        <v>184.173704577914</v>
      </c>
      <c r="U76" s="74" t="n">
        <f aca="false">0</f>
        <v>0</v>
      </c>
      <c r="V76" s="75" t="n">
        <f aca="false">'Champion funding'!P76</f>
        <v>107.56839047701</v>
      </c>
    </row>
    <row r="77" customFormat="false" ht="14.25" hidden="false" customHeight="false" outlineLevel="0" collapsed="false">
      <c r="A77" s="64" t="n">
        <v>1917</v>
      </c>
      <c r="B77" s="62" t="n">
        <v>0.01</v>
      </c>
      <c r="C77" s="56" t="n">
        <f aca="false">Economy!O77*B77</f>
        <v>231.652831513233</v>
      </c>
      <c r="D77" s="56" t="n">
        <f aca="false">'War credit'!B77-'War credit'!C77-'War credit'!E77</f>
        <v>840</v>
      </c>
      <c r="E77" s="56" t="n">
        <f aca="false">H76</f>
        <v>3689.88672308563</v>
      </c>
      <c r="F77" s="56" t="n">
        <f aca="false">(E77-0-'War credit'!Q77)*abroad_repat+0+'War credit'!R77</f>
        <v>72.9602016925688</v>
      </c>
      <c r="G77" s="56" t="n">
        <f aca="false">'War credit'!S77+IF(OR(A77=1931,A77=1932),(E77-0-'War credit'!Q77)*abroad_loss/2,0)</f>
        <v>0</v>
      </c>
      <c r="H77" s="56" t="n">
        <f aca="false">E77+C77+D77-F77-G77</f>
        <v>4688.57935290629</v>
      </c>
      <c r="I77" s="72" t="n">
        <f aca="false">Champions!AY77</f>
        <v>4167.10295074198</v>
      </c>
      <c r="J77" s="56" t="n">
        <f aca="false">H77+I77</f>
        <v>8855.68230364827</v>
      </c>
      <c r="K77" s="56" t="n">
        <f aca="false">(E77-0-'War credit'!Q77)*abroad_return*IF(OR(A77=1931,A77=1932),abroad_slump,1)+0+'War credit'!U77</f>
        <v>208.814403385138</v>
      </c>
      <c r="L77" s="72" t="n">
        <f aca="false">Champions!AZ77</f>
        <v>367.838305660769</v>
      </c>
      <c r="M77" s="56" t="n">
        <f aca="false">K77+L77</f>
        <v>576.652709045907</v>
      </c>
      <c r="N77" s="56" t="n">
        <f aca="false">M77*abroad_tax</f>
        <v>57.6652709045907</v>
      </c>
      <c r="O77" s="72" t="n">
        <f aca="false">Labour!R77</f>
        <v>210.02241102287</v>
      </c>
      <c r="P77" s="50" t="n">
        <f aca="false">Economy!O77+M77-O77-V77</f>
        <v>23419.0460253053</v>
      </c>
      <c r="Q77" s="66" t="n">
        <f aca="false">M77/P77</f>
        <v>0.0246232365068504</v>
      </c>
      <c r="R77" s="66" t="n">
        <f aca="false">J77/Economy!O77</f>
        <v>0.382282497727311</v>
      </c>
      <c r="S77" s="74" t="n">
        <f aca="false">0</f>
        <v>0</v>
      </c>
      <c r="T77" s="74" t="n">
        <f aca="false">C77-S77</f>
        <v>231.652831513233</v>
      </c>
      <c r="U77" s="74" t="n">
        <f aca="false">0</f>
        <v>0</v>
      </c>
      <c r="V77" s="75" t="n">
        <f aca="false">'Champion funding'!P77</f>
        <v>112.86742404105</v>
      </c>
    </row>
    <row r="78" customFormat="false" ht="14.25" hidden="false" customHeight="false" outlineLevel="0" collapsed="false">
      <c r="A78" s="64" t="n">
        <v>1918</v>
      </c>
      <c r="B78" s="62" t="n">
        <v>0.01</v>
      </c>
      <c r="C78" s="56" t="n">
        <f aca="false">Economy!O78*B78</f>
        <v>278.671829026622</v>
      </c>
      <c r="D78" s="56" t="n">
        <f aca="false">'War credit'!B78-'War credit'!C78-'War credit'!E78</f>
        <v>752.12</v>
      </c>
      <c r="E78" s="56" t="n">
        <f aca="false">H77</f>
        <v>4688.57935290629</v>
      </c>
      <c r="F78" s="56" t="n">
        <f aca="false">(E78-0-'War credit'!Q78)*abroad_repat+0+'War credit'!R78</f>
        <v>77.7209805871887</v>
      </c>
      <c r="G78" s="56" t="n">
        <f aca="false">'War credit'!S78+IF(OR(A78=1931,A78=1932),(E78-0-'War credit'!Q78)*abroad_loss/2,0)</f>
        <v>342</v>
      </c>
      <c r="H78" s="56" t="n">
        <f aca="false">E78+C78+D78-F78-G78</f>
        <v>5299.65020134572</v>
      </c>
      <c r="I78" s="72" t="n">
        <f aca="false">Champions!AY78</f>
        <v>4531.29570494567</v>
      </c>
      <c r="J78" s="56" t="n">
        <f aca="false">H78+I78</f>
        <v>9830.94590629139</v>
      </c>
      <c r="K78" s="56" t="n">
        <f aca="false">(E78-0-'War credit'!Q78)*abroad_return*IF(OR(A78=1931,A78=1932),abroad_slump,1)+0+'War credit'!U78</f>
        <v>260.335961174377</v>
      </c>
      <c r="L78" s="72" t="n">
        <f aca="false">Champions!AZ78</f>
        <v>413.785456402515</v>
      </c>
      <c r="M78" s="56" t="n">
        <f aca="false">K78+L78</f>
        <v>674.121417576892</v>
      </c>
      <c r="N78" s="56" t="n">
        <f aca="false">M78*abroad_tax</f>
        <v>67.4121417576892</v>
      </c>
      <c r="O78" s="72" t="n">
        <f aca="false">Labour!R78</f>
        <v>257.520374349007</v>
      </c>
      <c r="P78" s="50" t="n">
        <f aca="false">Economy!O78+M78-O78-V78</f>
        <v>28164.9635664072</v>
      </c>
      <c r="Q78" s="66" t="n">
        <f aca="false">M78/P78</f>
        <v>0.0239347519831671</v>
      </c>
      <c r="R78" s="66" t="n">
        <f aca="false">J78/Economy!O78</f>
        <v>0.352778604878364</v>
      </c>
      <c r="S78" s="74" t="n">
        <f aca="false">0</f>
        <v>0</v>
      </c>
      <c r="T78" s="74" t="n">
        <f aca="false">C78-S78</f>
        <v>278.671829026622</v>
      </c>
      <c r="U78" s="74" t="n">
        <f aca="false">0</f>
        <v>0</v>
      </c>
      <c r="V78" s="75" t="n">
        <f aca="false">'Champion funding'!P78</f>
        <v>118.820379482938</v>
      </c>
    </row>
    <row r="79" customFormat="false" ht="14.25" hidden="false" customHeight="false" outlineLevel="0" collapsed="false">
      <c r="A79" s="64" t="n">
        <v>1919</v>
      </c>
      <c r="B79" s="62" t="n">
        <v>0.035</v>
      </c>
      <c r="C79" s="56" t="n">
        <f aca="false">Economy!O79*B79</f>
        <v>1108.13820062549</v>
      </c>
      <c r="D79" s="56" t="n">
        <f aca="false">IF(AND($A79&gt;=1914,$A79&lt;=1918),entente_total*entente_private*CHOOSE($A79-1913,0.05,0.1333,0.2333,0.3,0.2834),0)</f>
        <v>0</v>
      </c>
      <c r="E79" s="56" t="n">
        <f aca="false">H78</f>
        <v>5299.65020134572</v>
      </c>
      <c r="F79" s="56" t="n">
        <f aca="false">(E79-0-'War credit'!Q79)*abroad_repat+0+'War credit'!R79</f>
        <v>83.7495060403717</v>
      </c>
      <c r="G79" s="56" t="n">
        <f aca="false">'War credit'!S79+IF(OR(A79=1931,A79=1932),(E79-0-'War credit'!Q79)*abroad_loss/2,0)</f>
        <v>0</v>
      </c>
      <c r="H79" s="56" t="n">
        <f aca="false">E79+C79+D79-F79-G79</f>
        <v>6324.03889593084</v>
      </c>
      <c r="I79" s="72" t="n">
        <f aca="false">Champions!AY79</f>
        <v>4965.01827432443</v>
      </c>
      <c r="J79" s="56" t="n">
        <f aca="false">H79+I79</f>
        <v>11289.0571702553</v>
      </c>
      <c r="K79" s="56" t="n">
        <f aca="false">(E79-0-'War credit'!Q79)*abroad_return*IF(OR(A79=1931,A79=1932),abroad_slump,1)+0+'War credit'!U79</f>
        <v>292.899012080743</v>
      </c>
      <c r="L79" s="72" t="n">
        <f aca="false">Champions!AZ79</f>
        <v>465.255741386049</v>
      </c>
      <c r="M79" s="56" t="n">
        <f aca="false">K79+L79</f>
        <v>758.154753466792</v>
      </c>
      <c r="N79" s="56" t="n">
        <f aca="false">M79*abroad_tax</f>
        <v>75.8154753466792</v>
      </c>
      <c r="O79" s="72" t="n">
        <f aca="false">Labour!R79</f>
        <v>293.625922129729</v>
      </c>
      <c r="P79" s="50" t="n">
        <f aca="false">Economy!O79+M79-O79-V79</f>
        <v>31999.7614769851</v>
      </c>
      <c r="Q79" s="66" t="n">
        <f aca="false">M79/P79</f>
        <v>0.0236925126461356</v>
      </c>
      <c r="R79" s="66" t="n">
        <f aca="false">J79/Economy!O79</f>
        <v>0.356559317904491</v>
      </c>
      <c r="S79" s="74" t="n">
        <f aca="false">0</f>
        <v>0</v>
      </c>
      <c r="T79" s="74" t="n">
        <f aca="false">C79-S79</f>
        <v>1108.13820062549</v>
      </c>
      <c r="U79" s="74" t="n">
        <f aca="false">0</f>
        <v>0</v>
      </c>
      <c r="V79" s="75" t="n">
        <f aca="false">'Champion funding'!P79</f>
        <v>125.8588007946</v>
      </c>
    </row>
    <row r="80" customFormat="false" ht="14.25" hidden="false" customHeight="false" outlineLevel="0" collapsed="false">
      <c r="A80" s="64" t="n">
        <v>1920</v>
      </c>
      <c r="B80" s="62" t="n">
        <v>0.035</v>
      </c>
      <c r="C80" s="56" t="n">
        <f aca="false">Economy!O80*B80</f>
        <v>1298.03831148663</v>
      </c>
      <c r="D80" s="56" t="n">
        <f aca="false">IF(AND($A80&gt;=1914,$A80&lt;=1918),entente_total*entente_private*CHOOSE($A80-1913,0.05,0.1333,0.2333,0.3,0.2834),0)</f>
        <v>0</v>
      </c>
      <c r="E80" s="56" t="n">
        <f aca="false">H79</f>
        <v>6324.03889593084</v>
      </c>
      <c r="F80" s="56" t="n">
        <f aca="false">(E80-0-'War credit'!Q80)*abroad_repat+0+'War credit'!R80</f>
        <v>114.481166877925</v>
      </c>
      <c r="G80" s="56" t="n">
        <f aca="false">'War credit'!S80+IF(OR(A80=1931,A80=1932),(E80-0-'War credit'!Q80)*abroad_loss/2,0)</f>
        <v>0</v>
      </c>
      <c r="H80" s="56" t="n">
        <f aca="false">E80+C80+D80-F80-G80</f>
        <v>7507.59604053955</v>
      </c>
      <c r="I80" s="72" t="n">
        <f aca="false">Champions!AY80</f>
        <v>5436.09468496442</v>
      </c>
      <c r="J80" s="56" t="n">
        <f aca="false">H80+I80</f>
        <v>12943.690725504</v>
      </c>
      <c r="K80" s="56" t="n">
        <f aca="false">(E80-0-'War credit'!Q80)*abroad_return*IF(OR(A80=1931,A80=1932),abroad_slump,1)+0+'War credit'!U80</f>
        <v>354.362333755851</v>
      </c>
      <c r="L80" s="72" t="n">
        <f aca="false">Champions!AZ80</f>
        <v>520.889040357483</v>
      </c>
      <c r="M80" s="56" t="n">
        <f aca="false">K80+L80</f>
        <v>875.251374113333</v>
      </c>
      <c r="N80" s="56" t="n">
        <f aca="false">M80*abroad_tax</f>
        <v>87.5251374113333</v>
      </c>
      <c r="O80" s="72" t="n">
        <f aca="false">Labour!R80</f>
        <v>338.628486666997</v>
      </c>
      <c r="P80" s="50" t="n">
        <f aca="false">Economy!O80+M80-O80-V80</f>
        <v>37487.2042364195</v>
      </c>
      <c r="Q80" s="66" t="n">
        <f aca="false">M80/P80</f>
        <v>0.0233480034572173</v>
      </c>
      <c r="R80" s="66" t="n">
        <f aca="false">J80/Economy!O80</f>
        <v>0.349010635035717</v>
      </c>
      <c r="S80" s="74" t="n">
        <f aca="false">0</f>
        <v>0</v>
      </c>
      <c r="T80" s="74" t="n">
        <f aca="false">C80-S80</f>
        <v>1298.03831148663</v>
      </c>
      <c r="U80" s="74" t="n">
        <f aca="false">0</f>
        <v>0</v>
      </c>
      <c r="V80" s="75" t="n">
        <f aca="false">'Champion funding'!P80</f>
        <v>136.22755064489</v>
      </c>
    </row>
    <row r="81" customFormat="false" ht="14.25" hidden="false" customHeight="false" outlineLevel="0" collapsed="false">
      <c r="A81" s="64" t="n">
        <v>1921</v>
      </c>
      <c r="B81" s="62" t="n">
        <v>0.035</v>
      </c>
      <c r="C81" s="56" t="n">
        <f aca="false">Economy!O81*B81</f>
        <v>1060.94629596474</v>
      </c>
      <c r="D81" s="56" t="n">
        <f aca="false">IF(AND($A81&gt;=1914,$A81&lt;=1918),entente_total*entente_private*CHOOSE($A81-1913,0.05,0.1333,0.2333,0.3,0.2834),0)</f>
        <v>0</v>
      </c>
      <c r="E81" s="56" t="n">
        <f aca="false">H80</f>
        <v>7507.59604053955</v>
      </c>
      <c r="F81" s="56" t="n">
        <f aca="false">(E81-0-'War credit'!Q81)*abroad_repat+0+'War credit'!R81</f>
        <v>149.987881216186</v>
      </c>
      <c r="G81" s="56" t="n">
        <f aca="false">'War credit'!S81+IF(OR(A81=1931,A81=1932),(E81-0-'War credit'!Q81)*abroad_loss/2,0)</f>
        <v>0</v>
      </c>
      <c r="H81" s="56" t="n">
        <f aca="false">E81+C81+D81-F81-G81</f>
        <v>8418.5544552881</v>
      </c>
      <c r="I81" s="72" t="n">
        <f aca="false">Champions!AY81</f>
        <v>5970.68267349442</v>
      </c>
      <c r="J81" s="56" t="n">
        <f aca="false">H81+I81</f>
        <v>14389.2371287825</v>
      </c>
      <c r="K81" s="56" t="n">
        <f aca="false">(E81-0-'War credit'!Q81)*abroad_return*IF(OR(A81=1931,A81=1932),abroad_slump,1)+0+'War credit'!U81</f>
        <v>425.375762432373</v>
      </c>
      <c r="L81" s="72" t="n">
        <f aca="false">Champions!AZ81</f>
        <v>565.779317149202</v>
      </c>
      <c r="M81" s="56" t="n">
        <f aca="false">K81+L81</f>
        <v>991.155079581575</v>
      </c>
      <c r="N81" s="56" t="n">
        <f aca="false">M81*abroad_tax</f>
        <v>99.1155079581575</v>
      </c>
      <c r="O81" s="72" t="n">
        <f aca="false">Labour!R81</f>
        <v>239.915758013842</v>
      </c>
      <c r="P81" s="50" t="n">
        <f aca="false">Economy!O81+M81-O81-V81</f>
        <v>30919.8376680683</v>
      </c>
      <c r="Q81" s="66" t="n">
        <f aca="false">M81/P81</f>
        <v>0.0320556365858663</v>
      </c>
      <c r="R81" s="66" t="n">
        <f aca="false">J81/Economy!O81</f>
        <v>0.474692547043047</v>
      </c>
      <c r="S81" s="74" t="n">
        <f aca="false">0</f>
        <v>0</v>
      </c>
      <c r="T81" s="74" t="n">
        <f aca="false">C81-S81</f>
        <v>1060.94629596474</v>
      </c>
      <c r="U81" s="74" t="n">
        <f aca="false">0</f>
        <v>0</v>
      </c>
      <c r="V81" s="75" t="n">
        <f aca="false">'Champion funding'!P81</f>
        <v>144.152966777728</v>
      </c>
    </row>
    <row r="82" customFormat="false" ht="14.25" hidden="false" customHeight="false" outlineLevel="0" collapsed="false">
      <c r="A82" s="64" t="n">
        <v>1922</v>
      </c>
      <c r="B82" s="62" t="n">
        <v>0.035</v>
      </c>
      <c r="C82" s="56" t="n">
        <f aca="false">Economy!O82*B82</f>
        <v>1100.68671204826</v>
      </c>
      <c r="D82" s="56" t="n">
        <f aca="false">IF(AND($A82&gt;=1914,$A82&lt;=1918),entente_total*entente_private*CHOOSE($A82-1913,0.05,0.1333,0.2333,0.3,0.2834),0)</f>
        <v>0</v>
      </c>
      <c r="E82" s="56" t="n">
        <f aca="false">H81</f>
        <v>8418.5544552881</v>
      </c>
      <c r="F82" s="56" t="n">
        <f aca="false">(E82-0-'War credit'!Q82)*abroad_repat+0+'War credit'!R82</f>
        <v>177.316633658643</v>
      </c>
      <c r="G82" s="56" t="n">
        <f aca="false">'War credit'!S82+IF(OR(A82=1931,A82=1932),(E82-0-'War credit'!Q82)*abroad_loss/2,0)</f>
        <v>0</v>
      </c>
      <c r="H82" s="56" t="n">
        <f aca="false">E82+C82+D82-F82-G82</f>
        <v>9341.92453367771</v>
      </c>
      <c r="I82" s="72" t="n">
        <f aca="false">Champions!AY82</f>
        <v>6504.79274073117</v>
      </c>
      <c r="J82" s="56" t="n">
        <f aca="false">H82+I82</f>
        <v>15846.7172744089</v>
      </c>
      <c r="K82" s="56" t="n">
        <f aca="false">(E82-0-'War credit'!Q82)*abroad_return*IF(OR(A82=1931,A82=1932),abroad_slump,1)+0+'War credit'!U82</f>
        <v>480.033267317286</v>
      </c>
      <c r="L82" s="72" t="n">
        <f aca="false">Champions!AZ82</f>
        <v>619.601834363565</v>
      </c>
      <c r="M82" s="56" t="n">
        <f aca="false">K82+L82</f>
        <v>1099.63510168085</v>
      </c>
      <c r="N82" s="56" t="n">
        <f aca="false">M82*abroad_tax</f>
        <v>109.963510168085</v>
      </c>
      <c r="O82" s="72" t="n">
        <f aca="false">Labour!R82</f>
        <v>247.139566090618</v>
      </c>
      <c r="P82" s="50" t="n">
        <f aca="false">Economy!O82+M82-O82-V82</f>
        <v>32140.1275544521</v>
      </c>
      <c r="Q82" s="66" t="n">
        <f aca="false">M82/P82</f>
        <v>0.0342137752819381</v>
      </c>
      <c r="R82" s="66" t="n">
        <f aca="false">J82/Economy!O82</f>
        <v>0.503899155439241</v>
      </c>
      <c r="S82" s="74" t="n">
        <f aca="false">0</f>
        <v>0</v>
      </c>
      <c r="T82" s="74" t="n">
        <f aca="false">C82-S82</f>
        <v>1100.68671204826</v>
      </c>
      <c r="U82" s="74" t="n">
        <f aca="false">0</f>
        <v>0</v>
      </c>
      <c r="V82" s="75" t="n">
        <f aca="false">'Champion funding'!P82</f>
        <v>160.559753945454</v>
      </c>
    </row>
    <row r="83" customFormat="false" ht="14.25" hidden="false" customHeight="false" outlineLevel="0" collapsed="false">
      <c r="A83" s="61" t="n">
        <v>1923</v>
      </c>
      <c r="B83" s="62" t="n">
        <v>0.035</v>
      </c>
      <c r="C83" s="56" t="n">
        <f aca="false">Economy!O83*B83</f>
        <v>1245.33158379231</v>
      </c>
      <c r="D83" s="56" t="n">
        <f aca="false">IF(AND($A83&gt;=1914,$A83&lt;=1918),entente_total*entente_private*CHOOSE($A83-1913,0.05,0.1333,0.2333,0.3,0.2834),0)</f>
        <v>0</v>
      </c>
      <c r="E83" s="56" t="n">
        <f aca="false">H82</f>
        <v>9341.92453367771</v>
      </c>
      <c r="F83" s="56" t="n">
        <f aca="false">(E83-0-'War credit'!Q83)*abroad_repat+0+'War credit'!R83</f>
        <v>245.145736010331</v>
      </c>
      <c r="G83" s="56" t="n">
        <f aca="false">'War credit'!S83+IF(OR(A83=1931,A83=1932),(E83-0-'War credit'!Q83)*abroad_loss/2,0)</f>
        <v>0</v>
      </c>
      <c r="H83" s="56" t="n">
        <f aca="false">E83+C83+D83-F83-G83</f>
        <v>10342.1103814597</v>
      </c>
      <c r="I83" s="72" t="n">
        <f aca="false">Champions!AY83</f>
        <v>7051.96546896643</v>
      </c>
      <c r="J83" s="56" t="n">
        <f aca="false">H83+I83</f>
        <v>17394.0758504261</v>
      </c>
      <c r="K83" s="56" t="n">
        <f aca="false">(E83-0-'War credit'!Q83)*abroad_return*IF(OR(A83=1931,A83=1932),abroad_slump,1)+0+'War credit'!U83</f>
        <v>492.799472020663</v>
      </c>
      <c r="L83" s="72" t="n">
        <f aca="false">Champions!AZ83</f>
        <v>674.436878934031</v>
      </c>
      <c r="M83" s="56" t="n">
        <f aca="false">K83+L83</f>
        <v>1167.23635095469</v>
      </c>
      <c r="N83" s="56" t="n">
        <f aca="false">M83*abroad_tax</f>
        <v>116.723635095469</v>
      </c>
      <c r="O83" s="72" t="n">
        <f aca="false">Labour!R83</f>
        <v>298.423680936536</v>
      </c>
      <c r="P83" s="50" t="n">
        <f aca="false">Economy!O83+M83-O83-V83</f>
        <v>36274.2886573314</v>
      </c>
      <c r="Q83" s="66" t="n">
        <f aca="false">M83/P83</f>
        <v>0.0321780631449759</v>
      </c>
      <c r="R83" s="66" t="n">
        <f aca="false">J83/Economy!O83</f>
        <v>0.488859884940047</v>
      </c>
      <c r="S83" s="74" t="n">
        <f aca="false">0</f>
        <v>0</v>
      </c>
      <c r="T83" s="74" t="n">
        <f aca="false">C83-S83</f>
        <v>1245.33158379231</v>
      </c>
      <c r="U83" s="74" t="n">
        <f aca="false">0</f>
        <v>0</v>
      </c>
      <c r="V83" s="75" t="n">
        <f aca="false">'Champion funding'!P83</f>
        <v>175.426406752663</v>
      </c>
    </row>
    <row r="84" customFormat="false" ht="14.25" hidden="false" customHeight="false" outlineLevel="0" collapsed="false">
      <c r="A84" s="61" t="n">
        <v>1924</v>
      </c>
      <c r="B84" s="62" t="n">
        <v>0.035</v>
      </c>
      <c r="C84" s="56" t="n">
        <f aca="false">Economy!O84*B84</f>
        <v>1331.68791191626</v>
      </c>
      <c r="D84" s="56" t="n">
        <f aca="false">IF(AND($A84&gt;=1914,$A84&lt;=1918),entente_total*entente_private*CHOOSE($A84-1913,0.05,0.1333,0.2333,0.3,0.2834),0)</f>
        <v>0</v>
      </c>
      <c r="E84" s="56" t="n">
        <f aca="false">H83</f>
        <v>10342.1103814597</v>
      </c>
      <c r="F84" s="56" t="n">
        <f aca="false">(E84-0-'War credit'!Q84)*abroad_repat+0+'War credit'!R84</f>
        <v>275.713103443791</v>
      </c>
      <c r="G84" s="56" t="n">
        <f aca="false">'War credit'!S84+IF(OR(A84=1931,A84=1932),(E84-0-'War credit'!Q84)*abroad_loss/2,0)</f>
        <v>0</v>
      </c>
      <c r="H84" s="56" t="n">
        <f aca="false">E84+C84+D84-F84-G84</f>
        <v>11398.0851899322</v>
      </c>
      <c r="I84" s="72" t="n">
        <f aca="false">Champions!AY84</f>
        <v>7573.0706396521</v>
      </c>
      <c r="J84" s="56" t="n">
        <f aca="false">H84+I84</f>
        <v>18971.1558295843</v>
      </c>
      <c r="K84" s="56" t="n">
        <f aca="false">(E84-0-'War credit'!Q84)*abroad_return*IF(OR(A84=1931,A84=1932),abroad_slump,1)+0+'War credit'!U84</f>
        <v>553.894078887581</v>
      </c>
      <c r="L84" s="72" t="n">
        <f aca="false">Champions!AZ84</f>
        <v>725.819761915088</v>
      </c>
      <c r="M84" s="56" t="n">
        <f aca="false">K84+L84</f>
        <v>1279.71384080267</v>
      </c>
      <c r="N84" s="56" t="n">
        <f aca="false">M84*abroad_tax</f>
        <v>127.971384080267</v>
      </c>
      <c r="O84" s="72" t="n">
        <f aca="false">Labour!R84</f>
        <v>331.71003739657</v>
      </c>
      <c r="P84" s="50" t="n">
        <f aca="false">Economy!O84+M84-O84-V84</f>
        <v>38806.9471367766</v>
      </c>
      <c r="Q84" s="66" t="n">
        <f aca="false">M84/P84</f>
        <v>0.032976411060944</v>
      </c>
      <c r="R84" s="66" t="n">
        <f aca="false">J84/Economy!O84</f>
        <v>0.498608155930459</v>
      </c>
      <c r="S84" s="74" t="n">
        <f aca="false">0</f>
        <v>0</v>
      </c>
      <c r="T84" s="74" t="n">
        <f aca="false">C84-S84</f>
        <v>1331.68791191626</v>
      </c>
      <c r="U84" s="74" t="n">
        <f aca="false">0</f>
        <v>0</v>
      </c>
      <c r="V84" s="75" t="n">
        <f aca="false">'Champion funding'!P84</f>
        <v>189.282721379781</v>
      </c>
    </row>
    <row r="85" customFormat="false" ht="14.25" hidden="false" customHeight="false" outlineLevel="0" collapsed="false">
      <c r="A85" s="61" t="n">
        <v>1925</v>
      </c>
      <c r="B85" s="62" t="n">
        <v>0.035</v>
      </c>
      <c r="C85" s="56" t="n">
        <f aca="false">Economy!O85*B85</f>
        <v>1440.73512519383</v>
      </c>
      <c r="D85" s="56" t="n">
        <f aca="false">IF(AND($A85&gt;=1914,$A85&lt;=1918),entente_total*entente_private*CHOOSE($A85-1913,0.05,0.1333,0.2333,0.3,0.2834),0)</f>
        <v>0</v>
      </c>
      <c r="E85" s="56" t="n">
        <f aca="false">H84</f>
        <v>11398.0851899322</v>
      </c>
      <c r="F85" s="56" t="n">
        <f aca="false">(E85-0-'War credit'!Q85)*abroad_repat+0+'War credit'!R85</f>
        <v>307.945151025965</v>
      </c>
      <c r="G85" s="56" t="n">
        <f aca="false">'War credit'!S85+IF(OR(A85=1931,A85=1932),(E85-0-'War credit'!Q85)*abroad_loss/2,0)</f>
        <v>0</v>
      </c>
      <c r="H85" s="56" t="n">
        <f aca="false">E85+C85+D85-F85-G85</f>
        <v>12530.8751641</v>
      </c>
      <c r="I85" s="72" t="n">
        <f aca="false">Champions!AY85</f>
        <v>8078.67756695887</v>
      </c>
      <c r="J85" s="56" t="n">
        <f aca="false">H85+I85</f>
        <v>20609.5527310589</v>
      </c>
      <c r="K85" s="56" t="n">
        <f aca="false">(E85-0-'War credit'!Q85)*abroad_return*IF(OR(A85=1931,A85=1932),abroad_slump,1)+0+'War credit'!U85</f>
        <v>618.318688099929</v>
      </c>
      <c r="L85" s="72" t="n">
        <f aca="false">Champions!AZ85</f>
        <v>775.450095769955</v>
      </c>
      <c r="M85" s="56" t="n">
        <f aca="false">K85+L85</f>
        <v>1393.76878386988</v>
      </c>
      <c r="N85" s="56" t="n">
        <f aca="false">M85*abroad_tax</f>
        <v>139.376878386989</v>
      </c>
      <c r="O85" s="72" t="n">
        <f aca="false">Labour!R85</f>
        <v>370.31508561516</v>
      </c>
      <c r="P85" s="50" t="n">
        <f aca="false">Economy!O85+M85-O85-V85</f>
        <v>41986.659266242</v>
      </c>
      <c r="Q85" s="66" t="n">
        <f aca="false">M85/P85</f>
        <v>0.0331955151523689</v>
      </c>
      <c r="R85" s="66" t="n">
        <f aca="false">J85/Economy!O85</f>
        <v>0.500671034510953</v>
      </c>
      <c r="S85" s="74" t="n">
        <f aca="false">0</f>
        <v>0</v>
      </c>
      <c r="T85" s="74" t="n">
        <f aca="false">C85-S85</f>
        <v>1440.73512519383</v>
      </c>
      <c r="U85" s="74" t="n">
        <f aca="false">0</f>
        <v>0</v>
      </c>
      <c r="V85" s="75" t="n">
        <f aca="false">'Champion funding'!P85</f>
        <v>200.655151836373</v>
      </c>
    </row>
    <row r="86" customFormat="false" ht="14.25" hidden="false" customHeight="false" outlineLevel="0" collapsed="false">
      <c r="A86" s="61" t="n">
        <v>1926</v>
      </c>
      <c r="B86" s="62" t="n">
        <v>0.035</v>
      </c>
      <c r="C86" s="56" t="n">
        <f aca="false">Economy!O86*B86</f>
        <v>1504.26242099552</v>
      </c>
      <c r="D86" s="56" t="n">
        <f aca="false">IF(AND($A86&gt;=1914,$A86&lt;=1918),entente_total*entente_private*CHOOSE($A86-1913,0.05,0.1333,0.2333,0.3,0.2834),0)</f>
        <v>0</v>
      </c>
      <c r="E86" s="56" t="n">
        <f aca="false">H85</f>
        <v>12530.8751641</v>
      </c>
      <c r="F86" s="56" t="n">
        <f aca="false">(E86-0-'War credit'!Q86)*abroad_repat+0+'War credit'!R86</f>
        <v>342.472808725753</v>
      </c>
      <c r="G86" s="56" t="n">
        <f aca="false">'War credit'!S86+IF(OR(A86=1931,A86=1932),(E86-0-'War credit'!Q86)*abroad_loss/2,0)</f>
        <v>0</v>
      </c>
      <c r="H86" s="56" t="n">
        <f aca="false">E86+C86+D86-F86-G86</f>
        <v>13692.6647763698</v>
      </c>
      <c r="I86" s="72" t="n">
        <f aca="false">Champions!AY86</f>
        <v>8794.3711032088</v>
      </c>
      <c r="J86" s="56" t="n">
        <f aca="false">H86+I86</f>
        <v>22487.0358795786</v>
      </c>
      <c r="K86" s="56" t="n">
        <f aca="false">(E86-0-'War credit'!Q86)*abroad_return*IF(OR(A86=1931,A86=1932),abroad_slump,1)+0+'War credit'!U86</f>
        <v>687.335149322737</v>
      </c>
      <c r="L86" s="72" t="n">
        <f aca="false">Champions!AZ86</f>
        <v>840.137063384481</v>
      </c>
      <c r="M86" s="56" t="n">
        <f aca="false">K86+L86</f>
        <v>1527.47221270722</v>
      </c>
      <c r="N86" s="56" t="n">
        <f aca="false">M86*abroad_tax</f>
        <v>152.747221270722</v>
      </c>
      <c r="O86" s="72" t="n">
        <f aca="false">Labour!R86</f>
        <v>393.503592491229</v>
      </c>
      <c r="P86" s="50" t="n">
        <f aca="false">Economy!O86+M86-O86-V86</f>
        <v>43903.7562782554</v>
      </c>
      <c r="Q86" s="66" t="n">
        <f aca="false">M86/P86</f>
        <v>0.0347913787382184</v>
      </c>
      <c r="R86" s="66" t="n">
        <f aca="false">J86/Economy!O86</f>
        <v>0.523210740892128</v>
      </c>
      <c r="S86" s="74" t="n">
        <f aca="false">0</f>
        <v>0</v>
      </c>
      <c r="T86" s="74" t="n">
        <f aca="false">C86-S86</f>
        <v>1504.26242099552</v>
      </c>
      <c r="U86" s="74" t="n">
        <f aca="false">0</f>
        <v>0</v>
      </c>
      <c r="V86" s="75" t="n">
        <f aca="false">'Champion funding'!P86</f>
        <v>209.138656118187</v>
      </c>
    </row>
    <row r="87" customFormat="false" ht="14.25" hidden="false" customHeight="false" outlineLevel="0" collapsed="false">
      <c r="A87" s="61" t="n">
        <v>1927</v>
      </c>
      <c r="B87" s="62" t="n">
        <v>0.035</v>
      </c>
      <c r="C87" s="56" t="n">
        <f aca="false">Economy!O87*B87</f>
        <v>1560.7307791676</v>
      </c>
      <c r="D87" s="56" t="n">
        <f aca="false">IF(AND($A87&gt;=1914,$A87&lt;=1918),entente_total*entente_private*CHOOSE($A87-1913,0.05,0.1333,0.2333,0.3,0.2834),0)</f>
        <v>0</v>
      </c>
      <c r="E87" s="56" t="n">
        <f aca="false">H86</f>
        <v>13692.6647763698</v>
      </c>
      <c r="F87" s="56" t="n">
        <f aca="false">(E87-0-'War credit'!Q87)*abroad_repat+'Japan rescue'!N89+'War credit'!R87</f>
        <v>377.861752233002</v>
      </c>
      <c r="G87" s="56" t="n">
        <f aca="false">'War credit'!S87+IF(OR(A87=1931,A87=1932),(E87-0-'War credit'!Q87)*abroad_loss/2,0)</f>
        <v>0</v>
      </c>
      <c r="H87" s="56" t="n">
        <f aca="false">E87+C87+D87-F87-G87</f>
        <v>14875.5338033044</v>
      </c>
      <c r="I87" s="72" t="n">
        <f aca="false">Champions!AY87</f>
        <v>9721.32496849471</v>
      </c>
      <c r="J87" s="56" t="n">
        <f aca="false">H87+I87</f>
        <v>24596.8587717991</v>
      </c>
      <c r="K87" s="56" t="n">
        <f aca="false">(E87-0-'War credit'!Q87)*abroad_return*IF(OR(A87=1931,A87=1932),abroad_slump,1)+'Japan rescue'!L89+'War credit'!U87</f>
        <v>768.702113565596</v>
      </c>
      <c r="L87" s="72" t="n">
        <f aca="false">Champions!AZ87</f>
        <v>934.333500490859</v>
      </c>
      <c r="M87" s="56" t="n">
        <f aca="false">K87+L87</f>
        <v>1703.03561405645</v>
      </c>
      <c r="N87" s="56" t="n">
        <f aca="false">M87*abroad_tax</f>
        <v>170.303561405645</v>
      </c>
      <c r="O87" s="72" t="n">
        <f aca="false">Labour!R87</f>
        <v>413.997679851311</v>
      </c>
      <c r="P87" s="50" t="n">
        <f aca="false">Economy!O87+M87-O87-V87</f>
        <v>45650.4960759095</v>
      </c>
      <c r="Q87" s="66" t="n">
        <f aca="false">M87/P87</f>
        <v>0.0373059607331447</v>
      </c>
      <c r="R87" s="66" t="n">
        <f aca="false">J87/Economy!O87</f>
        <v>0.551594207344406</v>
      </c>
      <c r="S87" s="74" t="n">
        <f aca="false">'Japan rescue'!E89</f>
        <v>331.240823011965</v>
      </c>
      <c r="T87" s="74" t="n">
        <f aca="false">C87-S87</f>
        <v>1229.48995615563</v>
      </c>
      <c r="U87" s="74" t="n">
        <f aca="false">'Japan rescue'!M89</f>
        <v>331.240823011965</v>
      </c>
      <c r="V87" s="75" t="n">
        <f aca="false">'Champion funding'!P87</f>
        <v>230.849834512771</v>
      </c>
    </row>
    <row r="88" customFormat="false" ht="14.25" hidden="false" customHeight="false" outlineLevel="0" collapsed="false">
      <c r="A88" s="61" t="n">
        <v>1928</v>
      </c>
      <c r="B88" s="62" t="n">
        <v>0.035</v>
      </c>
      <c r="C88" s="56" t="n">
        <f aca="false">Economy!O88*B88</f>
        <v>1674.99183051693</v>
      </c>
      <c r="D88" s="56" t="n">
        <f aca="false">IF(AND($A88&gt;=1914,$A88&lt;=1918),entente_total*entente_private*CHOOSE($A88-1913,0.05,0.1333,0.2333,0.3,0.2834),0)</f>
        <v>0</v>
      </c>
      <c r="E88" s="56" t="n">
        <f aca="false">H87</f>
        <v>14875.5338033044</v>
      </c>
      <c r="F88" s="56" t="n">
        <f aca="false">(E88-'Japan rescue'!M89-'War credit'!Q88)*abroad_repat+'Japan rescue'!N90+'War credit'!R88</f>
        <v>403.93728940761</v>
      </c>
      <c r="G88" s="56" t="n">
        <f aca="false">'War credit'!S88+IF(OR(A88=1931,A88=1932),(E88-'Japan rescue'!M89-'War credit'!Q88)*abroad_loss/2,0)</f>
        <v>0</v>
      </c>
      <c r="H88" s="56" t="n">
        <f aca="false">E88+C88+D88-F88-G88</f>
        <v>16146.5883444137</v>
      </c>
      <c r="I88" s="72" t="n">
        <f aca="false">Champions!AY88</f>
        <v>10629.3231818886</v>
      </c>
      <c r="J88" s="56" t="n">
        <f aca="false">H88+I88</f>
        <v>26775.9115263023</v>
      </c>
      <c r="K88" s="56" t="n">
        <f aca="false">(E88-'Japan rescue'!M89-'War credit'!Q88)*abroad_return*IF(OR(A88=1931,A88=1932),abroad_slump,1)+'Japan rescue'!L90+'War credit'!U88</f>
        <v>828.406502652389</v>
      </c>
      <c r="L88" s="72" t="n">
        <f aca="false">Champions!AZ88</f>
        <v>1025.88251029555</v>
      </c>
      <c r="M88" s="56" t="n">
        <f aca="false">K88+L88</f>
        <v>1854.28901294794</v>
      </c>
      <c r="N88" s="56" t="n">
        <f aca="false">M88*abroad_tax</f>
        <v>185.428901294794</v>
      </c>
      <c r="O88" s="72" t="n">
        <f aca="false">Labour!R88</f>
        <v>451.792102897593</v>
      </c>
      <c r="P88" s="50" t="n">
        <f aca="false">Economy!O88+M88-O88-V88</f>
        <v>49001.2881888522</v>
      </c>
      <c r="Q88" s="66" t="n">
        <f aca="false">M88/P88</f>
        <v>0.0378416380769718</v>
      </c>
      <c r="R88" s="66" t="n">
        <f aca="false">J88/Economy!O88</f>
        <v>0.559499387606778</v>
      </c>
      <c r="S88" s="74" t="n">
        <f aca="false">'Japan rescue'!E90</f>
        <v>0</v>
      </c>
      <c r="T88" s="74" t="n">
        <f aca="false">C88-S88</f>
        <v>1674.99183051693</v>
      </c>
      <c r="U88" s="74" t="n">
        <f aca="false">'Japan rescue'!M90</f>
        <v>331.240823011965</v>
      </c>
      <c r="V88" s="75" t="n">
        <f aca="false">'Champion funding'!P88</f>
        <v>258.118164539033</v>
      </c>
    </row>
    <row r="89" customFormat="false" ht="14.25" hidden="false" customHeight="false" outlineLevel="0" collapsed="false">
      <c r="A89" s="61" t="n">
        <v>1929</v>
      </c>
      <c r="B89" s="62" t="n">
        <v>0.035</v>
      </c>
      <c r="C89" s="56" t="n">
        <f aca="false">Economy!O89*B89</f>
        <v>1777.34650621436</v>
      </c>
      <c r="D89" s="56" t="n">
        <f aca="false">IF(AND($A89&gt;=1914,$A89&lt;=1918),entente_total*entente_private*CHOOSE($A89-1913,0.05,0.1333,0.2333,0.3,0.2834),0)</f>
        <v>0</v>
      </c>
      <c r="E89" s="56" t="n">
        <f aca="false">H88</f>
        <v>16146.5883444137</v>
      </c>
      <c r="F89" s="56" t="n">
        <f aca="false">(E89-'Japan rescue'!M90-'War credit'!Q89)*abroad_repat+'Japan rescue'!N91+'War credit'!R89</f>
        <v>508.835354243301</v>
      </c>
      <c r="G89" s="56" t="n">
        <f aca="false">'War credit'!S89+IF(OR(A89=1931,A89=1932),(E89-'Japan rescue'!M90-'War credit'!Q89)*abroad_loss/2,0)</f>
        <v>0</v>
      </c>
      <c r="H89" s="56" t="n">
        <f aca="false">E89+C89+D89-F89-G89</f>
        <v>17415.0994963848</v>
      </c>
      <c r="I89" s="72" t="n">
        <f aca="false">Champions!AY89</f>
        <v>11554.8095474134</v>
      </c>
      <c r="J89" s="56" t="n">
        <f aca="false">H89+I89</f>
        <v>28969.9090437981</v>
      </c>
      <c r="K89" s="56" t="n">
        <f aca="false">(E89-'Japan rescue'!M90-'War credit'!Q89)*abroad_return*IF(OR(A89=1931,A89=1932),abroad_slump,1)+'Japan rescue'!L91+'War credit'!U89</f>
        <v>905.669284261842</v>
      </c>
      <c r="L89" s="72" t="n">
        <f aca="false">Champions!AZ89</f>
        <v>1118.95457143802</v>
      </c>
      <c r="M89" s="56" t="n">
        <f aca="false">K89+L89</f>
        <v>2024.62385569987</v>
      </c>
      <c r="N89" s="56" t="n">
        <f aca="false">M89*abroad_tax</f>
        <v>202.462385569987</v>
      </c>
      <c r="O89" s="72" t="n">
        <f aca="false">Labour!R89</f>
        <v>484.370861472436</v>
      </c>
      <c r="P89" s="50" t="n">
        <f aca="false">Economy!O89+M89-O89-V89</f>
        <v>52038.9633158683</v>
      </c>
      <c r="Q89" s="66" t="n">
        <f aca="false">M89/P89</f>
        <v>0.0389059221531897</v>
      </c>
      <c r="R89" s="66" t="n">
        <f aca="false">J89/Economy!O89</f>
        <v>0.570483478031855</v>
      </c>
      <c r="S89" s="74" t="n">
        <f aca="false">'Japan rescue'!E91</f>
        <v>0</v>
      </c>
      <c r="T89" s="74" t="n">
        <f aca="false">C89-S89</f>
        <v>1777.34650621436</v>
      </c>
      <c r="U89" s="74" t="n">
        <f aca="false">'Japan rescue'!M91</f>
        <v>264.992658409572</v>
      </c>
      <c r="V89" s="75" t="n">
        <f aca="false">'Champion funding'!P89</f>
        <v>282.618427340842</v>
      </c>
    </row>
    <row r="90" customFormat="false" ht="14.25" hidden="false" customHeight="false" outlineLevel="0" collapsed="false">
      <c r="A90" s="61" t="n">
        <v>1930</v>
      </c>
      <c r="B90" s="62" t="n">
        <v>0.005</v>
      </c>
      <c r="C90" s="56" t="n">
        <f aca="false">Economy!O90*B90</f>
        <v>238.066066279593</v>
      </c>
      <c r="D90" s="56" t="n">
        <f aca="false">IF(AND($A90&gt;=1914,$A90&lt;=1918),entente_total*entente_private*CHOOSE($A90-1913,0.05,0.1333,0.2333,0.3,0.2834),0)</f>
        <v>0</v>
      </c>
      <c r="E90" s="56" t="n">
        <f aca="false">H89</f>
        <v>17415.0994963848</v>
      </c>
      <c r="F90" s="56" t="n">
        <f aca="false">(E90-'Japan rescue'!M91-'War credit'!Q90)*abroad_repat+'Japan rescue'!N92+'War credit'!R90</f>
        <v>549.388105516523</v>
      </c>
      <c r="G90" s="56" t="n">
        <f aca="false">'War credit'!S90+IF(OR(A90=1931,A90=1932),(E90-'Japan rescue'!M91-'War credit'!Q90)*abroad_loss/2,0)</f>
        <v>0</v>
      </c>
      <c r="H90" s="56" t="n">
        <f aca="false">E90+C90+D90-F90-G90</f>
        <v>17103.7774571478</v>
      </c>
      <c r="I90" s="72" t="n">
        <f aca="false">Champions!AY90</f>
        <v>10938.0510691982</v>
      </c>
      <c r="J90" s="56" t="n">
        <f aca="false">H90+I90</f>
        <v>28041.828526346</v>
      </c>
      <c r="K90" s="56" t="n">
        <f aca="false">(E90-'Japan rescue'!M91-'War credit'!Q90)*abroad_return*IF(OR(A90=1931,A90=1932),abroad_slump,1)+'Japan rescue'!L92+'War credit'!U90</f>
        <v>983.094711199724</v>
      </c>
      <c r="L90" s="72" t="n">
        <f aca="false">Champions!AZ90</f>
        <v>1029.44466114237</v>
      </c>
      <c r="M90" s="56" t="n">
        <f aca="false">K90+L90</f>
        <v>2012.53937234209</v>
      </c>
      <c r="N90" s="56" t="n">
        <f aca="false">M90*abroad_tax</f>
        <v>201.253937234209</v>
      </c>
      <c r="O90" s="72" t="n">
        <f aca="false">Labour!R90</f>
        <v>421.317986951721</v>
      </c>
      <c r="P90" s="50" t="n">
        <f aca="false">Economy!O90+M90-O90-V90</f>
        <v>48905.3854053008</v>
      </c>
      <c r="Q90" s="66" t="n">
        <f aca="false">M90/P90</f>
        <v>0.0411516923067527</v>
      </c>
      <c r="R90" s="66" t="n">
        <f aca="false">J90/Economy!O90</f>
        <v>0.588950558233125</v>
      </c>
      <c r="S90" s="74" t="n">
        <f aca="false">'Japan rescue'!E92</f>
        <v>0</v>
      </c>
      <c r="T90" s="74" t="n">
        <f aca="false">C90-S90</f>
        <v>238.066066279593</v>
      </c>
      <c r="U90" s="74" t="n">
        <f aca="false">'Japan rescue'!M92</f>
        <v>198.744493807179</v>
      </c>
      <c r="V90" s="75" t="n">
        <f aca="false">'Champion funding'!P90</f>
        <v>299.049236008105</v>
      </c>
    </row>
    <row r="91" customFormat="false" ht="14.25" hidden="false" customHeight="false" outlineLevel="0" collapsed="false">
      <c r="A91" s="61" t="n">
        <v>1931</v>
      </c>
      <c r="B91" s="62" t="n">
        <v>0.005</v>
      </c>
      <c r="C91" s="56" t="n">
        <f aca="false">Economy!O91*B91</f>
        <v>214.770269571028</v>
      </c>
      <c r="D91" s="56" t="n">
        <f aca="false">IF(AND($A91&gt;=1914,$A91&lt;=1918),entente_total*entente_private*CHOOSE($A91-1913,0.05,0.1333,0.2333,0.3,0.2834),0)</f>
        <v>0</v>
      </c>
      <c r="E91" s="56" t="n">
        <f aca="false">H90</f>
        <v>17103.7774571478</v>
      </c>
      <c r="F91" s="56" t="n">
        <f aca="false">(E91-'Japan rescue'!M92-'War credit'!Q91)*abroad_repat+'Japan rescue'!N93+'War credit'!R91</f>
        <v>507.267470650776</v>
      </c>
      <c r="G91" s="56" t="n">
        <f aca="false">'War credit'!S91+IF(OR(A91=1931,A91=1932),(E91-'Japan rescue'!M92-'War credit'!Q91)*abroad_loss/2,0)</f>
        <v>588.025741397844</v>
      </c>
      <c r="H91" s="56" t="n">
        <f aca="false">E91+C91+D91-F91-G91</f>
        <v>16223.2545146702</v>
      </c>
      <c r="I91" s="72" t="n">
        <f aca="false">Champions!AY91</f>
        <v>10334.6429678001</v>
      </c>
      <c r="J91" s="56" t="n">
        <f aca="false">H91+I91</f>
        <v>26557.8974824704</v>
      </c>
      <c r="K91" s="56" t="n">
        <f aca="false">(E91-'Japan rescue'!M92-'War credit'!Q91)*abroad_return*IF(OR(A91=1931,A91=1932),abroad_slump,1)+'Japan rescue'!L93+'War credit'!U91</f>
        <v>628.357975627131</v>
      </c>
      <c r="L91" s="72" t="n">
        <f aca="false">Champions!AZ91</f>
        <v>776.234659528482</v>
      </c>
      <c r="M91" s="56" t="n">
        <f aca="false">K91+L91</f>
        <v>1404.59263515561</v>
      </c>
      <c r="N91" s="56" t="n">
        <f aca="false">M91*abroad_tax</f>
        <v>140.459263515561</v>
      </c>
      <c r="O91" s="72" t="n">
        <f aca="false">Labour!R91</f>
        <v>330.752183583724</v>
      </c>
      <c r="P91" s="50" t="n">
        <f aca="false">Economy!O91+M91-O91-V91</f>
        <v>43776.3180855221</v>
      </c>
      <c r="Q91" s="66" t="n">
        <f aca="false">M91/P91</f>
        <v>0.0320856731809098</v>
      </c>
      <c r="R91" s="66" t="n">
        <f aca="false">J91/Economy!O91</f>
        <v>0.61828617004383</v>
      </c>
      <c r="S91" s="74" t="n">
        <f aca="false">'Japan rescue'!E93</f>
        <v>0</v>
      </c>
      <c r="T91" s="74" t="n">
        <f aca="false">C91-S91</f>
        <v>214.770269571028</v>
      </c>
      <c r="U91" s="74" t="n">
        <f aca="false">'Japan rescue'!M93</f>
        <v>132.496329204786</v>
      </c>
      <c r="V91" s="75" t="n">
        <f aca="false">'Champion funding'!P91</f>
        <v>251.576280255409</v>
      </c>
    </row>
    <row r="92" customFormat="false" ht="14.25" hidden="false" customHeight="false" outlineLevel="0" collapsed="false">
      <c r="A92" s="61" t="n">
        <v>1932</v>
      </c>
      <c r="B92" s="62" t="n">
        <v>0.005</v>
      </c>
      <c r="C92" s="56" t="n">
        <f aca="false">Economy!O92*B92</f>
        <v>197.476666954187</v>
      </c>
      <c r="D92" s="56" t="n">
        <f aca="false">IF(AND($A92&gt;=1914,$A92&lt;=1918),entente_total*entente_private*CHOOSE($A92-1913,0.05,0.1333,0.2333,0.3,0.2834),0)</f>
        <v>0</v>
      </c>
      <c r="E92" s="56" t="n">
        <f aca="false">H91</f>
        <v>16223.2545146702</v>
      </c>
      <c r="F92" s="56" t="n">
        <f aca="false">(E92-'Japan rescue'!M93-'War credit'!Q92)*abroad_repat+'Japan rescue'!N94+'War credit'!R92</f>
        <v>482.83922731452</v>
      </c>
      <c r="G92" s="56" t="n">
        <f aca="false">'War credit'!S92+IF(OR(A92=1931,A92=1932),(E92-'Japan rescue'!M93-'War credit'!Q92)*abroad_loss/2,0)</f>
        <v>555.454750282836</v>
      </c>
      <c r="H92" s="56" t="n">
        <f aca="false">E92+C92+D92-F92-G92</f>
        <v>15382.4372040271</v>
      </c>
      <c r="I92" s="72" t="n">
        <f aca="false">Champions!AY92</f>
        <v>9700.11453319547</v>
      </c>
      <c r="J92" s="56" t="n">
        <f aca="false">H92+I92</f>
        <v>25082.5517372225</v>
      </c>
      <c r="K92" s="56" t="n">
        <f aca="false">(E92-'Japan rescue'!M93-'War credit'!Q92)*abroad_return*IF(OR(A92=1931,A92=1932),abroad_slump,1)+'Japan rescue'!L94+'War credit'!U92</f>
        <v>590.514785903241</v>
      </c>
      <c r="L92" s="72" t="n">
        <f aca="false">Champions!AZ92</f>
        <v>687.966769261032</v>
      </c>
      <c r="M92" s="56" t="n">
        <f aca="false">K92+L92</f>
        <v>1278.48155516427</v>
      </c>
      <c r="N92" s="56" t="n">
        <f aca="false">M92*abroad_tax</f>
        <v>127.848155516427</v>
      </c>
      <c r="O92" s="72" t="n">
        <f aca="false">Labour!R92</f>
        <v>264.462175034072</v>
      </c>
      <c r="P92" s="50" t="n">
        <f aca="false">Economy!O92+M92-O92-V92</f>
        <v>40269.7939764383</v>
      </c>
      <c r="Q92" s="66" t="n">
        <f aca="false">M92/P92</f>
        <v>0.031747904047195</v>
      </c>
      <c r="R92" s="66" t="n">
        <f aca="false">J92/Economy!O92</f>
        <v>0.635076338994558</v>
      </c>
      <c r="S92" s="74" t="n">
        <f aca="false">'Japan rescue'!E94</f>
        <v>0</v>
      </c>
      <c r="T92" s="74" t="n">
        <f aca="false">C92-S92</f>
        <v>197.476666954187</v>
      </c>
      <c r="U92" s="74" t="n">
        <f aca="false">'Japan rescue'!M94</f>
        <v>66.248164602393</v>
      </c>
      <c r="V92" s="75" t="n">
        <f aca="false">'Champion funding'!P92</f>
        <v>239.558794529319</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55" hidden="false" customHeight="false" outlineLevel="0" collapsed="false">
      <c r="A1" s="19" t="s">
        <v>1394</v>
      </c>
    </row>
    <row r="2" customFormat="false" ht="14.25" hidden="false" customHeight="false" outlineLevel="0" collapsed="false">
      <c r="A2" s="3" t="s">
        <v>1395</v>
      </c>
    </row>
    <row r="3" customFormat="false" ht="14.25" hidden="false" customHeight="false" outlineLevel="0" collapsed="false">
      <c r="A3" s="20" t="s">
        <v>1166</v>
      </c>
    </row>
    <row r="4" customFormat="false" ht="14.25" hidden="false" customHeight="false" outlineLevel="0" collapsed="false">
      <c r="B4" s="58" t="s">
        <v>1396</v>
      </c>
      <c r="C4" s="58"/>
      <c r="D4" s="58"/>
      <c r="E4" s="58"/>
      <c r="F4" s="58"/>
      <c r="G4" s="58"/>
      <c r="H4" s="58"/>
      <c r="I4" s="58"/>
      <c r="J4" s="58" t="s">
        <v>1397</v>
      </c>
      <c r="K4" s="58"/>
      <c r="L4" s="58"/>
      <c r="M4" s="58"/>
      <c r="N4" s="58"/>
      <c r="O4" s="58"/>
      <c r="P4" s="58"/>
      <c r="Q4" s="58"/>
      <c r="R4" s="58" t="s">
        <v>1398</v>
      </c>
      <c r="S4" s="58"/>
      <c r="T4" s="58"/>
      <c r="U4" s="58" t="s">
        <v>1399</v>
      </c>
      <c r="V4" s="58"/>
      <c r="W4" s="58"/>
      <c r="X4" s="58" t="s">
        <v>1400</v>
      </c>
      <c r="Y4" s="58"/>
      <c r="Z4" s="58"/>
      <c r="AA4" s="58"/>
      <c r="AB4" s="58"/>
      <c r="AC4" s="58" t="s">
        <v>1401</v>
      </c>
      <c r="AD4" s="58"/>
      <c r="AE4" s="58"/>
      <c r="AF4" s="58"/>
      <c r="AG4" s="58"/>
      <c r="AH4" s="58" t="s">
        <v>1402</v>
      </c>
      <c r="AI4" s="58"/>
      <c r="AJ4" s="58"/>
      <c r="AK4" s="58"/>
      <c r="AL4" s="58"/>
      <c r="AM4" s="58"/>
      <c r="AN4" s="58"/>
      <c r="AO4" s="58"/>
      <c r="AP4" s="58" t="s">
        <v>1403</v>
      </c>
      <c r="AQ4" s="58"/>
      <c r="AR4" s="58"/>
      <c r="AS4" s="58" t="s">
        <v>1404</v>
      </c>
      <c r="AT4" s="58"/>
      <c r="AU4" s="58"/>
      <c r="AV4" s="58"/>
      <c r="AW4" s="58"/>
      <c r="AX4" s="58"/>
      <c r="AY4" s="58"/>
      <c r="AZ4" s="59" t="s">
        <v>1405</v>
      </c>
      <c r="BA4" s="58" t="s">
        <v>1406</v>
      </c>
      <c r="BB4" s="58"/>
      <c r="BC4" s="58"/>
      <c r="BD4" s="58"/>
      <c r="BE4" s="58"/>
    </row>
    <row r="5" customFormat="false" ht="54" hidden="false" customHeight="true" outlineLevel="0" collapsed="false">
      <c r="A5" s="60" t="s">
        <v>103</v>
      </c>
      <c r="B5" s="7" t="s">
        <v>1407</v>
      </c>
      <c r="C5" s="7" t="s">
        <v>1408</v>
      </c>
      <c r="D5" s="7" t="s">
        <v>1409</v>
      </c>
      <c r="E5" s="7" t="s">
        <v>1410</v>
      </c>
      <c r="F5" s="7" t="s">
        <v>1411</v>
      </c>
      <c r="G5" s="7" t="s">
        <v>1412</v>
      </c>
      <c r="H5" s="7" t="s">
        <v>1413</v>
      </c>
      <c r="I5" s="7" t="s">
        <v>17</v>
      </c>
      <c r="J5" s="7" t="s">
        <v>1414</v>
      </c>
      <c r="K5" s="7" t="s">
        <v>1415</v>
      </c>
      <c r="L5" s="7" t="s">
        <v>1416</v>
      </c>
      <c r="M5" s="7" t="s">
        <v>1417</v>
      </c>
      <c r="N5" s="7" t="s">
        <v>1418</v>
      </c>
      <c r="O5" s="7" t="s">
        <v>1419</v>
      </c>
      <c r="P5" s="7" t="s">
        <v>1420</v>
      </c>
      <c r="Q5" s="7" t="s">
        <v>1421</v>
      </c>
      <c r="R5" s="7" t="s">
        <v>1422</v>
      </c>
      <c r="S5" s="7" t="s">
        <v>1423</v>
      </c>
      <c r="T5" s="7" t="s">
        <v>1424</v>
      </c>
      <c r="U5" s="7" t="s">
        <v>1425</v>
      </c>
      <c r="V5" s="7" t="s">
        <v>1426</v>
      </c>
      <c r="W5" s="7" t="s">
        <v>1427</v>
      </c>
      <c r="X5" s="7" t="s">
        <v>1428</v>
      </c>
      <c r="Y5" s="7" t="s">
        <v>1429</v>
      </c>
      <c r="Z5" s="7" t="s">
        <v>1430</v>
      </c>
      <c r="AA5" s="7" t="s">
        <v>1431</v>
      </c>
      <c r="AB5" s="7" t="s">
        <v>1432</v>
      </c>
      <c r="AC5" s="7" t="s">
        <v>1433</v>
      </c>
      <c r="AD5" s="7" t="s">
        <v>1434</v>
      </c>
      <c r="AE5" s="7" t="s">
        <v>1435</v>
      </c>
      <c r="AF5" s="7" t="s">
        <v>1436</v>
      </c>
      <c r="AG5" s="7" t="s">
        <v>1437</v>
      </c>
      <c r="AH5" s="7" t="s">
        <v>1438</v>
      </c>
      <c r="AI5" s="7" t="s">
        <v>1439</v>
      </c>
      <c r="AJ5" s="7" t="s">
        <v>1440</v>
      </c>
      <c r="AK5" s="7" t="s">
        <v>1441</v>
      </c>
      <c r="AL5" s="7" t="s">
        <v>1442</v>
      </c>
      <c r="AM5" s="7" t="s">
        <v>1443</v>
      </c>
      <c r="AN5" s="7" t="s">
        <v>1444</v>
      </c>
      <c r="AO5" s="7" t="s">
        <v>1445</v>
      </c>
      <c r="AP5" s="7" t="s">
        <v>1446</v>
      </c>
      <c r="AQ5" s="7" t="s">
        <v>1447</v>
      </c>
      <c r="AR5" s="7" t="s">
        <v>1448</v>
      </c>
      <c r="AS5" s="7" t="s">
        <v>1449</v>
      </c>
      <c r="AT5" s="7" t="s">
        <v>1450</v>
      </c>
      <c r="AU5" s="7" t="s">
        <v>1451</v>
      </c>
      <c r="AV5" s="7" t="s">
        <v>1452</v>
      </c>
      <c r="AW5" s="7" t="s">
        <v>1453</v>
      </c>
      <c r="AX5" s="7" t="s">
        <v>1454</v>
      </c>
      <c r="AY5" s="7" t="s">
        <v>16</v>
      </c>
      <c r="AZ5" s="7" t="s">
        <v>1455</v>
      </c>
      <c r="BA5" s="7" t="s">
        <v>1456</v>
      </c>
      <c r="BB5" s="7" t="s">
        <v>1457</v>
      </c>
      <c r="BC5" s="7" t="s">
        <v>1458</v>
      </c>
      <c r="BD5" s="7" t="s">
        <v>1459</v>
      </c>
      <c r="BE5" s="7" t="s">
        <v>1460</v>
      </c>
    </row>
    <row r="6" customFormat="false" ht="14.25" hidden="false" customHeight="false" outlineLevel="0" collapsed="false">
      <c r="A6" s="61" t="n">
        <v>1846</v>
      </c>
      <c r="B6" s="68" t="n">
        <f aca="false">champ_scale*(1+Labour!AP6)*(1+Partners!BX6)*(1-IF(union_resp=2,tariff_cut*Labour!S6,0))</f>
        <v>1</v>
      </c>
      <c r="C6" s="48" t="n">
        <v>0</v>
      </c>
      <c r="D6" s="48" t="n">
        <v>0</v>
      </c>
      <c r="E6" s="48" t="n">
        <v>0</v>
      </c>
      <c r="F6" s="50" t="n">
        <f aca="false">E6*B6</f>
        <v>0</v>
      </c>
      <c r="G6" s="50" t="n">
        <f aca="false">F6/Economy!B6*1000000</f>
        <v>0</v>
      </c>
      <c r="H6" s="48" t="n">
        <v>0</v>
      </c>
      <c r="I6" s="70" t="n">
        <f aca="false">IF(H6&gt;0,G6/H6,0)</f>
        <v>0</v>
      </c>
      <c r="J6" s="71" t="n">
        <v>0</v>
      </c>
      <c r="K6" s="56" t="n">
        <f aca="false">Resources!K6*J6*B6</f>
        <v>0</v>
      </c>
      <c r="L6" s="48" t="n">
        <v>0</v>
      </c>
      <c r="M6" s="62" t="n">
        <v>0</v>
      </c>
      <c r="N6" s="48" t="n">
        <v>0</v>
      </c>
      <c r="O6" s="71" t="n">
        <v>0</v>
      </c>
      <c r="P6" s="56" t="n">
        <f aca="false">(IF(Gulf!E6=1,0,L6*M6)+N6)*O6*B6</f>
        <v>0</v>
      </c>
      <c r="Q6" s="56" t="n">
        <f aca="false">P6*oil_book</f>
        <v>0</v>
      </c>
      <c r="R6" s="71" t="n">
        <v>0</v>
      </c>
      <c r="S6" s="48" t="n">
        <v>0</v>
      </c>
      <c r="T6" s="56" t="n">
        <f aca="false">R6*S6*B6</f>
        <v>0</v>
      </c>
      <c r="U6" s="48" t="n">
        <v>0</v>
      </c>
      <c r="V6" s="48" t="n">
        <v>0</v>
      </c>
      <c r="W6" s="56" t="n">
        <f aca="false">U6/1000*V6*B6</f>
        <v>0</v>
      </c>
      <c r="X6" s="48" t="n">
        <v>0</v>
      </c>
      <c r="Y6" s="62" t="n">
        <v>0</v>
      </c>
      <c r="Z6" s="56" t="n">
        <f aca="false">X6*Y6*chem_va*B6</f>
        <v>0</v>
      </c>
      <c r="AA6" s="62" t="n">
        <v>0</v>
      </c>
      <c r="AB6" s="56" t="n">
        <f aca="false">X6*AA6*roy_rate*B6*(1-IF(union_resp=2,lic_cut*Labour!S6,0))</f>
        <v>0</v>
      </c>
      <c r="AC6" s="48"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8"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false" outlineLevel="0" collapsed="false">
      <c r="A7" s="61" t="n">
        <v>1847</v>
      </c>
      <c r="B7" s="68" t="n">
        <f aca="false">champ_scale*(1+Labour!AP7)*(1+Partners!BX7)*(1-IF(union_resp=2,tariff_cut*Labour!S7,0))</f>
        <v>1</v>
      </c>
      <c r="C7" s="48" t="n">
        <v>0</v>
      </c>
      <c r="D7" s="48" t="n">
        <v>0</v>
      </c>
      <c r="E7" s="48" t="n">
        <v>0</v>
      </c>
      <c r="F7" s="50" t="n">
        <f aca="false">E7*B7</f>
        <v>0</v>
      </c>
      <c r="G7" s="50" t="n">
        <f aca="false">F7/Economy!B7*1000000</f>
        <v>0</v>
      </c>
      <c r="H7" s="48" t="n">
        <v>0</v>
      </c>
      <c r="I7" s="70" t="n">
        <f aca="false">IF(H7&gt;0,G7/H7,0)</f>
        <v>0</v>
      </c>
      <c r="J7" s="71" t="n">
        <v>0</v>
      </c>
      <c r="K7" s="56" t="n">
        <f aca="false">Resources!K7*J7*B7</f>
        <v>0</v>
      </c>
      <c r="L7" s="48" t="n">
        <v>0</v>
      </c>
      <c r="M7" s="62" t="n">
        <v>0</v>
      </c>
      <c r="N7" s="48" t="n">
        <v>0</v>
      </c>
      <c r="O7" s="71" t="n">
        <v>0</v>
      </c>
      <c r="P7" s="56" t="n">
        <f aca="false">(IF(Gulf!E7=1,0,L7*M7)+N7)*O7*B7</f>
        <v>0</v>
      </c>
      <c r="Q7" s="56" t="n">
        <f aca="false">P7*oil_book</f>
        <v>0</v>
      </c>
      <c r="R7" s="71" t="n">
        <v>0</v>
      </c>
      <c r="S7" s="48" t="n">
        <v>0</v>
      </c>
      <c r="T7" s="56" t="n">
        <f aca="false">R7*S7*B7</f>
        <v>0</v>
      </c>
      <c r="U7" s="48" t="n">
        <v>0</v>
      </c>
      <c r="V7" s="48" t="n">
        <v>0</v>
      </c>
      <c r="W7" s="56" t="n">
        <f aca="false">U7/1000*V7*B7</f>
        <v>0</v>
      </c>
      <c r="X7" s="48" t="n">
        <v>0</v>
      </c>
      <c r="Y7" s="62" t="n">
        <v>0</v>
      </c>
      <c r="Z7" s="56" t="n">
        <f aca="false">X7*Y7*chem_va*B7</f>
        <v>0</v>
      </c>
      <c r="AA7" s="62" t="n">
        <v>0</v>
      </c>
      <c r="AB7" s="56" t="n">
        <f aca="false">X7*AA7*roy_rate*B7*(1-IF(union_resp=2,lic_cut*Labour!S7,0))</f>
        <v>0</v>
      </c>
      <c r="AC7" s="48"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8"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false" outlineLevel="0" collapsed="false">
      <c r="A8" s="61" t="n">
        <v>1848</v>
      </c>
      <c r="B8" s="68" t="n">
        <f aca="false">champ_scale*(1+Labour!AP8)*(1+Partners!BX8)*(1-IF(union_resp=2,tariff_cut*Labour!S8,0))</f>
        <v>1</v>
      </c>
      <c r="C8" s="48" t="n">
        <v>0</v>
      </c>
      <c r="D8" s="48" t="n">
        <v>0</v>
      </c>
      <c r="E8" s="48" t="n">
        <v>0</v>
      </c>
      <c r="F8" s="50" t="n">
        <f aca="false">E8*B8</f>
        <v>0</v>
      </c>
      <c r="G8" s="50" t="n">
        <f aca="false">F8/Economy!B8*1000000</f>
        <v>0</v>
      </c>
      <c r="H8" s="48" t="n">
        <v>0</v>
      </c>
      <c r="I8" s="70" t="n">
        <f aca="false">IF(H8&gt;0,G8/H8,0)</f>
        <v>0</v>
      </c>
      <c r="J8" s="71" t="n">
        <v>0</v>
      </c>
      <c r="K8" s="56" t="n">
        <f aca="false">Resources!K8*J8*B8</f>
        <v>0</v>
      </c>
      <c r="L8" s="48" t="n">
        <v>0</v>
      </c>
      <c r="M8" s="62" t="n">
        <v>0</v>
      </c>
      <c r="N8" s="48" t="n">
        <v>0</v>
      </c>
      <c r="O8" s="71" t="n">
        <v>0</v>
      </c>
      <c r="P8" s="56" t="n">
        <f aca="false">(IF(Gulf!E8=1,0,L8*M8)+N8)*O8*B8</f>
        <v>0</v>
      </c>
      <c r="Q8" s="56" t="n">
        <f aca="false">P8*oil_book</f>
        <v>0</v>
      </c>
      <c r="R8" s="71" t="n">
        <v>0</v>
      </c>
      <c r="S8" s="48" t="n">
        <v>0</v>
      </c>
      <c r="T8" s="56" t="n">
        <f aca="false">R8*S8*B8</f>
        <v>0</v>
      </c>
      <c r="U8" s="48" t="n">
        <v>0</v>
      </c>
      <c r="V8" s="48" t="n">
        <v>0</v>
      </c>
      <c r="W8" s="56" t="n">
        <f aca="false">U8/1000*V8*B8</f>
        <v>0</v>
      </c>
      <c r="X8" s="48" t="n">
        <v>0</v>
      </c>
      <c r="Y8" s="62" t="n">
        <v>0</v>
      </c>
      <c r="Z8" s="56" t="n">
        <f aca="false">X8*Y8*chem_va*B8</f>
        <v>0</v>
      </c>
      <c r="AA8" s="62" t="n">
        <v>0</v>
      </c>
      <c r="AB8" s="56" t="n">
        <f aca="false">X8*AA8*roy_rate*B8*(1-IF(union_resp=2,lic_cut*Labour!S8,0))</f>
        <v>0</v>
      </c>
      <c r="AC8" s="48"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8"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false" outlineLevel="0" collapsed="false">
      <c r="A9" s="61" t="n">
        <v>1849</v>
      </c>
      <c r="B9" s="68" t="n">
        <f aca="false">champ_scale*(1+Labour!AP9)*(1+Partners!BX9)*(1-IF(union_resp=2,tariff_cut*Labour!S9,0))</f>
        <v>1</v>
      </c>
      <c r="C9" s="48" t="n">
        <v>0</v>
      </c>
      <c r="D9" s="48" t="n">
        <v>0</v>
      </c>
      <c r="E9" s="48" t="n">
        <v>0</v>
      </c>
      <c r="F9" s="50" t="n">
        <f aca="false">E9*B9</f>
        <v>0</v>
      </c>
      <c r="G9" s="50" t="n">
        <f aca="false">F9/Economy!B9*1000000</f>
        <v>0</v>
      </c>
      <c r="H9" s="48" t="n">
        <v>0</v>
      </c>
      <c r="I9" s="70" t="n">
        <f aca="false">IF(H9&gt;0,G9/H9,0)</f>
        <v>0</v>
      </c>
      <c r="J9" s="71" t="n">
        <v>0</v>
      </c>
      <c r="K9" s="56" t="n">
        <f aca="false">Resources!K9*J9*B9</f>
        <v>0</v>
      </c>
      <c r="L9" s="48" t="n">
        <v>0</v>
      </c>
      <c r="M9" s="62" t="n">
        <v>0</v>
      </c>
      <c r="N9" s="48" t="n">
        <v>0</v>
      </c>
      <c r="O9" s="71" t="n">
        <v>0</v>
      </c>
      <c r="P9" s="56" t="n">
        <f aca="false">(IF(Gulf!E9=1,0,L9*M9)+N9)*O9*B9</f>
        <v>0</v>
      </c>
      <c r="Q9" s="56" t="n">
        <f aca="false">P9*oil_book</f>
        <v>0</v>
      </c>
      <c r="R9" s="71" t="n">
        <v>0</v>
      </c>
      <c r="S9" s="48" t="n">
        <v>0</v>
      </c>
      <c r="T9" s="56" t="n">
        <f aca="false">R9*S9*B9</f>
        <v>0</v>
      </c>
      <c r="U9" s="48" t="n">
        <v>0</v>
      </c>
      <c r="V9" s="48" t="n">
        <v>0</v>
      </c>
      <c r="W9" s="56" t="n">
        <f aca="false">U9/1000*V9*B9</f>
        <v>0</v>
      </c>
      <c r="X9" s="48" t="n">
        <v>0</v>
      </c>
      <c r="Y9" s="62" t="n">
        <v>0</v>
      </c>
      <c r="Z9" s="56" t="n">
        <f aca="false">X9*Y9*chem_va*B9</f>
        <v>0</v>
      </c>
      <c r="AA9" s="62" t="n">
        <v>0</v>
      </c>
      <c r="AB9" s="56" t="n">
        <f aca="false">X9*AA9*roy_rate*B9*(1-IF(union_resp=2,lic_cut*Labour!S9,0))</f>
        <v>0</v>
      </c>
      <c r="AC9" s="48"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8"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false" outlineLevel="0" collapsed="false">
      <c r="A10" s="61" t="n">
        <v>1850</v>
      </c>
      <c r="B10" s="68" t="n">
        <f aca="false">champ_scale*(1+Labour!AP10)*(1+Partners!BX10)*(1-IF(union_resp=2,tariff_cut*Labour!S10,0))</f>
        <v>1</v>
      </c>
      <c r="C10" s="48" t="n">
        <v>0</v>
      </c>
      <c r="D10" s="48" t="n">
        <v>0</v>
      </c>
      <c r="E10" s="48" t="n">
        <v>0</v>
      </c>
      <c r="F10" s="50" t="n">
        <f aca="false">E10*B10</f>
        <v>0</v>
      </c>
      <c r="G10" s="50" t="n">
        <f aca="false">F10/Economy!B10*1000000</f>
        <v>0</v>
      </c>
      <c r="H10" s="48" t="n">
        <v>0</v>
      </c>
      <c r="I10" s="70" t="n">
        <f aca="false">IF(H10&gt;0,G10/H10,0)</f>
        <v>0</v>
      </c>
      <c r="J10" s="71" t="n">
        <v>0</v>
      </c>
      <c r="K10" s="56" t="n">
        <f aca="false">Resources!K10*J10*B10</f>
        <v>0</v>
      </c>
      <c r="L10" s="48" t="n">
        <v>0</v>
      </c>
      <c r="M10" s="62" t="n">
        <v>0</v>
      </c>
      <c r="N10" s="48" t="n">
        <v>0</v>
      </c>
      <c r="O10" s="71" t="n">
        <v>0</v>
      </c>
      <c r="P10" s="56" t="n">
        <f aca="false">(IF(Gulf!E10=1,0,L10*M10)+N10)*O10*B10</f>
        <v>0</v>
      </c>
      <c r="Q10" s="56" t="n">
        <f aca="false">P10*oil_book</f>
        <v>0</v>
      </c>
      <c r="R10" s="71" t="n">
        <v>0</v>
      </c>
      <c r="S10" s="48" t="n">
        <v>0</v>
      </c>
      <c r="T10" s="56" t="n">
        <f aca="false">R10*S10*B10</f>
        <v>0</v>
      </c>
      <c r="U10" s="48" t="n">
        <v>0</v>
      </c>
      <c r="V10" s="48" t="n">
        <v>0</v>
      </c>
      <c r="W10" s="56" t="n">
        <f aca="false">U10/1000*V10*B10</f>
        <v>0</v>
      </c>
      <c r="X10" s="48" t="n">
        <v>0</v>
      </c>
      <c r="Y10" s="62" t="n">
        <v>0</v>
      </c>
      <c r="Z10" s="56" t="n">
        <f aca="false">X10*Y10*chem_va*B10</f>
        <v>0</v>
      </c>
      <c r="AA10" s="62" t="n">
        <v>0</v>
      </c>
      <c r="AB10" s="56" t="n">
        <f aca="false">X10*AA10*roy_rate*B10*(1-IF(union_resp=2,lic_cut*Labour!S10,0))</f>
        <v>0</v>
      </c>
      <c r="AC10" s="48"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8"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false" outlineLevel="0" collapsed="false">
      <c r="A11" s="61" t="n">
        <v>1851</v>
      </c>
      <c r="B11" s="68" t="n">
        <f aca="false">champ_scale*(1+Labour!AP11)*(1+Partners!BX11)*(1-IF(union_resp=2,tariff_cut*Labour!S11,0))</f>
        <v>1</v>
      </c>
      <c r="C11" s="48" t="n">
        <v>0</v>
      </c>
      <c r="D11" s="48" t="n">
        <v>0</v>
      </c>
      <c r="E11" s="48" t="n">
        <v>0</v>
      </c>
      <c r="F11" s="50" t="n">
        <f aca="false">E11*B11</f>
        <v>0</v>
      </c>
      <c r="G11" s="50" t="n">
        <f aca="false">F11/Economy!B11*1000000</f>
        <v>0</v>
      </c>
      <c r="H11" s="48" t="n">
        <v>0</v>
      </c>
      <c r="I11" s="70" t="n">
        <f aca="false">IF(H11&gt;0,G11/H11,0)</f>
        <v>0</v>
      </c>
      <c r="J11" s="71" t="n">
        <v>0</v>
      </c>
      <c r="K11" s="56" t="n">
        <f aca="false">Resources!K11*J11*B11</f>
        <v>0</v>
      </c>
      <c r="L11" s="48" t="n">
        <v>0</v>
      </c>
      <c r="M11" s="62" t="n">
        <v>0</v>
      </c>
      <c r="N11" s="48" t="n">
        <v>0</v>
      </c>
      <c r="O11" s="71" t="n">
        <v>0</v>
      </c>
      <c r="P11" s="56" t="n">
        <f aca="false">(IF(Gulf!E11=1,0,L11*M11)+N11)*O11*B11</f>
        <v>0</v>
      </c>
      <c r="Q11" s="56" t="n">
        <f aca="false">P11*oil_book</f>
        <v>0</v>
      </c>
      <c r="R11" s="71" t="n">
        <v>0</v>
      </c>
      <c r="S11" s="48" t="n">
        <v>0</v>
      </c>
      <c r="T11" s="56" t="n">
        <f aca="false">R11*S11*B11</f>
        <v>0</v>
      </c>
      <c r="U11" s="48" t="n">
        <v>0</v>
      </c>
      <c r="V11" s="48" t="n">
        <v>0</v>
      </c>
      <c r="W11" s="56" t="n">
        <f aca="false">U11/1000*V11*B11</f>
        <v>0</v>
      </c>
      <c r="X11" s="48" t="n">
        <v>0</v>
      </c>
      <c r="Y11" s="62" t="n">
        <v>0</v>
      </c>
      <c r="Z11" s="56" t="n">
        <f aca="false">X11*Y11*chem_va*B11</f>
        <v>0</v>
      </c>
      <c r="AA11" s="62" t="n">
        <v>0</v>
      </c>
      <c r="AB11" s="56" t="n">
        <f aca="false">X11*AA11*roy_rate*B11*(1-IF(union_resp=2,lic_cut*Labour!S11,0))</f>
        <v>0</v>
      </c>
      <c r="AC11" s="48"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8"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false" outlineLevel="0" collapsed="false">
      <c r="A12" s="61" t="n">
        <v>1852</v>
      </c>
      <c r="B12" s="68" t="n">
        <f aca="false">champ_scale*(1+Labour!AP12)*(1+Partners!BX12)*(1-IF(union_resp=2,tariff_cut*Labour!S12,0))</f>
        <v>1</v>
      </c>
      <c r="C12" s="48" t="n">
        <v>0</v>
      </c>
      <c r="D12" s="48" t="n">
        <v>0</v>
      </c>
      <c r="E12" s="48" t="n">
        <v>0</v>
      </c>
      <c r="F12" s="50" t="n">
        <f aca="false">E12*B12</f>
        <v>0</v>
      </c>
      <c r="G12" s="50" t="n">
        <f aca="false">F12/Economy!B12*1000000</f>
        <v>0</v>
      </c>
      <c r="H12" s="48" t="n">
        <v>0</v>
      </c>
      <c r="I12" s="70" t="n">
        <f aca="false">IF(H12&gt;0,G12/H12,0)</f>
        <v>0</v>
      </c>
      <c r="J12" s="71" t="n">
        <v>0</v>
      </c>
      <c r="K12" s="56" t="n">
        <f aca="false">Resources!K12*J12*B12</f>
        <v>0</v>
      </c>
      <c r="L12" s="48" t="n">
        <v>0</v>
      </c>
      <c r="M12" s="62" t="n">
        <v>0</v>
      </c>
      <c r="N12" s="48" t="n">
        <v>0</v>
      </c>
      <c r="O12" s="71" t="n">
        <v>0</v>
      </c>
      <c r="P12" s="56" t="n">
        <f aca="false">(IF(Gulf!E12=1,0,L12*M12)+N12)*O12*B12</f>
        <v>0</v>
      </c>
      <c r="Q12" s="56" t="n">
        <f aca="false">P12*oil_book</f>
        <v>0</v>
      </c>
      <c r="R12" s="71" t="n">
        <v>0</v>
      </c>
      <c r="S12" s="48" t="n">
        <v>0</v>
      </c>
      <c r="T12" s="56" t="n">
        <f aca="false">R12*S12*B12</f>
        <v>0</v>
      </c>
      <c r="U12" s="48" t="n">
        <v>0</v>
      </c>
      <c r="V12" s="48" t="n">
        <v>0</v>
      </c>
      <c r="W12" s="56" t="n">
        <f aca="false">U12/1000*V12*B12</f>
        <v>0</v>
      </c>
      <c r="X12" s="48" t="n">
        <v>0</v>
      </c>
      <c r="Y12" s="62" t="n">
        <v>0</v>
      </c>
      <c r="Z12" s="56" t="n">
        <f aca="false">X12*Y12*chem_va*B12</f>
        <v>0</v>
      </c>
      <c r="AA12" s="62" t="n">
        <v>0</v>
      </c>
      <c r="AB12" s="56" t="n">
        <f aca="false">X12*AA12*roy_rate*B12*(1-IF(union_resp=2,lic_cut*Labour!S12,0))</f>
        <v>0</v>
      </c>
      <c r="AC12" s="48"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8"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false" outlineLevel="0" collapsed="false">
      <c r="A13" s="61" t="n">
        <v>1853</v>
      </c>
      <c r="B13" s="68" t="n">
        <f aca="false">champ_scale*(1+Labour!AP13)*(1+Partners!BX13)*(1-IF(union_resp=2,tariff_cut*Labour!S13,0))</f>
        <v>1</v>
      </c>
      <c r="C13" s="48" t="n">
        <v>0</v>
      </c>
      <c r="D13" s="48" t="n">
        <v>0</v>
      </c>
      <c r="E13" s="48" t="n">
        <v>0</v>
      </c>
      <c r="F13" s="50" t="n">
        <f aca="false">E13*B13</f>
        <v>0</v>
      </c>
      <c r="G13" s="50" t="n">
        <f aca="false">F13/Economy!B13*1000000</f>
        <v>0</v>
      </c>
      <c r="H13" s="48" t="n">
        <v>0</v>
      </c>
      <c r="I13" s="70" t="n">
        <f aca="false">IF(H13&gt;0,G13/H13,0)</f>
        <v>0</v>
      </c>
      <c r="J13" s="71" t="n">
        <v>0</v>
      </c>
      <c r="K13" s="56" t="n">
        <f aca="false">Resources!K13*J13*B13</f>
        <v>0</v>
      </c>
      <c r="L13" s="48" t="n">
        <v>0</v>
      </c>
      <c r="M13" s="62" t="n">
        <v>0</v>
      </c>
      <c r="N13" s="48" t="n">
        <v>0</v>
      </c>
      <c r="O13" s="71" t="n">
        <v>0</v>
      </c>
      <c r="P13" s="56" t="n">
        <f aca="false">(IF(Gulf!E13=1,0,L13*M13)+N13)*O13*B13</f>
        <v>0</v>
      </c>
      <c r="Q13" s="56" t="n">
        <f aca="false">P13*oil_book</f>
        <v>0</v>
      </c>
      <c r="R13" s="71" t="n">
        <v>0</v>
      </c>
      <c r="S13" s="48" t="n">
        <v>0</v>
      </c>
      <c r="T13" s="56" t="n">
        <f aca="false">R13*S13*B13</f>
        <v>0</v>
      </c>
      <c r="U13" s="48" t="n">
        <v>0</v>
      </c>
      <c r="V13" s="48" t="n">
        <v>0</v>
      </c>
      <c r="W13" s="56" t="n">
        <f aca="false">U13/1000*V13*B13</f>
        <v>0</v>
      </c>
      <c r="X13" s="48" t="n">
        <v>0</v>
      </c>
      <c r="Y13" s="62" t="n">
        <v>0</v>
      </c>
      <c r="Z13" s="56" t="n">
        <f aca="false">X13*Y13*chem_va*B13</f>
        <v>0</v>
      </c>
      <c r="AA13" s="62" t="n">
        <v>0</v>
      </c>
      <c r="AB13" s="56" t="n">
        <f aca="false">X13*AA13*roy_rate*B13*(1-IF(union_resp=2,lic_cut*Labour!S13,0))</f>
        <v>0</v>
      </c>
      <c r="AC13" s="48"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8"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false" outlineLevel="0" collapsed="false">
      <c r="A14" s="61" t="n">
        <v>1854</v>
      </c>
      <c r="B14" s="68" t="n">
        <f aca="false">champ_scale*(1+Labour!AP14)*(1+Partners!BX14)*(1-IF(union_resp=2,tariff_cut*Labour!S14,0))</f>
        <v>1</v>
      </c>
      <c r="C14" s="48" t="n">
        <v>0</v>
      </c>
      <c r="D14" s="48" t="n">
        <v>0</v>
      </c>
      <c r="E14" s="48" t="n">
        <v>0</v>
      </c>
      <c r="F14" s="50" t="n">
        <f aca="false">E14*B14</f>
        <v>0</v>
      </c>
      <c r="G14" s="50" t="n">
        <f aca="false">F14/Economy!B14*1000000</f>
        <v>0</v>
      </c>
      <c r="H14" s="48" t="n">
        <v>0</v>
      </c>
      <c r="I14" s="70" t="n">
        <f aca="false">IF(H14&gt;0,G14/H14,0)</f>
        <v>0</v>
      </c>
      <c r="J14" s="71" t="n">
        <v>0</v>
      </c>
      <c r="K14" s="56" t="n">
        <f aca="false">Resources!K14*J14*B14</f>
        <v>0</v>
      </c>
      <c r="L14" s="48" t="n">
        <v>0</v>
      </c>
      <c r="M14" s="62" t="n">
        <v>0</v>
      </c>
      <c r="N14" s="48" t="n">
        <v>0</v>
      </c>
      <c r="O14" s="71" t="n">
        <v>0</v>
      </c>
      <c r="P14" s="56" t="n">
        <f aca="false">(IF(Gulf!E14=1,0,L14*M14)+N14)*O14*B14</f>
        <v>0</v>
      </c>
      <c r="Q14" s="56" t="n">
        <f aca="false">P14*oil_book</f>
        <v>0</v>
      </c>
      <c r="R14" s="71" t="n">
        <v>0</v>
      </c>
      <c r="S14" s="48" t="n">
        <v>0</v>
      </c>
      <c r="T14" s="56" t="n">
        <f aca="false">R14*S14*B14</f>
        <v>0</v>
      </c>
      <c r="U14" s="48" t="n">
        <v>0</v>
      </c>
      <c r="V14" s="48" t="n">
        <v>0</v>
      </c>
      <c r="W14" s="56" t="n">
        <f aca="false">U14/1000*V14*B14</f>
        <v>0</v>
      </c>
      <c r="X14" s="48" t="n">
        <v>0</v>
      </c>
      <c r="Y14" s="62" t="n">
        <v>0</v>
      </c>
      <c r="Z14" s="56" t="n">
        <f aca="false">X14*Y14*chem_va*B14</f>
        <v>0</v>
      </c>
      <c r="AA14" s="62" t="n">
        <v>0</v>
      </c>
      <c r="AB14" s="56" t="n">
        <f aca="false">X14*AA14*roy_rate*B14*(1-IF(union_resp=2,lic_cut*Labour!S14,0))</f>
        <v>0</v>
      </c>
      <c r="AC14" s="48"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8"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false" outlineLevel="0" collapsed="false">
      <c r="A15" s="61" t="n">
        <v>1855</v>
      </c>
      <c r="B15" s="68" t="n">
        <f aca="false">champ_scale*(1+Labour!AP15)*(1+Partners!BX15)*(1-IF(union_resp=2,tariff_cut*Labour!S15,0))</f>
        <v>1</v>
      </c>
      <c r="C15" s="48" t="n">
        <v>0</v>
      </c>
      <c r="D15" s="48" t="n">
        <v>0</v>
      </c>
      <c r="E15" s="48" t="n">
        <v>0</v>
      </c>
      <c r="F15" s="50" t="n">
        <f aca="false">E15*B15</f>
        <v>0</v>
      </c>
      <c r="G15" s="50" t="n">
        <f aca="false">F15/Economy!B15*1000000</f>
        <v>0</v>
      </c>
      <c r="H15" s="48" t="n">
        <v>0</v>
      </c>
      <c r="I15" s="70" t="n">
        <f aca="false">IF(H15&gt;0,G15/H15,0)</f>
        <v>0</v>
      </c>
      <c r="J15" s="71" t="n">
        <v>0</v>
      </c>
      <c r="K15" s="56" t="n">
        <f aca="false">Resources!K15*J15*B15</f>
        <v>0</v>
      </c>
      <c r="L15" s="48" t="n">
        <v>0</v>
      </c>
      <c r="M15" s="62" t="n">
        <v>0</v>
      </c>
      <c r="N15" s="48" t="n">
        <v>0</v>
      </c>
      <c r="O15" s="71" t="n">
        <v>0</v>
      </c>
      <c r="P15" s="56" t="n">
        <f aca="false">(IF(Gulf!E15=1,0,L15*M15)+N15)*O15*B15</f>
        <v>0</v>
      </c>
      <c r="Q15" s="56" t="n">
        <f aca="false">P15*oil_book</f>
        <v>0</v>
      </c>
      <c r="R15" s="71" t="n">
        <v>0</v>
      </c>
      <c r="S15" s="48" t="n">
        <v>0</v>
      </c>
      <c r="T15" s="56" t="n">
        <f aca="false">R15*S15*B15</f>
        <v>0</v>
      </c>
      <c r="U15" s="48" t="n">
        <v>0</v>
      </c>
      <c r="V15" s="48" t="n">
        <v>0</v>
      </c>
      <c r="W15" s="56" t="n">
        <f aca="false">U15/1000*V15*B15</f>
        <v>0</v>
      </c>
      <c r="X15" s="48" t="n">
        <v>0</v>
      </c>
      <c r="Y15" s="62" t="n">
        <v>0</v>
      </c>
      <c r="Z15" s="56" t="n">
        <f aca="false">X15*Y15*chem_va*B15</f>
        <v>0</v>
      </c>
      <c r="AA15" s="62" t="n">
        <v>0</v>
      </c>
      <c r="AB15" s="56" t="n">
        <f aca="false">X15*AA15*roy_rate*B15*(1-IF(union_resp=2,lic_cut*Labour!S15,0))</f>
        <v>0</v>
      </c>
      <c r="AC15" s="48"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8"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false" outlineLevel="0" collapsed="false">
      <c r="A16" s="61" t="n">
        <v>1856</v>
      </c>
      <c r="B16" s="68" t="n">
        <f aca="false">champ_scale*(1+Labour!AP16)*(1+Partners!BX16)*(1-IF(union_resp=2,tariff_cut*Labour!S16,0))</f>
        <v>1</v>
      </c>
      <c r="C16" s="48" t="n">
        <v>0</v>
      </c>
      <c r="D16" s="48" t="n">
        <v>0</v>
      </c>
      <c r="E16" s="48" t="n">
        <v>0</v>
      </c>
      <c r="F16" s="50" t="n">
        <f aca="false">E16*B16</f>
        <v>0</v>
      </c>
      <c r="G16" s="50" t="n">
        <f aca="false">F16/Economy!B16*1000000</f>
        <v>0</v>
      </c>
      <c r="H16" s="48" t="n">
        <v>0</v>
      </c>
      <c r="I16" s="70" t="n">
        <f aca="false">IF(H16&gt;0,G16/H16,0)</f>
        <v>0</v>
      </c>
      <c r="J16" s="71" t="n">
        <v>0</v>
      </c>
      <c r="K16" s="56" t="n">
        <f aca="false">Resources!K16*J16*B16</f>
        <v>0</v>
      </c>
      <c r="L16" s="48" t="n">
        <v>0</v>
      </c>
      <c r="M16" s="62" t="n">
        <v>0</v>
      </c>
      <c r="N16" s="48" t="n">
        <v>0</v>
      </c>
      <c r="O16" s="71" t="n">
        <v>0</v>
      </c>
      <c r="P16" s="56" t="n">
        <f aca="false">(IF(Gulf!E16=1,0,L16*M16)+N16)*O16*B16</f>
        <v>0</v>
      </c>
      <c r="Q16" s="56" t="n">
        <f aca="false">P16*oil_book</f>
        <v>0</v>
      </c>
      <c r="R16" s="71" t="n">
        <v>0</v>
      </c>
      <c r="S16" s="48" t="n">
        <v>0</v>
      </c>
      <c r="T16" s="56" t="n">
        <f aca="false">R16*S16*B16</f>
        <v>0</v>
      </c>
      <c r="U16" s="48" t="n">
        <v>0</v>
      </c>
      <c r="V16" s="48" t="n">
        <v>0</v>
      </c>
      <c r="W16" s="56" t="n">
        <f aca="false">U16/1000*V16*B16</f>
        <v>0</v>
      </c>
      <c r="X16" s="48" t="n">
        <v>0</v>
      </c>
      <c r="Y16" s="62" t="n">
        <v>0</v>
      </c>
      <c r="Z16" s="56" t="n">
        <f aca="false">X16*Y16*chem_va*B16</f>
        <v>0</v>
      </c>
      <c r="AA16" s="62" t="n">
        <v>0</v>
      </c>
      <c r="AB16" s="56" t="n">
        <f aca="false">X16*AA16*roy_rate*B16*(1-IF(union_resp=2,lic_cut*Labour!S16,0))</f>
        <v>0</v>
      </c>
      <c r="AC16" s="48"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8"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false" outlineLevel="0" collapsed="false">
      <c r="A17" s="61" t="n">
        <v>1857</v>
      </c>
      <c r="B17" s="68" t="n">
        <f aca="false">champ_scale*(1+Labour!AP17)*(1+Partners!BX17)*(1-IF(union_resp=2,tariff_cut*Labour!S17,0))</f>
        <v>1</v>
      </c>
      <c r="C17" s="48" t="n">
        <v>0</v>
      </c>
      <c r="D17" s="48" t="n">
        <v>0</v>
      </c>
      <c r="E17" s="48" t="n">
        <v>0</v>
      </c>
      <c r="F17" s="50" t="n">
        <f aca="false">E17*B17</f>
        <v>0</v>
      </c>
      <c r="G17" s="50" t="n">
        <f aca="false">F17/Economy!B17*1000000</f>
        <v>0</v>
      </c>
      <c r="H17" s="48" t="n">
        <v>0</v>
      </c>
      <c r="I17" s="70" t="n">
        <f aca="false">IF(H17&gt;0,G17/H17,0)</f>
        <v>0</v>
      </c>
      <c r="J17" s="71" t="n">
        <v>0</v>
      </c>
      <c r="K17" s="56" t="n">
        <f aca="false">Resources!K17*J17*B17</f>
        <v>0</v>
      </c>
      <c r="L17" s="48" t="n">
        <v>0</v>
      </c>
      <c r="M17" s="62" t="n">
        <v>0</v>
      </c>
      <c r="N17" s="48" t="n">
        <v>0</v>
      </c>
      <c r="O17" s="71" t="n">
        <v>0</v>
      </c>
      <c r="P17" s="56" t="n">
        <f aca="false">(IF(Gulf!E17=1,0,L17*M17)+N17)*O17*B17</f>
        <v>0</v>
      </c>
      <c r="Q17" s="56" t="n">
        <f aca="false">P17*oil_book</f>
        <v>0</v>
      </c>
      <c r="R17" s="71" t="n">
        <v>0</v>
      </c>
      <c r="S17" s="48" t="n">
        <v>0</v>
      </c>
      <c r="T17" s="56" t="n">
        <f aca="false">R17*S17*B17</f>
        <v>0</v>
      </c>
      <c r="U17" s="48" t="n">
        <v>0</v>
      </c>
      <c r="V17" s="48" t="n">
        <v>0</v>
      </c>
      <c r="W17" s="56" t="n">
        <f aca="false">U17/1000*V17*B17</f>
        <v>0</v>
      </c>
      <c r="X17" s="48" t="n">
        <v>0</v>
      </c>
      <c r="Y17" s="62" t="n">
        <v>0</v>
      </c>
      <c r="Z17" s="56" t="n">
        <f aca="false">X17*Y17*chem_va*B17</f>
        <v>0</v>
      </c>
      <c r="AA17" s="62" t="n">
        <v>0</v>
      </c>
      <c r="AB17" s="56" t="n">
        <f aca="false">X17*AA17*roy_rate*B17*(1-IF(union_resp=2,lic_cut*Labour!S17,0))</f>
        <v>0</v>
      </c>
      <c r="AC17" s="48"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8"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false" outlineLevel="0" collapsed="false">
      <c r="A18" s="61" t="n">
        <v>1858</v>
      </c>
      <c r="B18" s="68" t="n">
        <f aca="false">champ_scale*(1+Labour!AP18)*(1+Partners!BX18)*(1-IF(union_resp=2,tariff_cut*Labour!S18,0))</f>
        <v>1</v>
      </c>
      <c r="C18" s="48" t="n">
        <v>0</v>
      </c>
      <c r="D18" s="48" t="n">
        <v>0</v>
      </c>
      <c r="E18" s="48" t="n">
        <v>0</v>
      </c>
      <c r="F18" s="50" t="n">
        <f aca="false">E18*B18</f>
        <v>0</v>
      </c>
      <c r="G18" s="50" t="n">
        <f aca="false">F18/Economy!B18*1000000</f>
        <v>0</v>
      </c>
      <c r="H18" s="48" t="n">
        <v>0</v>
      </c>
      <c r="I18" s="70" t="n">
        <f aca="false">IF(H18&gt;0,G18/H18,0)</f>
        <v>0</v>
      </c>
      <c r="J18" s="71" t="n">
        <v>0</v>
      </c>
      <c r="K18" s="56" t="n">
        <f aca="false">Resources!K18*J18*B18</f>
        <v>0</v>
      </c>
      <c r="L18" s="48" t="n">
        <v>0</v>
      </c>
      <c r="M18" s="62" t="n">
        <v>0</v>
      </c>
      <c r="N18" s="48" t="n">
        <v>0</v>
      </c>
      <c r="O18" s="71" t="n">
        <v>0</v>
      </c>
      <c r="P18" s="56" t="n">
        <f aca="false">(IF(Gulf!E18=1,0,L18*M18)+N18)*O18*B18</f>
        <v>0</v>
      </c>
      <c r="Q18" s="56" t="n">
        <f aca="false">P18*oil_book</f>
        <v>0</v>
      </c>
      <c r="R18" s="71" t="n">
        <v>0</v>
      </c>
      <c r="S18" s="48" t="n">
        <v>0</v>
      </c>
      <c r="T18" s="56" t="n">
        <f aca="false">R18*S18*B18</f>
        <v>0</v>
      </c>
      <c r="U18" s="48" t="n">
        <v>0</v>
      </c>
      <c r="V18" s="48" t="n">
        <v>0</v>
      </c>
      <c r="W18" s="56" t="n">
        <f aca="false">U18/1000*V18*B18</f>
        <v>0</v>
      </c>
      <c r="X18" s="48" t="n">
        <v>0</v>
      </c>
      <c r="Y18" s="62" t="n">
        <v>0</v>
      </c>
      <c r="Z18" s="56" t="n">
        <f aca="false">X18*Y18*chem_va*B18</f>
        <v>0</v>
      </c>
      <c r="AA18" s="62" t="n">
        <v>0</v>
      </c>
      <c r="AB18" s="56" t="n">
        <f aca="false">X18*AA18*roy_rate*B18*(1-IF(union_resp=2,lic_cut*Labour!S18,0))</f>
        <v>0</v>
      </c>
      <c r="AC18" s="48"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8"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false" outlineLevel="0" collapsed="false">
      <c r="A19" s="61" t="n">
        <v>1859</v>
      </c>
      <c r="B19" s="68" t="n">
        <f aca="false">champ_scale*(1+Labour!AP19)*(1+Partners!BX19)*(1-IF(union_resp=2,tariff_cut*Labour!S19,0))</f>
        <v>1</v>
      </c>
      <c r="C19" s="48" t="n">
        <v>0</v>
      </c>
      <c r="D19" s="48" t="n">
        <v>0</v>
      </c>
      <c r="E19" s="48" t="n">
        <v>0</v>
      </c>
      <c r="F19" s="50" t="n">
        <f aca="false">E19*B19</f>
        <v>0</v>
      </c>
      <c r="G19" s="50" t="n">
        <f aca="false">F19/Economy!B19*1000000</f>
        <v>0</v>
      </c>
      <c r="H19" s="48" t="n">
        <v>0</v>
      </c>
      <c r="I19" s="70" t="n">
        <f aca="false">IF(H19&gt;0,G19/H19,0)</f>
        <v>0</v>
      </c>
      <c r="J19" s="71" t="n">
        <v>0</v>
      </c>
      <c r="K19" s="56" t="n">
        <f aca="false">Resources!K19*J19*B19</f>
        <v>0</v>
      </c>
      <c r="L19" s="48" t="n">
        <v>0</v>
      </c>
      <c r="M19" s="62" t="n">
        <v>0</v>
      </c>
      <c r="N19" s="48" t="n">
        <v>0</v>
      </c>
      <c r="O19" s="71" t="n">
        <v>0</v>
      </c>
      <c r="P19" s="56" t="n">
        <f aca="false">(IF(Gulf!E19=1,0,L19*M19)+N19)*O19*B19</f>
        <v>0</v>
      </c>
      <c r="Q19" s="56" t="n">
        <f aca="false">P19*oil_book</f>
        <v>0</v>
      </c>
      <c r="R19" s="71" t="n">
        <v>0</v>
      </c>
      <c r="S19" s="48" t="n">
        <v>0</v>
      </c>
      <c r="T19" s="56" t="n">
        <f aca="false">R19*S19*B19</f>
        <v>0</v>
      </c>
      <c r="U19" s="48" t="n">
        <v>0</v>
      </c>
      <c r="V19" s="48" t="n">
        <v>0</v>
      </c>
      <c r="W19" s="56" t="n">
        <f aca="false">U19/1000*V19*B19</f>
        <v>0</v>
      </c>
      <c r="X19" s="48" t="n">
        <v>0</v>
      </c>
      <c r="Y19" s="62" t="n">
        <v>0</v>
      </c>
      <c r="Z19" s="56" t="n">
        <f aca="false">X19*Y19*chem_va*B19</f>
        <v>0</v>
      </c>
      <c r="AA19" s="62" t="n">
        <v>0</v>
      </c>
      <c r="AB19" s="56" t="n">
        <f aca="false">X19*AA19*roy_rate*B19*(1-IF(union_resp=2,lic_cut*Labour!S19,0))</f>
        <v>0</v>
      </c>
      <c r="AC19" s="48"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8"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false" outlineLevel="0" collapsed="false">
      <c r="A20" s="61" t="n">
        <v>1860</v>
      </c>
      <c r="B20" s="68" t="n">
        <f aca="false">champ_scale*(1+Labour!AP20)*(1+Partners!BX20)*(1-IF(union_resp=2,tariff_cut*Labour!S20,0))</f>
        <v>1</v>
      </c>
      <c r="C20" s="48" t="n">
        <v>0</v>
      </c>
      <c r="D20" s="48" t="n">
        <v>0</v>
      </c>
      <c r="E20" s="48" t="n">
        <v>50</v>
      </c>
      <c r="F20" s="50" t="n">
        <f aca="false">E20*B20</f>
        <v>50</v>
      </c>
      <c r="G20" s="50" t="n">
        <f aca="false">F20/Economy!B20*1000000</f>
        <v>74.422094854627</v>
      </c>
      <c r="H20" s="48" t="n">
        <v>150</v>
      </c>
      <c r="I20" s="70" t="n">
        <f aca="false">IF(H20&gt;0,G20/H20,0)</f>
        <v>0.496147299030847</v>
      </c>
      <c r="J20" s="71" t="n">
        <v>0</v>
      </c>
      <c r="K20" s="56" t="n">
        <f aca="false">Resources!K20*J20*B20</f>
        <v>0</v>
      </c>
      <c r="L20" s="48" t="n">
        <v>0</v>
      </c>
      <c r="M20" s="62" t="n">
        <v>0</v>
      </c>
      <c r="N20" s="48" t="n">
        <v>0</v>
      </c>
      <c r="O20" s="71" t="n">
        <v>0</v>
      </c>
      <c r="P20" s="56" t="n">
        <f aca="false">(IF(Gulf!E20=1,0,L20*M20)+N20)*O20*B20</f>
        <v>0</v>
      </c>
      <c r="Q20" s="56" t="n">
        <f aca="false">P20*oil_book</f>
        <v>0</v>
      </c>
      <c r="R20" s="71" t="n">
        <v>0</v>
      </c>
      <c r="S20" s="48" t="n">
        <v>0</v>
      </c>
      <c r="T20" s="56" t="n">
        <f aca="false">R20*S20*B20</f>
        <v>0</v>
      </c>
      <c r="U20" s="48" t="n">
        <v>0</v>
      </c>
      <c r="V20" s="48" t="n">
        <v>0</v>
      </c>
      <c r="W20" s="56" t="n">
        <f aca="false">U20/1000*V20*B20</f>
        <v>0</v>
      </c>
      <c r="X20" s="48" t="n">
        <v>0</v>
      </c>
      <c r="Y20" s="62" t="n">
        <v>0</v>
      </c>
      <c r="Z20" s="56" t="n">
        <f aca="false">X20*Y20*chem_va*B20</f>
        <v>0</v>
      </c>
      <c r="AA20" s="62" t="n">
        <v>0</v>
      </c>
      <c r="AB20" s="56" t="n">
        <f aca="false">X20*AA20*roy_rate*B20*(1-IF(union_resp=2,lic_cut*Labour!S20,0))</f>
        <v>0</v>
      </c>
      <c r="AC20" s="48" t="n">
        <v>0</v>
      </c>
      <c r="AD20" s="62" t="n">
        <v>0</v>
      </c>
      <c r="AE20" s="62" t="n">
        <v>0</v>
      </c>
      <c r="AF20" s="56" t="n">
        <f aca="false">AC20*AD20*elec_va*B20</f>
        <v>0</v>
      </c>
      <c r="AG20" s="56" t="n">
        <f aca="false">MAX(0,AE20-AD20)*AC20*roy_rate*B20*(1-IF(union_resp=2,lic_cut*Labour!S20,0))</f>
        <v>0</v>
      </c>
      <c r="AH20" s="55" t="n">
        <v>1</v>
      </c>
      <c r="AI20" s="56" t="n">
        <f aca="false">AH20*B20</f>
        <v>1</v>
      </c>
      <c r="AJ20" s="55" t="n">
        <v>0</v>
      </c>
      <c r="AK20" s="56" t="n">
        <f aca="false">AJ20*B20</f>
        <v>0</v>
      </c>
      <c r="AL20" s="48" t="n">
        <v>0</v>
      </c>
      <c r="AM20" s="56" t="n">
        <f aca="false">AL20*uw_fee*B20</f>
        <v>0</v>
      </c>
      <c r="AN20" s="55" t="n">
        <v>0</v>
      </c>
      <c r="AO20" s="55" t="n">
        <v>0</v>
      </c>
      <c r="AP20" s="56" t="n">
        <f aca="false">K20+T20+W20+Z20+AF20+AI20+AK20+AM20+AN20+AO20</f>
        <v>1</v>
      </c>
      <c r="AQ20" s="56" t="n">
        <f aca="false">AP20*(1-1/champ_prem+champ_spill)</f>
        <v>0.694444444444444</v>
      </c>
      <c r="AR20" s="66" t="n">
        <f aca="false">AP20/Economy!O20</f>
        <v>0.00571411046005993</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v>
      </c>
      <c r="BB20" s="56" t="n">
        <f aca="false">(K20+AI20+AK20)*champ_profit+P20+(AS20*ret_rail+AT20*ret_tel+AU20*ret_elec)*B20*IF(OR($A20=1931,$A20=1932),abroad_slump,1)</f>
        <v>0.2</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false" outlineLevel="0" collapsed="false">
      <c r="A21" s="64" t="n">
        <v>1861</v>
      </c>
      <c r="B21" s="68" t="n">
        <f aca="false">champ_scale*(1+Labour!AP21)*(1+Partners!BX21)*(1-IF(union_resp=2,tariff_cut*Labour!S21,0))</f>
        <v>1</v>
      </c>
      <c r="C21" s="48" t="n">
        <v>0</v>
      </c>
      <c r="D21" s="48" t="n">
        <v>0</v>
      </c>
      <c r="E21" s="48" t="n">
        <v>60</v>
      </c>
      <c r="F21" s="50" t="n">
        <f aca="false">E21*B21</f>
        <v>60</v>
      </c>
      <c r="G21" s="50" t="n">
        <f aca="false">F21/Economy!B21*1000000</f>
        <v>84.3889251903877</v>
      </c>
      <c r="H21" s="48" t="n">
        <v>166</v>
      </c>
      <c r="I21" s="70" t="n">
        <f aca="false">IF(H21&gt;0,G21/H21,0)</f>
        <v>0.508367019219203</v>
      </c>
      <c r="J21" s="71" t="n">
        <v>0</v>
      </c>
      <c r="K21" s="56" t="n">
        <f aca="false">Resources!K21*J21*B21</f>
        <v>0</v>
      </c>
      <c r="L21" s="48" t="n">
        <v>0</v>
      </c>
      <c r="M21" s="62" t="n">
        <v>0</v>
      </c>
      <c r="N21" s="48" t="n">
        <v>0</v>
      </c>
      <c r="O21" s="71" t="n">
        <v>0</v>
      </c>
      <c r="P21" s="56" t="n">
        <f aca="false">(IF(Gulf!E21=1,0,L21*M21)+N21)*O21*B21</f>
        <v>0</v>
      </c>
      <c r="Q21" s="56" t="n">
        <f aca="false">P21*oil_book</f>
        <v>0</v>
      </c>
      <c r="R21" s="71" t="n">
        <v>0</v>
      </c>
      <c r="S21" s="48" t="n">
        <v>0</v>
      </c>
      <c r="T21" s="56" t="n">
        <f aca="false">R21*S21*B21</f>
        <v>0</v>
      </c>
      <c r="U21" s="48" t="n">
        <v>0</v>
      </c>
      <c r="V21" s="48" t="n">
        <v>0</v>
      </c>
      <c r="W21" s="56" t="n">
        <f aca="false">U21/1000*V21*B21</f>
        <v>0</v>
      </c>
      <c r="X21" s="48" t="n">
        <v>0</v>
      </c>
      <c r="Y21" s="62" t="n">
        <v>0</v>
      </c>
      <c r="Z21" s="56" t="n">
        <f aca="false">X21*Y21*chem_va*B21</f>
        <v>0</v>
      </c>
      <c r="AA21" s="62" t="n">
        <v>0</v>
      </c>
      <c r="AB21" s="56" t="n">
        <f aca="false">X21*AA21*roy_rate*B21*(1-IF(union_resp=2,lic_cut*Labour!S21,0))</f>
        <v>0</v>
      </c>
      <c r="AC21" s="48" t="n">
        <v>0</v>
      </c>
      <c r="AD21" s="62" t="n">
        <v>0</v>
      </c>
      <c r="AE21" s="62" t="n">
        <v>0</v>
      </c>
      <c r="AF21" s="56" t="n">
        <f aca="false">AC21*AD21*elec_va*B21</f>
        <v>0</v>
      </c>
      <c r="AG21" s="56" t="n">
        <f aca="false">MAX(0,AE21-AD21)*AC21*roy_rate*B21*(1-IF(union_resp=2,lic_cut*Labour!S21,0))</f>
        <v>0</v>
      </c>
      <c r="AH21" s="55" t="n">
        <v>1</v>
      </c>
      <c r="AI21" s="56" t="n">
        <f aca="false">AH21*B21</f>
        <v>1</v>
      </c>
      <c r="AJ21" s="55" t="n">
        <v>0</v>
      </c>
      <c r="AK21" s="56" t="n">
        <f aca="false">AJ21*B21</f>
        <v>0</v>
      </c>
      <c r="AL21" s="48" t="n">
        <v>0</v>
      </c>
      <c r="AM21" s="56" t="n">
        <f aca="false">AL21*uw_fee*B21</f>
        <v>0</v>
      </c>
      <c r="AN21" s="55" t="n">
        <v>0</v>
      </c>
      <c r="AO21" s="55" t="n">
        <v>0</v>
      </c>
      <c r="AP21" s="56" t="n">
        <f aca="false">K21+T21+W21+Z21+AF21+AI21+AK21+AM21+AN21+AO21</f>
        <v>1</v>
      </c>
      <c r="AQ21" s="56" t="n">
        <f aca="false">AP21*(1-1/champ_prem+champ_spill)</f>
        <v>0.694444444444444</v>
      </c>
      <c r="AR21" s="66" t="n">
        <f aca="false">AP21/Economy!O21</f>
        <v>0.00554118164193307</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v>
      </c>
      <c r="BB21" s="56" t="n">
        <f aca="false">(K21+AI21+AK21)*champ_profit+P21+(AS21*ret_rail+AT21*ret_tel+AU21*ret_elec)*B21*IF(OR($A21=1931,$A21=1932),abroad_slump,1)</f>
        <v>0.2</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false" outlineLevel="0" collapsed="false">
      <c r="A22" s="64" t="n">
        <v>1862</v>
      </c>
      <c r="B22" s="68" t="n">
        <f aca="false">champ_scale*(1+Labour!AP22)*(1+Partners!BX22)*(1-IF(union_resp=2,tariff_cut*Labour!S22,0))</f>
        <v>1</v>
      </c>
      <c r="C22" s="48" t="n">
        <v>0</v>
      </c>
      <c r="D22" s="48" t="n">
        <v>0</v>
      </c>
      <c r="E22" s="48" t="n">
        <v>80</v>
      </c>
      <c r="F22" s="50" t="n">
        <f aca="false">E22*B22</f>
        <v>80</v>
      </c>
      <c r="G22" s="50" t="n">
        <f aca="false">F22/Economy!B22*1000000</f>
        <v>94.992448562164</v>
      </c>
      <c r="H22" s="48" t="n">
        <v>183</v>
      </c>
      <c r="I22" s="70" t="n">
        <f aca="false">IF(H22&gt;0,G22/H22,0)</f>
        <v>0.519084418372481</v>
      </c>
      <c r="J22" s="71" t="n">
        <v>0</v>
      </c>
      <c r="K22" s="56" t="n">
        <f aca="false">Resources!K22*J22*B22</f>
        <v>0</v>
      </c>
      <c r="L22" s="48" t="n">
        <v>0</v>
      </c>
      <c r="M22" s="62" t="n">
        <v>0</v>
      </c>
      <c r="N22" s="48" t="n">
        <v>0</v>
      </c>
      <c r="O22" s="71" t="n">
        <v>0</v>
      </c>
      <c r="P22" s="56" t="n">
        <f aca="false">(IF(Gulf!E22=1,0,L22*M22)+N22)*O22*B22</f>
        <v>0</v>
      </c>
      <c r="Q22" s="56" t="n">
        <f aca="false">P22*oil_book</f>
        <v>0</v>
      </c>
      <c r="R22" s="71" t="n">
        <v>0</v>
      </c>
      <c r="S22" s="48" t="n">
        <v>0</v>
      </c>
      <c r="T22" s="56" t="n">
        <f aca="false">R22*S22*B22</f>
        <v>0</v>
      </c>
      <c r="U22" s="48" t="n">
        <v>0</v>
      </c>
      <c r="V22" s="48" t="n">
        <v>0</v>
      </c>
      <c r="W22" s="56" t="n">
        <f aca="false">U22/1000*V22*B22</f>
        <v>0</v>
      </c>
      <c r="X22" s="48" t="n">
        <v>0</v>
      </c>
      <c r="Y22" s="62" t="n">
        <v>0</v>
      </c>
      <c r="Z22" s="56" t="n">
        <f aca="false">X22*Y22*chem_va*B22</f>
        <v>0</v>
      </c>
      <c r="AA22" s="62" t="n">
        <v>0</v>
      </c>
      <c r="AB22" s="56" t="n">
        <f aca="false">X22*AA22*roy_rate*B22*(1-IF(union_resp=2,lic_cut*Labour!S22,0))</f>
        <v>0</v>
      </c>
      <c r="AC22" s="48" t="n">
        <v>0</v>
      </c>
      <c r="AD22" s="62" t="n">
        <v>0</v>
      </c>
      <c r="AE22" s="62" t="n">
        <v>0</v>
      </c>
      <c r="AF22" s="56" t="n">
        <f aca="false">AC22*AD22*elec_va*B22</f>
        <v>0</v>
      </c>
      <c r="AG22" s="56" t="n">
        <f aca="false">MAX(0,AE22-AD22)*AC22*roy_rate*B22*(1-IF(union_resp=2,lic_cut*Labour!S22,0))</f>
        <v>0</v>
      </c>
      <c r="AH22" s="55" t="n">
        <v>1</v>
      </c>
      <c r="AI22" s="56" t="n">
        <f aca="false">AH22*B22</f>
        <v>1</v>
      </c>
      <c r="AJ22" s="55" t="n">
        <v>0</v>
      </c>
      <c r="AK22" s="56" t="n">
        <f aca="false">AJ22*B22</f>
        <v>0</v>
      </c>
      <c r="AL22" s="48" t="n">
        <v>0</v>
      </c>
      <c r="AM22" s="56" t="n">
        <f aca="false">AL22*uw_fee*B22</f>
        <v>0</v>
      </c>
      <c r="AN22" s="55" t="n">
        <v>0</v>
      </c>
      <c r="AO22" s="55" t="n">
        <v>0</v>
      </c>
      <c r="AP22" s="56" t="n">
        <f aca="false">K22+T22+W22+Z22+AF22+AI22+AK22+AM22+AN22+AO22</f>
        <v>1</v>
      </c>
      <c r="AQ22" s="56" t="n">
        <f aca="false">AP22*(1-1/champ_prem+champ_spill)</f>
        <v>0.694444444444444</v>
      </c>
      <c r="AR22" s="66" t="n">
        <f aca="false">AP22/Economy!O22</f>
        <v>0.00480870425432005</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v>
      </c>
      <c r="BB22" s="56" t="n">
        <f aca="false">(K22+AI22+AK22)*champ_profit+P22+(AS22*ret_rail+AT22*ret_tel+AU22*ret_elec)*B22*IF(OR($A22=1931,$A22=1932),abroad_slump,1)</f>
        <v>0.2</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false" outlineLevel="0" collapsed="false">
      <c r="A23" s="64" t="n">
        <v>1863</v>
      </c>
      <c r="B23" s="68" t="n">
        <f aca="false">champ_scale*(1+Labour!AP23)*(1+Partners!BX23)*(1-IF(union_resp=2,tariff_cut*Labour!S23,0))</f>
        <v>1.00013224682845</v>
      </c>
      <c r="C23" s="48" t="n">
        <v>0</v>
      </c>
      <c r="D23" s="48" t="n">
        <v>0</v>
      </c>
      <c r="E23" s="48" t="n">
        <v>100</v>
      </c>
      <c r="F23" s="50" t="n">
        <f aca="false">E23*B23</f>
        <v>100.013224682845</v>
      </c>
      <c r="G23" s="50" t="n">
        <f aca="false">F23/Economy!B23*1000000</f>
        <v>98.1751293062759</v>
      </c>
      <c r="H23" s="48" t="n">
        <v>199</v>
      </c>
      <c r="I23" s="70" t="n">
        <f aca="false">IF(H23&gt;0,G23/H23,0)</f>
        <v>0.493342358322995</v>
      </c>
      <c r="J23" s="71" t="n">
        <v>0</v>
      </c>
      <c r="K23" s="56" t="n">
        <f aca="false">Resources!K23*J23*B23</f>
        <v>0</v>
      </c>
      <c r="L23" s="48" t="n">
        <v>0</v>
      </c>
      <c r="M23" s="62" t="n">
        <v>0</v>
      </c>
      <c r="N23" s="48" t="n">
        <v>0</v>
      </c>
      <c r="O23" s="71" t="n">
        <v>0</v>
      </c>
      <c r="P23" s="56" t="n">
        <f aca="false">(IF(Gulf!E23=1,0,L23*M23)+N23)*O23*B23</f>
        <v>0</v>
      </c>
      <c r="Q23" s="56" t="n">
        <f aca="false">P23*oil_book</f>
        <v>0</v>
      </c>
      <c r="R23" s="71" t="n">
        <v>0</v>
      </c>
      <c r="S23" s="48" t="n">
        <v>0</v>
      </c>
      <c r="T23" s="56" t="n">
        <f aca="false">R23*S23*B23</f>
        <v>0</v>
      </c>
      <c r="U23" s="48" t="n">
        <v>0</v>
      </c>
      <c r="V23" s="48" t="n">
        <v>0</v>
      </c>
      <c r="W23" s="56" t="n">
        <f aca="false">U23/1000*V23*B23</f>
        <v>0</v>
      </c>
      <c r="X23" s="48" t="n">
        <v>0</v>
      </c>
      <c r="Y23" s="62" t="n">
        <v>0</v>
      </c>
      <c r="Z23" s="56" t="n">
        <f aca="false">X23*Y23*chem_va*B23</f>
        <v>0</v>
      </c>
      <c r="AA23" s="62" t="n">
        <v>0</v>
      </c>
      <c r="AB23" s="56" t="n">
        <f aca="false">X23*AA23*roy_rate*B23*(1-IF(union_resp=2,lic_cut*Labour!S23,0))</f>
        <v>0</v>
      </c>
      <c r="AC23" s="48" t="n">
        <v>0</v>
      </c>
      <c r="AD23" s="62" t="n">
        <v>0</v>
      </c>
      <c r="AE23" s="62" t="n">
        <v>0</v>
      </c>
      <c r="AF23" s="56" t="n">
        <f aca="false">AC23*AD23*elec_va*B23</f>
        <v>0</v>
      </c>
      <c r="AG23" s="56" t="n">
        <f aca="false">MAX(0,AE23-AD23)*AC23*roy_rate*B23*(1-IF(union_resp=2,lic_cut*Labour!S23,0))</f>
        <v>0</v>
      </c>
      <c r="AH23" s="55" t="n">
        <v>2</v>
      </c>
      <c r="AI23" s="56" t="n">
        <f aca="false">AH23*B23</f>
        <v>2.0002644936569</v>
      </c>
      <c r="AJ23" s="55" t="n">
        <v>0</v>
      </c>
      <c r="AK23" s="56" t="n">
        <f aca="false">AJ23*B23</f>
        <v>0</v>
      </c>
      <c r="AL23" s="48" t="n">
        <v>0</v>
      </c>
      <c r="AM23" s="56" t="n">
        <f aca="false">AL23*uw_fee*B23</f>
        <v>0</v>
      </c>
      <c r="AN23" s="55" t="n">
        <v>0</v>
      </c>
      <c r="AO23" s="55" t="n">
        <v>0</v>
      </c>
      <c r="AP23" s="56" t="n">
        <f aca="false">K23+T23+W23+Z23+AF23+AI23+AK23+AM23+AN23+AO23</f>
        <v>2.0002644936569</v>
      </c>
      <c r="AQ23" s="56" t="n">
        <f aca="false">AP23*(1-1/champ_prem+champ_spill)</f>
        <v>1.38907256503952</v>
      </c>
      <c r="AR23" s="66" t="n">
        <f aca="false">AP23/Economy!O23</f>
        <v>0.00771838813115463</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0.400052898731381</v>
      </c>
      <c r="BB23" s="56" t="n">
        <f aca="false">(K23+AI23+AK23)*champ_profit+P23+(AS23*ret_rail+AT23*ret_tel+AU23*ret_elec)*B23*IF(OR($A23=1931,$A23=1932),abroad_slump,1)</f>
        <v>0.400052898731381</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false" outlineLevel="0" collapsed="false">
      <c r="A24" s="64" t="n">
        <v>1864</v>
      </c>
      <c r="B24" s="68" t="n">
        <f aca="false">champ_scale*(1+Labour!AP24)*(1+Partners!BX24)*(1-IF(union_resp=2,tariff_cut*Labour!S24,0))</f>
        <v>1.00027555662453</v>
      </c>
      <c r="C24" s="48" t="n">
        <v>0</v>
      </c>
      <c r="D24" s="48" t="n">
        <v>0</v>
      </c>
      <c r="E24" s="48" t="n">
        <v>110</v>
      </c>
      <c r="F24" s="50" t="n">
        <f aca="false">E24*B24</f>
        <v>110.030311228699</v>
      </c>
      <c r="G24" s="50" t="n">
        <f aca="false">F24/Economy!B24*1000000</f>
        <v>98.0885471508259</v>
      </c>
      <c r="H24" s="48" t="n">
        <v>216</v>
      </c>
      <c r="I24" s="70" t="n">
        <f aca="false">IF(H24&gt;0,G24/H24,0)</f>
        <v>0.454113644216786</v>
      </c>
      <c r="J24" s="71" t="n">
        <v>0</v>
      </c>
      <c r="K24" s="56" t="n">
        <f aca="false">Resources!K24*J24*B24</f>
        <v>0</v>
      </c>
      <c r="L24" s="48" t="n">
        <v>0</v>
      </c>
      <c r="M24" s="62" t="n">
        <v>0</v>
      </c>
      <c r="N24" s="48" t="n">
        <v>0</v>
      </c>
      <c r="O24" s="71" t="n">
        <v>0</v>
      </c>
      <c r="P24" s="56" t="n">
        <f aca="false">(IF(Gulf!E24=1,0,L24*M24)+N24)*O24*B24</f>
        <v>0</v>
      </c>
      <c r="Q24" s="56" t="n">
        <f aca="false">P24*oil_book</f>
        <v>0</v>
      </c>
      <c r="R24" s="71" t="n">
        <v>0</v>
      </c>
      <c r="S24" s="48" t="n">
        <v>0</v>
      </c>
      <c r="T24" s="56" t="n">
        <f aca="false">R24*S24*B24</f>
        <v>0</v>
      </c>
      <c r="U24" s="48" t="n">
        <v>0</v>
      </c>
      <c r="V24" s="48" t="n">
        <v>0</v>
      </c>
      <c r="W24" s="56" t="n">
        <f aca="false">U24/1000*V24*B24</f>
        <v>0</v>
      </c>
      <c r="X24" s="48" t="n">
        <v>0</v>
      </c>
      <c r="Y24" s="62" t="n">
        <v>0</v>
      </c>
      <c r="Z24" s="56" t="n">
        <f aca="false">X24*Y24*chem_va*B24</f>
        <v>0</v>
      </c>
      <c r="AA24" s="62" t="n">
        <v>0</v>
      </c>
      <c r="AB24" s="56" t="n">
        <f aca="false">X24*AA24*roy_rate*B24*(1-IF(union_resp=2,lic_cut*Labour!S24,0))</f>
        <v>0</v>
      </c>
      <c r="AC24" s="48" t="n">
        <v>0</v>
      </c>
      <c r="AD24" s="62" t="n">
        <v>0</v>
      </c>
      <c r="AE24" s="62" t="n">
        <v>0</v>
      </c>
      <c r="AF24" s="56" t="n">
        <f aca="false">AC24*AD24*elec_va*B24</f>
        <v>0</v>
      </c>
      <c r="AG24" s="56" t="n">
        <f aca="false">MAX(0,AE24-AD24)*AC24*roy_rate*B24*(1-IF(union_resp=2,lic_cut*Labour!S24,0))</f>
        <v>0</v>
      </c>
      <c r="AH24" s="55" t="n">
        <v>2</v>
      </c>
      <c r="AI24" s="56" t="n">
        <f aca="false">AH24*B24</f>
        <v>2.00055111324907</v>
      </c>
      <c r="AJ24" s="55" t="n">
        <v>0</v>
      </c>
      <c r="AK24" s="56" t="n">
        <f aca="false">AJ24*B24</f>
        <v>0</v>
      </c>
      <c r="AL24" s="48" t="n">
        <v>0</v>
      </c>
      <c r="AM24" s="56" t="n">
        <f aca="false">AL24*uw_fee*B24</f>
        <v>0</v>
      </c>
      <c r="AN24" s="55" t="n">
        <v>0</v>
      </c>
      <c r="AO24" s="55" t="n">
        <v>0</v>
      </c>
      <c r="AP24" s="56" t="n">
        <f aca="false">K24+T24+W24+Z24+AF24+AI24+AK24+AM24+AN24+AO24</f>
        <v>2.00055111324907</v>
      </c>
      <c r="AQ24" s="56" t="n">
        <f aca="false">AP24*(1-1/champ_prem+champ_spill)</f>
        <v>1.38927160642296</v>
      </c>
      <c r="AR24" s="66" t="n">
        <f aca="false">AP24/Economy!O24</f>
        <v>0.00636133214711269</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0.400110222649813</v>
      </c>
      <c r="BB24" s="56" t="n">
        <f aca="false">(K24+AI24+AK24)*champ_profit+P24+(AS24*ret_rail+AT24*ret_tel+AU24*ret_elec)*B24*IF(OR($A24=1931,$A24=1932),abroad_slump,1)</f>
        <v>0.400110222649813</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false" outlineLevel="0" collapsed="false">
      <c r="A25" s="64" t="n">
        <v>1865</v>
      </c>
      <c r="B25" s="68" t="n">
        <f aca="false">champ_scale*(1+Labour!AP25)*(1+Partners!BX25)*(1-IF(union_resp=2,tariff_cut*Labour!S25,0))</f>
        <v>1.0004332715556</v>
      </c>
      <c r="C25" s="48" t="n">
        <v>0</v>
      </c>
      <c r="D25" s="48" t="n">
        <v>0</v>
      </c>
      <c r="E25" s="48" t="n">
        <v>120</v>
      </c>
      <c r="F25" s="50" t="n">
        <f aca="false">E25*B25</f>
        <v>120.051992586673</v>
      </c>
      <c r="G25" s="50" t="n">
        <f aca="false">F25/Economy!B25*1000000</f>
        <v>100.993579087421</v>
      </c>
      <c r="H25" s="48" t="n">
        <v>232</v>
      </c>
      <c r="I25" s="70" t="n">
        <f aca="false">IF(H25&gt;0,G25/H25,0)</f>
        <v>0.435317151238882</v>
      </c>
      <c r="J25" s="71" t="n">
        <v>0</v>
      </c>
      <c r="K25" s="56" t="n">
        <f aca="false">Resources!K25*J25*B25</f>
        <v>0</v>
      </c>
      <c r="L25" s="48" t="n">
        <v>0</v>
      </c>
      <c r="M25" s="62" t="n">
        <v>0</v>
      </c>
      <c r="N25" s="48" t="n">
        <v>0</v>
      </c>
      <c r="O25" s="71" t="n">
        <v>0</v>
      </c>
      <c r="P25" s="56" t="n">
        <f aca="false">(IF(Gulf!E25=1,0,L25*M25)+N25)*O25*B25</f>
        <v>0</v>
      </c>
      <c r="Q25" s="56" t="n">
        <f aca="false">P25*oil_book</f>
        <v>0</v>
      </c>
      <c r="R25" s="71" t="n">
        <v>0</v>
      </c>
      <c r="S25" s="48" t="n">
        <v>0</v>
      </c>
      <c r="T25" s="56" t="n">
        <f aca="false">R25*S25*B25</f>
        <v>0</v>
      </c>
      <c r="U25" s="48" t="n">
        <v>0</v>
      </c>
      <c r="V25" s="48" t="n">
        <v>0</v>
      </c>
      <c r="W25" s="56" t="n">
        <f aca="false">U25/1000*V25*B25</f>
        <v>0</v>
      </c>
      <c r="X25" s="48" t="n">
        <v>0</v>
      </c>
      <c r="Y25" s="62" t="n">
        <v>0</v>
      </c>
      <c r="Z25" s="56" t="n">
        <f aca="false">X25*Y25*chem_va*B25</f>
        <v>0</v>
      </c>
      <c r="AA25" s="62" t="n">
        <v>0</v>
      </c>
      <c r="AB25" s="56" t="n">
        <f aca="false">X25*AA25*roy_rate*B25*(1-IF(union_resp=2,lic_cut*Labour!S25,0))</f>
        <v>0</v>
      </c>
      <c r="AC25" s="48" t="n">
        <v>0</v>
      </c>
      <c r="AD25" s="62" t="n">
        <v>0</v>
      </c>
      <c r="AE25" s="62" t="n">
        <v>0</v>
      </c>
      <c r="AF25" s="56" t="n">
        <f aca="false">AC25*AD25*elec_va*B25</f>
        <v>0</v>
      </c>
      <c r="AG25" s="56" t="n">
        <f aca="false">MAX(0,AE25-AD25)*AC25*roy_rate*B25*(1-IF(union_resp=2,lic_cut*Labour!S25,0))</f>
        <v>0</v>
      </c>
      <c r="AH25" s="55" t="n">
        <v>2</v>
      </c>
      <c r="AI25" s="56" t="n">
        <f aca="false">AH25*B25</f>
        <v>2.00086654311121</v>
      </c>
      <c r="AJ25" s="55" t="n">
        <v>0</v>
      </c>
      <c r="AK25" s="56" t="n">
        <f aca="false">AJ25*B25</f>
        <v>0</v>
      </c>
      <c r="AL25" s="48" t="n">
        <v>0</v>
      </c>
      <c r="AM25" s="56" t="n">
        <f aca="false">AL25*uw_fee*B25</f>
        <v>0</v>
      </c>
      <c r="AN25" s="55" t="n">
        <v>0</v>
      </c>
      <c r="AO25" s="55" t="n">
        <v>0</v>
      </c>
      <c r="AP25" s="56" t="n">
        <f aca="false">K25+T25+W25+Z25+AF25+AI25+AK25+AM25+AN25+AO25</f>
        <v>2.00086654311121</v>
      </c>
      <c r="AQ25" s="56" t="n">
        <f aca="false">AP25*(1-1/champ_prem+champ_spill)</f>
        <v>1.38949065493834</v>
      </c>
      <c r="AR25" s="66" t="n">
        <f aca="false">AP25/Economy!O25</f>
        <v>0.0058307306771484</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0.400173308622242</v>
      </c>
      <c r="BB25" s="56" t="n">
        <f aca="false">(K25+AI25+AK25)*champ_profit+P25+(AS25*ret_rail+AT25*ret_tel+AU25*ret_elec)*B25*IF(OR($A25=1931,$A25=1932),abroad_slump,1)</f>
        <v>0.400173308622242</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false" outlineLevel="0" collapsed="false">
      <c r="A26" s="61" t="n">
        <v>1866</v>
      </c>
      <c r="B26" s="68" t="n">
        <f aca="false">champ_scale*(1+Labour!AP26)*(1+Partners!BX26)*(1-IF(union_resp=2,tariff_cut*Labour!S26,0))</f>
        <v>1.00060007138568</v>
      </c>
      <c r="C26" s="48" t="n">
        <v>0</v>
      </c>
      <c r="D26" s="48" t="n">
        <v>0</v>
      </c>
      <c r="E26" s="48" t="n">
        <v>140</v>
      </c>
      <c r="F26" s="50" t="n">
        <f aca="false">E26*B26</f>
        <v>140.084009993996</v>
      </c>
      <c r="G26" s="50" t="n">
        <f aca="false">F26/Economy!B26*1000000</f>
        <v>110.991822567928</v>
      </c>
      <c r="H26" s="48" t="n">
        <v>248</v>
      </c>
      <c r="I26" s="70" t="n">
        <f aca="false">IF(H26&gt;0,G26/H26,0)</f>
        <v>0.44754767164487</v>
      </c>
      <c r="J26" s="71" t="n">
        <v>0</v>
      </c>
      <c r="K26" s="56" t="n">
        <f aca="false">Resources!K26*J26*B26</f>
        <v>0</v>
      </c>
      <c r="L26" s="48" t="n">
        <v>0</v>
      </c>
      <c r="M26" s="62" t="n">
        <v>0</v>
      </c>
      <c r="N26" s="48" t="n">
        <v>0</v>
      </c>
      <c r="O26" s="71" t="n">
        <v>0</v>
      </c>
      <c r="P26" s="56" t="n">
        <f aca="false">(IF(Gulf!E26=1,0,L26*M26)+N26)*O26*B26</f>
        <v>0</v>
      </c>
      <c r="Q26" s="56" t="n">
        <f aca="false">P26*oil_book</f>
        <v>0</v>
      </c>
      <c r="R26" s="71" t="n">
        <v>0</v>
      </c>
      <c r="S26" s="48" t="n">
        <v>0</v>
      </c>
      <c r="T26" s="56" t="n">
        <f aca="false">R26*S26*B26</f>
        <v>0</v>
      </c>
      <c r="U26" s="48" t="n">
        <v>0</v>
      </c>
      <c r="V26" s="48" t="n">
        <v>0</v>
      </c>
      <c r="W26" s="56" t="n">
        <f aca="false">U26/1000*V26*B26</f>
        <v>0</v>
      </c>
      <c r="X26" s="48" t="n">
        <v>0</v>
      </c>
      <c r="Y26" s="62" t="n">
        <v>0</v>
      </c>
      <c r="Z26" s="56" t="n">
        <f aca="false">X26*Y26*chem_va*B26</f>
        <v>0</v>
      </c>
      <c r="AA26" s="62" t="n">
        <v>0</v>
      </c>
      <c r="AB26" s="56" t="n">
        <f aca="false">X26*AA26*roy_rate*B26*(1-IF(union_resp=2,lic_cut*Labour!S26,0))</f>
        <v>0</v>
      </c>
      <c r="AC26" s="48" t="n">
        <v>0</v>
      </c>
      <c r="AD26" s="62" t="n">
        <v>0</v>
      </c>
      <c r="AE26" s="62" t="n">
        <v>0</v>
      </c>
      <c r="AF26" s="56" t="n">
        <f aca="false">AC26*AD26*elec_va*B26</f>
        <v>0</v>
      </c>
      <c r="AG26" s="56" t="n">
        <f aca="false">MAX(0,AE26-AD26)*AC26*roy_rate*B26*(1-IF(union_resp=2,lic_cut*Labour!S26,0))</f>
        <v>0</v>
      </c>
      <c r="AH26" s="55" t="n">
        <v>2</v>
      </c>
      <c r="AI26" s="56" t="n">
        <f aca="false">AH26*B26</f>
        <v>2.00120014277137</v>
      </c>
      <c r="AJ26" s="55" t="n">
        <v>0</v>
      </c>
      <c r="AK26" s="56" t="n">
        <f aca="false">AJ26*B26</f>
        <v>0</v>
      </c>
      <c r="AL26" s="48" t="n">
        <v>0</v>
      </c>
      <c r="AM26" s="56" t="n">
        <f aca="false">AL26*uw_fee*B26</f>
        <v>0</v>
      </c>
      <c r="AN26" s="55" t="n">
        <v>0</v>
      </c>
      <c r="AO26" s="55" t="n">
        <v>0</v>
      </c>
      <c r="AP26" s="56" t="n">
        <f aca="false">K26+T26+W26+Z26+AF26+AI26+AK26+AM26+AN26+AO26</f>
        <v>2.00120014277137</v>
      </c>
      <c r="AQ26" s="56" t="n">
        <f aca="false">AP26*(1-1/champ_prem+champ_spill)</f>
        <v>1.38972232136901</v>
      </c>
      <c r="AR26" s="66" t="n">
        <f aca="false">AP26/Economy!O26</f>
        <v>0.00545655844220189</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0.400240028554274</v>
      </c>
      <c r="BB26" s="56" t="n">
        <f aca="false">(K26+AI26+AK26)*champ_profit+P26+(AS26*ret_rail+AT26*ret_tel+AU26*ret_elec)*B26*IF(OR($A26=1931,$A26=1932),abroad_slump,1)</f>
        <v>0.400240028554274</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false" outlineLevel="0" collapsed="false">
      <c r="A27" s="61" t="n">
        <v>1867</v>
      </c>
      <c r="B27" s="68" t="n">
        <f aca="false">champ_scale*(1+Labour!AP27)*(1+Partners!BX27)*(1-IF(union_resp=2,tariff_cut*Labour!S27,0))</f>
        <v>1.00077751759128</v>
      </c>
      <c r="C27" s="48" t="n">
        <v>0</v>
      </c>
      <c r="D27" s="48" t="n">
        <v>0</v>
      </c>
      <c r="E27" s="48" t="n">
        <v>160</v>
      </c>
      <c r="F27" s="50" t="n">
        <f aca="false">E27*B27</f>
        <v>160.124402814604</v>
      </c>
      <c r="G27" s="50" t="n">
        <f aca="false">F27/Economy!B27*1000000</f>
        <v>116.493028813585</v>
      </c>
      <c r="H27" s="48" t="n">
        <v>265</v>
      </c>
      <c r="I27" s="70" t="n">
        <f aca="false">IF(H27&gt;0,G27/H27,0)</f>
        <v>0.439596335145604</v>
      </c>
      <c r="J27" s="71" t="n">
        <v>0</v>
      </c>
      <c r="K27" s="56" t="n">
        <f aca="false">Resources!K27*J27*B27</f>
        <v>0</v>
      </c>
      <c r="L27" s="48" t="n">
        <v>0</v>
      </c>
      <c r="M27" s="62" t="n">
        <v>0</v>
      </c>
      <c r="N27" s="48" t="n">
        <v>0</v>
      </c>
      <c r="O27" s="71" t="n">
        <v>0</v>
      </c>
      <c r="P27" s="56" t="n">
        <f aca="false">(IF(Gulf!E27=1,0,L27*M27)+N27)*O27*B27</f>
        <v>0</v>
      </c>
      <c r="Q27" s="56" t="n">
        <f aca="false">P27*oil_book</f>
        <v>0</v>
      </c>
      <c r="R27" s="71" t="n">
        <v>0</v>
      </c>
      <c r="S27" s="48" t="n">
        <v>0</v>
      </c>
      <c r="T27" s="56" t="n">
        <f aca="false">R27*S27*B27</f>
        <v>0</v>
      </c>
      <c r="U27" s="48" t="n">
        <v>0</v>
      </c>
      <c r="V27" s="48" t="n">
        <v>0</v>
      </c>
      <c r="W27" s="56" t="n">
        <f aca="false">U27/1000*V27*B27</f>
        <v>0</v>
      </c>
      <c r="X27" s="48" t="n">
        <v>300</v>
      </c>
      <c r="Y27" s="62" t="n">
        <v>0.002</v>
      </c>
      <c r="Z27" s="56" t="n">
        <f aca="false">X27*Y27*chem_va*B27</f>
        <v>0.270209929749645</v>
      </c>
      <c r="AA27" s="62" t="n">
        <v>0.002</v>
      </c>
      <c r="AB27" s="56" t="n">
        <f aca="false">X27*AA27*roy_rate*B27*(1-IF(union_resp=2,lic_cut*Labour!S27,0))</f>
        <v>0.018013995316643</v>
      </c>
      <c r="AC27" s="48" t="n">
        <v>0</v>
      </c>
      <c r="AD27" s="62" t="n">
        <v>0</v>
      </c>
      <c r="AE27" s="62" t="n">
        <v>0</v>
      </c>
      <c r="AF27" s="56" t="n">
        <f aca="false">AC27*AD27*elec_va*B27</f>
        <v>0</v>
      </c>
      <c r="AG27" s="56" t="n">
        <f aca="false">MAX(0,AE27-AD27)*AC27*roy_rate*B27*(1-IF(union_resp=2,lic_cut*Labour!S27,0))</f>
        <v>0</v>
      </c>
      <c r="AH27" s="55" t="n">
        <v>2</v>
      </c>
      <c r="AI27" s="56" t="n">
        <f aca="false">AH27*B27</f>
        <v>2.00155503518255</v>
      </c>
      <c r="AJ27" s="55" t="n">
        <v>0</v>
      </c>
      <c r="AK27" s="56" t="n">
        <f aca="false">AJ27*B27</f>
        <v>0</v>
      </c>
      <c r="AL27" s="48" t="n">
        <v>0</v>
      </c>
      <c r="AM27" s="56" t="n">
        <f aca="false">AL27*uw_fee*B27</f>
        <v>0</v>
      </c>
      <c r="AN27" s="55" t="n">
        <v>0</v>
      </c>
      <c r="AO27" s="55" t="n">
        <v>0</v>
      </c>
      <c r="AP27" s="56" t="n">
        <f aca="false">K27+T27+W27+Z27+AF27+AI27+AK27+AM27+AN27+AO27</f>
        <v>2.2717649649322</v>
      </c>
      <c r="AQ27" s="56" t="n">
        <f aca="false">AP27*(1-1/champ_prem+champ_spill)</f>
        <v>1.57761455898069</v>
      </c>
      <c r="AR27" s="66" t="n">
        <f aca="false">AP27/Economy!O27</f>
        <v>0.00569509927923944</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0.018013995316643</v>
      </c>
      <c r="BA27" s="56" t="n">
        <f aca="false">AP27*champ_profit+AZ27</f>
        <v>0.472366988303083</v>
      </c>
      <c r="BB27" s="56" t="n">
        <f aca="false">(K27+AI27+AK27)*champ_profit+P27+(AS27*ret_rail+AT27*ret_tel+AU27*ret_elec)*B27*IF(OR($A27=1931,$A27=1932),abroad_slump,1)</f>
        <v>0.400311007036511</v>
      </c>
      <c r="BC27" s="56" t="n">
        <f aca="false">(T27+W27+Z27+AF27+AN27+AO27)*champ_profit+(AV27*ret_auto+AW27*ret_chem+AX27*ret_steel)*B27*IF(OR($A27=1931,$A27=1932),abroad_slump,1)+AB27+AG27</f>
        <v>0.0720559812665719</v>
      </c>
      <c r="BD27" s="56" t="n">
        <f aca="false">IF($A27&gt;=crown_start,(BB27*crown_charter+BC27*crown_comp)*crown_payout,0)</f>
        <v>0</v>
      </c>
      <c r="BE27" s="66" t="n">
        <f aca="false">IF(BB27+BC27&gt;0,(BB27*crown_charter+BC27*crown_comp)/(BA27),0)</f>
        <v>0.22406779661017</v>
      </c>
    </row>
    <row r="28" customFormat="false" ht="14.25" hidden="false" customHeight="false" outlineLevel="0" collapsed="false">
      <c r="A28" s="61" t="n">
        <v>1868</v>
      </c>
      <c r="B28" s="68" t="n">
        <f aca="false">champ_scale*(1+Labour!AP28)*(1+Partners!BX28)*(1-IF(union_resp=2,tariff_cut*Labour!S28,0))</f>
        <v>1.00096523971769</v>
      </c>
      <c r="C28" s="48" t="n">
        <v>0</v>
      </c>
      <c r="D28" s="48" t="n">
        <v>0</v>
      </c>
      <c r="E28" s="48" t="n">
        <v>170</v>
      </c>
      <c r="F28" s="50" t="n">
        <f aca="false">E28*B28</f>
        <v>170.164090752008</v>
      </c>
      <c r="G28" s="50" t="n">
        <f aca="false">F28/Economy!B28*1000000</f>
        <v>113.847027488563</v>
      </c>
      <c r="H28" s="48" t="n">
        <v>281</v>
      </c>
      <c r="I28" s="70" t="n">
        <f aca="false">IF(H28&gt;0,G28/H28,0)</f>
        <v>0.405149564016237</v>
      </c>
      <c r="J28" s="71" t="n">
        <v>0</v>
      </c>
      <c r="K28" s="56" t="n">
        <f aca="false">Resources!K28*J28*B28</f>
        <v>0</v>
      </c>
      <c r="L28" s="48" t="n">
        <v>0</v>
      </c>
      <c r="M28" s="62" t="n">
        <v>0</v>
      </c>
      <c r="N28" s="48" t="n">
        <v>0</v>
      </c>
      <c r="O28" s="71" t="n">
        <v>0</v>
      </c>
      <c r="P28" s="56" t="n">
        <f aca="false">(IF(Gulf!E28=1,0,L28*M28)+N28)*O28*B28</f>
        <v>0</v>
      </c>
      <c r="Q28" s="56" t="n">
        <f aca="false">P28*oil_book</f>
        <v>0</v>
      </c>
      <c r="R28" s="71" t="n">
        <v>0.005</v>
      </c>
      <c r="S28" s="48" t="n">
        <v>40</v>
      </c>
      <c r="T28" s="56" t="n">
        <f aca="false">R28*S28*B28</f>
        <v>0.200193047943538</v>
      </c>
      <c r="U28" s="48" t="n">
        <v>0</v>
      </c>
      <c r="V28" s="48" t="n">
        <v>0</v>
      </c>
      <c r="W28" s="56" t="n">
        <f aca="false">U28/1000*V28*B28</f>
        <v>0</v>
      </c>
      <c r="X28" s="48" t="n">
        <v>323</v>
      </c>
      <c r="Y28" s="62" t="n">
        <v>0.003</v>
      </c>
      <c r="Z28" s="56" t="n">
        <f aca="false">X28*Y28*chem_va*B28</f>
        <v>0.4364708927789</v>
      </c>
      <c r="AA28" s="62" t="n">
        <v>0.002</v>
      </c>
      <c r="AB28" s="56" t="n">
        <f aca="false">X28*AA28*roy_rate*B28*(1-IF(union_resp=2,lic_cut*Labour!S28,0))</f>
        <v>0.0193987063457289</v>
      </c>
      <c r="AC28" s="48" t="n">
        <v>0</v>
      </c>
      <c r="AD28" s="62" t="n">
        <v>0</v>
      </c>
      <c r="AE28" s="62" t="n">
        <v>0</v>
      </c>
      <c r="AF28" s="56" t="n">
        <f aca="false">AC28*AD28*elec_va*B28</f>
        <v>0</v>
      </c>
      <c r="AG28" s="56" t="n">
        <f aca="false">MAX(0,AE28-AD28)*AC28*roy_rate*B28*(1-IF(union_resp=2,lic_cut*Labour!S28,0))</f>
        <v>0</v>
      </c>
      <c r="AH28" s="55" t="n">
        <v>3</v>
      </c>
      <c r="AI28" s="56" t="n">
        <f aca="false">AH28*B28</f>
        <v>3.00289571915308</v>
      </c>
      <c r="AJ28" s="55" t="n">
        <v>0</v>
      </c>
      <c r="AK28" s="56" t="n">
        <f aca="false">AJ28*B28</f>
        <v>0</v>
      </c>
      <c r="AL28" s="48" t="n">
        <v>0</v>
      </c>
      <c r="AM28" s="56" t="n">
        <f aca="false">AL28*uw_fee*B28</f>
        <v>0</v>
      </c>
      <c r="AN28" s="55" t="n">
        <v>0</v>
      </c>
      <c r="AO28" s="55" t="n">
        <v>0</v>
      </c>
      <c r="AP28" s="56" t="n">
        <f aca="false">K28+T28+W28+Z28+AF28+AI28+AK28+AM28+AN28+AO28</f>
        <v>3.63955965987552</v>
      </c>
      <c r="AQ28" s="56" t="n">
        <f aca="false">AP28*(1-1/champ_prem+champ_spill)</f>
        <v>2.52747198602466</v>
      </c>
      <c r="AR28" s="66" t="n">
        <f aca="false">AP28/Economy!O28</f>
        <v>0.00838104827945724</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0.0193987063457289</v>
      </c>
      <c r="BA28" s="56" t="n">
        <f aca="false">AP28*champ_profit+AZ28</f>
        <v>0.747310638320832</v>
      </c>
      <c r="BB28" s="56" t="n">
        <f aca="false">(K28+AI28+AK28)*champ_profit+P28+(AS28*ret_rail+AT28*ret_tel+AU28*ret_elec)*B28*IF(OR($A28=1931,$A28=1932),abroad_slump,1)</f>
        <v>0.600579143830615</v>
      </c>
      <c r="BC28" s="56" t="n">
        <f aca="false">(T28+W28+Z28+AF28+AN28+AO28)*champ_profit+(AV28*ret_auto+AW28*ret_chem+AX28*ret_steel)*B28*IF(OR($A28=1931,$A28=1932),abroad_slump,1)+AB28+AG28</f>
        <v>0.146731494490217</v>
      </c>
      <c r="BD28" s="56" t="n">
        <f aca="false">IF($A28&gt;=crown_start,(BB28*crown_charter+BC28*crown_comp)*crown_payout,0)</f>
        <v>0</v>
      </c>
      <c r="BE28" s="66" t="n">
        <f aca="false">IF(BB28+BC28&gt;0,(BB28*crown_charter+BC28*crown_comp)/(BA28),0)</f>
        <v>0.2166211709238</v>
      </c>
    </row>
    <row r="29" customFormat="false" ht="14.25" hidden="false" customHeight="false" outlineLevel="0" collapsed="false">
      <c r="A29" s="61" t="n">
        <v>1869</v>
      </c>
      <c r="B29" s="68" t="n">
        <f aca="false">champ_scale*(1+Labour!AP29)*(1+Partners!BX29)*(1-IF(union_resp=2,tariff_cut*Labour!S29,0))</f>
        <v>1.0023526076292</v>
      </c>
      <c r="C29" s="48" t="n">
        <v>0</v>
      </c>
      <c r="D29" s="48" t="n">
        <v>0</v>
      </c>
      <c r="E29" s="48" t="n">
        <v>180</v>
      </c>
      <c r="F29" s="50" t="n">
        <f aca="false">E29*B29</f>
        <v>180.423469373257</v>
      </c>
      <c r="G29" s="50" t="n">
        <f aca="false">F29/Economy!B29*1000000</f>
        <v>112.655962389431</v>
      </c>
      <c r="H29" s="48" t="n">
        <v>298</v>
      </c>
      <c r="I29" s="70" t="n">
        <f aca="false">IF(H29&gt;0,G29/H29,0)</f>
        <v>0.378040142246412</v>
      </c>
      <c r="J29" s="71" t="n">
        <v>0</v>
      </c>
      <c r="K29" s="56" t="n">
        <f aca="false">Resources!K29*J29*B29</f>
        <v>0</v>
      </c>
      <c r="L29" s="48" t="n">
        <v>0</v>
      </c>
      <c r="M29" s="62" t="n">
        <v>0</v>
      </c>
      <c r="N29" s="48" t="n">
        <v>0</v>
      </c>
      <c r="O29" s="71" t="n">
        <v>0</v>
      </c>
      <c r="P29" s="56" t="n">
        <f aca="false">(IF(Gulf!E29=1,0,L29*M29)+N29)*O29*B29</f>
        <v>0</v>
      </c>
      <c r="Q29" s="56" t="n">
        <f aca="false">P29*oil_book</f>
        <v>0</v>
      </c>
      <c r="R29" s="71" t="n">
        <v>0.013</v>
      </c>
      <c r="S29" s="48" t="n">
        <v>39</v>
      </c>
      <c r="T29" s="56" t="n">
        <f aca="false">R29*S29*B29</f>
        <v>0.508192772068007</v>
      </c>
      <c r="U29" s="48" t="n">
        <v>0</v>
      </c>
      <c r="V29" s="48" t="n">
        <v>0</v>
      </c>
      <c r="W29" s="56" t="n">
        <f aca="false">U29/1000*V29*B29</f>
        <v>0</v>
      </c>
      <c r="X29" s="48" t="n">
        <v>346</v>
      </c>
      <c r="Y29" s="62" t="n">
        <v>0.003</v>
      </c>
      <c r="Z29" s="56" t="n">
        <f aca="false">X29*Y29*chem_va*B29</f>
        <v>0.468198903023601</v>
      </c>
      <c r="AA29" s="62" t="n">
        <v>0.003</v>
      </c>
      <c r="AB29" s="56" t="n">
        <f aca="false">X29*AA29*roy_rate*B29*(1-IF(union_resp=2,lic_cut*Labour!S29,0))</f>
        <v>0.0312132602015734</v>
      </c>
      <c r="AC29" s="48" t="n">
        <v>0</v>
      </c>
      <c r="AD29" s="62" t="n">
        <v>0</v>
      </c>
      <c r="AE29" s="62" t="n">
        <v>0</v>
      </c>
      <c r="AF29" s="56" t="n">
        <f aca="false">AC29*AD29*elec_va*B29</f>
        <v>0</v>
      </c>
      <c r="AG29" s="56" t="n">
        <f aca="false">MAX(0,AE29-AD29)*AC29*roy_rate*B29*(1-IF(union_resp=2,lic_cut*Labour!S29,0))</f>
        <v>0</v>
      </c>
      <c r="AH29" s="55" t="n">
        <v>3</v>
      </c>
      <c r="AI29" s="56" t="n">
        <f aca="false">AH29*B29</f>
        <v>3.00705782288761</v>
      </c>
      <c r="AJ29" s="55" t="n">
        <v>0</v>
      </c>
      <c r="AK29" s="56" t="n">
        <f aca="false">AJ29*B29</f>
        <v>0</v>
      </c>
      <c r="AL29" s="48" t="n">
        <v>0</v>
      </c>
      <c r="AM29" s="56" t="n">
        <f aca="false">AL29*uw_fee*B29</f>
        <v>0</v>
      </c>
      <c r="AN29" s="55" t="n">
        <v>0</v>
      </c>
      <c r="AO29" s="55" t="n">
        <v>0</v>
      </c>
      <c r="AP29" s="56" t="n">
        <f aca="false">K29+T29+W29+Z29+AF29+AI29+AK29+AM29+AN29+AO29</f>
        <v>3.98344949797922</v>
      </c>
      <c r="AQ29" s="56" t="n">
        <f aca="false">AP29*(1-1/champ_prem+champ_spill)</f>
        <v>2.76628437359668</v>
      </c>
      <c r="AR29" s="66" t="n">
        <f aca="false">AP29/Economy!O29</f>
        <v>0.00844645377505024</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0.0312132602015734</v>
      </c>
      <c r="BA29" s="56" t="n">
        <f aca="false">AP29*champ_profit+AZ29</f>
        <v>0.827903159797418</v>
      </c>
      <c r="BB29" s="56" t="n">
        <f aca="false">(K29+AI29+AK29)*champ_profit+P29+(AS29*ret_rail+AT29*ret_tel+AU29*ret_elec)*B29*IF(OR($A29=1931,$A29=1932),abroad_slump,1)</f>
        <v>0.601411564577523</v>
      </c>
      <c r="BC29" s="56" t="n">
        <f aca="false">(T29+W29+Z29+AF29+AN29+AO29)*champ_profit+(AV29*ret_auto+AW29*ret_chem+AX29*ret_steel)*B29*IF(OR($A29=1931,$A29=1932),abroad_slump,1)+AB29+AG29</f>
        <v>0.226491595219895</v>
      </c>
      <c r="BD29" s="56" t="n">
        <f aca="false">IF($A29&gt;=crown_start,(BB29*crown_charter+BC29*crown_comp)*crown_payout,0)</f>
        <v>0</v>
      </c>
      <c r="BE29" s="66" t="n">
        <f aca="false">IF(BB29+BC29&gt;0,(BB29*crown_charter+BC29*crown_comp)/(BA29),0)</f>
        <v>0.203492663082958</v>
      </c>
    </row>
    <row r="30" customFormat="false" ht="14.25" hidden="false" customHeight="false" outlineLevel="0" collapsed="false">
      <c r="A30" s="64" t="n">
        <v>1870</v>
      </c>
      <c r="B30" s="68" t="n">
        <f aca="false">champ_scale*(1+Labour!AP30)*(1+Partners!BX30)*(1-IF(union_resp=2,tariff_cut*Labour!S30,0))</f>
        <v>1.00379770106992</v>
      </c>
      <c r="C30" s="48" t="n">
        <v>50</v>
      </c>
      <c r="D30" s="48" t="n">
        <v>20</v>
      </c>
      <c r="E30" s="48" t="n">
        <v>200</v>
      </c>
      <c r="F30" s="50" t="n">
        <f aca="false">E30*B30</f>
        <v>200.759540213985</v>
      </c>
      <c r="G30" s="50" t="n">
        <f aca="false">F30/Economy!B30*1000000</f>
        <v>117.113863575208</v>
      </c>
      <c r="H30" s="48" t="n">
        <v>314</v>
      </c>
      <c r="I30" s="70" t="n">
        <f aca="false">IF(H30&gt;0,G30/H30,0)</f>
        <v>0.372974087819135</v>
      </c>
      <c r="J30" s="71" t="n">
        <v>0</v>
      </c>
      <c r="K30" s="56" t="n">
        <f aca="false">Resources!K30*J30*B30</f>
        <v>0</v>
      </c>
      <c r="L30" s="48" t="n">
        <v>0</v>
      </c>
      <c r="M30" s="62" t="n">
        <v>0</v>
      </c>
      <c r="N30" s="48" t="n">
        <v>0</v>
      </c>
      <c r="O30" s="71" t="n">
        <v>0</v>
      </c>
      <c r="P30" s="56" t="n">
        <f aca="false">(IF(Gulf!E30=1,0,L30*M30)+N30)*O30*B30</f>
        <v>0</v>
      </c>
      <c r="Q30" s="56" t="n">
        <f aca="false">P30*oil_book</f>
        <v>0</v>
      </c>
      <c r="R30" s="71" t="n">
        <v>0.02</v>
      </c>
      <c r="S30" s="48" t="n">
        <v>38</v>
      </c>
      <c r="T30" s="56" t="n">
        <f aca="false">R30*S30*B30</f>
        <v>0.762886252813143</v>
      </c>
      <c r="U30" s="48" t="n">
        <v>0</v>
      </c>
      <c r="V30" s="48" t="n">
        <v>0</v>
      </c>
      <c r="W30" s="56" t="n">
        <f aca="false">U30/1000*V30*B30</f>
        <v>0</v>
      </c>
      <c r="X30" s="48" t="n">
        <v>369</v>
      </c>
      <c r="Y30" s="62" t="n">
        <v>0.004</v>
      </c>
      <c r="Z30" s="56" t="n">
        <f aca="false">X30*Y30*chem_va*B30</f>
        <v>0.666722433050644</v>
      </c>
      <c r="AA30" s="62" t="n">
        <v>0.003</v>
      </c>
      <c r="AB30" s="56" t="n">
        <f aca="false">X30*AA30*roy_rate*B30*(1-IF(union_resp=2,lic_cut*Labour!S30,0))</f>
        <v>0.0333361216525322</v>
      </c>
      <c r="AC30" s="48" t="n">
        <v>0</v>
      </c>
      <c r="AD30" s="62" t="n">
        <v>0</v>
      </c>
      <c r="AE30" s="62" t="n">
        <v>0</v>
      </c>
      <c r="AF30" s="56" t="n">
        <f aca="false">AC30*AD30*elec_va*B30</f>
        <v>0</v>
      </c>
      <c r="AG30" s="56" t="n">
        <f aca="false">MAX(0,AE30-AD30)*AC30*roy_rate*B30*(1-IF(union_resp=2,lic_cut*Labour!S30,0))</f>
        <v>0</v>
      </c>
      <c r="AH30" s="55" t="n">
        <v>3</v>
      </c>
      <c r="AI30" s="56" t="n">
        <f aca="false">AH30*B30</f>
        <v>3.01139310320977</v>
      </c>
      <c r="AJ30" s="55" t="n">
        <v>3</v>
      </c>
      <c r="AK30" s="56" t="n">
        <f aca="false">AJ30*B30</f>
        <v>3.01139310320977</v>
      </c>
      <c r="AL30" s="48" t="n">
        <v>2</v>
      </c>
      <c r="AM30" s="56" t="n">
        <f aca="false">AL30*uw_fee*B30</f>
        <v>0.0501898850534962</v>
      </c>
      <c r="AN30" s="55" t="n">
        <v>0</v>
      </c>
      <c r="AO30" s="55" t="n">
        <v>0</v>
      </c>
      <c r="AP30" s="56" t="n">
        <f aca="false">K30+T30+W30+Z30+AF30+AI30+AK30+AM30+AN30+AO30</f>
        <v>7.50258477733683</v>
      </c>
      <c r="AQ30" s="56" t="n">
        <f aca="false">AP30*(1-1/champ_prem+champ_spill)</f>
        <v>5.21012831759502</v>
      </c>
      <c r="AR30" s="66" t="n">
        <f aca="false">AP30/Economy!O30</f>
        <v>0.0145829366833624</v>
      </c>
      <c r="AS30" s="55" t="n">
        <v>5</v>
      </c>
      <c r="AT30" s="55" t="n">
        <v>2</v>
      </c>
      <c r="AU30" s="55" t="n">
        <v>0</v>
      </c>
      <c r="AV30" s="55" t="n">
        <v>0</v>
      </c>
      <c r="AW30" s="55" t="n">
        <v>0</v>
      </c>
      <c r="AX30" s="55" t="n">
        <v>0</v>
      </c>
      <c r="AY30" s="56" t="n">
        <f aca="false">Q30+(AS30+AT30+AU30+AV30+AW30+AX30)*B30</f>
        <v>7.02658390748947</v>
      </c>
      <c r="AZ30" s="56" t="n">
        <f aca="false">P30+(AS30*ret_rail+AT30*ret_tel+AU30*ret_elec+AV30*ret_auto+AW30*ret_chem+AX30*ret_steel)*B30*IF(OR($A30=1931,$A30=1932),abroad_slump,1)+AB30+AG30</f>
        <v>0.485045087133998</v>
      </c>
      <c r="BA30" s="56" t="n">
        <f aca="false">AP30*champ_profit+AZ30</f>
        <v>1.98556204260136</v>
      </c>
      <c r="BB30" s="56" t="n">
        <f aca="false">(K30+AI30+AK30)*champ_profit+P30+(AS30*ret_rail+AT30*ret_tel+AU30*ret_elec)*B30*IF(OR($A30=1931,$A30=1932),abroad_slump,1)</f>
        <v>1.65626620676538</v>
      </c>
      <c r="BC30" s="56" t="n">
        <f aca="false">(T30+W30+Z30+AF30+AN30+AO30)*champ_profit+(AV30*ret_auto+AW30*ret_chem+AX30*ret_steel)*B30*IF(OR($A30=1931,$A30=1932),abroad_slump,1)+AB30+AG30</f>
        <v>0.31925785882529</v>
      </c>
      <c r="BD30" s="56" t="n">
        <f aca="false">IF($A30&gt;=crown_start,(BB30*crown_charter+BC30*crown_comp)*crown_payout,0)</f>
        <v>0</v>
      </c>
      <c r="BE30" s="66" t="n">
        <f aca="false">IF(BB30+BC30&gt;0,(BB30*crown_charter+BC30*crown_comp)/(BA30),0)</f>
        <v>0.221401885695508</v>
      </c>
    </row>
    <row r="31" customFormat="false" ht="14.25" hidden="false" customHeight="false" outlineLevel="0" collapsed="false">
      <c r="A31" s="64" t="n">
        <v>1871</v>
      </c>
      <c r="B31" s="68" t="n">
        <f aca="false">champ_scale*(1+Labour!AP31)*(1+Partners!BX31)*(1-IF(union_resp=2,tariff_cut*Labour!S31,0))</f>
        <v>1.0053604486948</v>
      </c>
      <c r="C31" s="48" t="n">
        <v>80</v>
      </c>
      <c r="D31" s="48" t="n">
        <v>30</v>
      </c>
      <c r="E31" s="48" t="n">
        <v>280</v>
      </c>
      <c r="F31" s="50" t="n">
        <f aca="false">E31*B31</f>
        <v>281.500925634545</v>
      </c>
      <c r="G31" s="50" t="n">
        <f aca="false">F31/Economy!B31*1000000</f>
        <v>153.89666080091</v>
      </c>
      <c r="H31" s="48" t="n">
        <v>308</v>
      </c>
      <c r="I31" s="70" t="n">
        <f aca="false">IF(H31&gt;0,G31/H31,0)</f>
        <v>0.499664483119837</v>
      </c>
      <c r="J31" s="71" t="n">
        <v>0</v>
      </c>
      <c r="K31" s="56" t="n">
        <f aca="false">Resources!K31*J31*B31</f>
        <v>0</v>
      </c>
      <c r="L31" s="48" t="n">
        <v>0</v>
      </c>
      <c r="M31" s="62" t="n">
        <v>0</v>
      </c>
      <c r="N31" s="48" t="n">
        <v>0</v>
      </c>
      <c r="O31" s="71" t="n">
        <v>0</v>
      </c>
      <c r="P31" s="56" t="n">
        <f aca="false">(IF(Gulf!E31=1,0,L31*M31)+N31)*O31*B31</f>
        <v>0</v>
      </c>
      <c r="Q31" s="56" t="n">
        <f aca="false">P31*oil_book</f>
        <v>0</v>
      </c>
      <c r="R31" s="71" t="n">
        <v>0.03</v>
      </c>
      <c r="S31" s="48" t="n">
        <v>37</v>
      </c>
      <c r="T31" s="56" t="n">
        <f aca="false">R31*S31*B31</f>
        <v>1.11595009805123</v>
      </c>
      <c r="U31" s="48" t="n">
        <v>0</v>
      </c>
      <c r="V31" s="48" t="n">
        <v>0</v>
      </c>
      <c r="W31" s="56" t="n">
        <f aca="false">U31/1000*V31*B31</f>
        <v>0</v>
      </c>
      <c r="X31" s="48" t="n">
        <v>392</v>
      </c>
      <c r="Y31" s="62" t="n">
        <v>0.004</v>
      </c>
      <c r="Z31" s="56" t="n">
        <f aca="false">X31*Y31*chem_va*B31</f>
        <v>0.709382332599054</v>
      </c>
      <c r="AA31" s="62" t="n">
        <v>0.003</v>
      </c>
      <c r="AB31" s="56" t="n">
        <f aca="false">X31*AA31*roy_rate*B31*(1-IF(union_resp=2,lic_cut*Labour!S31,0))</f>
        <v>0.0354691166299527</v>
      </c>
      <c r="AC31" s="48" t="n">
        <v>0</v>
      </c>
      <c r="AD31" s="62" t="n">
        <v>0</v>
      </c>
      <c r="AE31" s="62" t="n">
        <v>0</v>
      </c>
      <c r="AF31" s="56" t="n">
        <f aca="false">AC31*AD31*elec_va*B31</f>
        <v>0</v>
      </c>
      <c r="AG31" s="56" t="n">
        <f aca="false">MAX(0,AE31-AD31)*AC31*roy_rate*B31*(1-IF(union_resp=2,lic_cut*Labour!S31,0))</f>
        <v>0</v>
      </c>
      <c r="AH31" s="55" t="n">
        <v>3</v>
      </c>
      <c r="AI31" s="56" t="n">
        <f aca="false">AH31*B31</f>
        <v>3.01608134608441</v>
      </c>
      <c r="AJ31" s="55" t="n">
        <v>4</v>
      </c>
      <c r="AK31" s="56" t="n">
        <f aca="false">AJ31*B31</f>
        <v>4.02144179477922</v>
      </c>
      <c r="AL31" s="48" t="n">
        <v>3</v>
      </c>
      <c r="AM31" s="56" t="n">
        <f aca="false">AL31*uw_fee*B31</f>
        <v>0.0754020336521103</v>
      </c>
      <c r="AN31" s="55" t="n">
        <v>0</v>
      </c>
      <c r="AO31" s="55" t="n">
        <v>0</v>
      </c>
      <c r="AP31" s="56" t="n">
        <f aca="false">K31+T31+W31+Z31+AF31+AI31+AK31+AM31+AN31+AO31</f>
        <v>8.93825760516603</v>
      </c>
      <c r="AQ31" s="56" t="n">
        <f aca="false">AP31*(1-1/champ_prem+champ_spill)</f>
        <v>6.20712333692085</v>
      </c>
      <c r="AR31" s="66" t="n">
        <f aca="false">AP31/Economy!O31</f>
        <v>0.0161634019201511</v>
      </c>
      <c r="AS31" s="55" t="n">
        <v>8</v>
      </c>
      <c r="AT31" s="55" t="n">
        <v>3</v>
      </c>
      <c r="AU31" s="55" t="n">
        <v>0</v>
      </c>
      <c r="AV31" s="55" t="n">
        <v>0</v>
      </c>
      <c r="AW31" s="55" t="n">
        <v>0</v>
      </c>
      <c r="AX31" s="55" t="n">
        <v>0</v>
      </c>
      <c r="AY31" s="56" t="n">
        <f aca="false">Q31+(AS31+AT31+AU31+AV31+AW31+AX31)*B31</f>
        <v>11.0589649356428</v>
      </c>
      <c r="AZ31" s="56" t="n">
        <f aca="false">P31+(AS31*ret_rail+AT31*ret_tel+AU31*ret_elec+AV31*ret_auto+AW31*ret_chem+AX31*ret_steel)*B31*IF(OR($A31=1931,$A31=1932),abroad_slump,1)+AB31+AG31</f>
        <v>0.739221430716316</v>
      </c>
      <c r="BA31" s="56" t="n">
        <f aca="false">AP31*champ_profit+AZ31</f>
        <v>2.52687295174952</v>
      </c>
      <c r="BB31" s="56" t="n">
        <f aca="false">(K31+AI31+AK31)*champ_profit+P31+(AS31*ret_rail+AT31*ret_tel+AU31*ret_elec)*B31*IF(OR($A31=1931,$A31=1932),abroad_slump,1)</f>
        <v>2.11125694225909</v>
      </c>
      <c r="BC31" s="56" t="n">
        <f aca="false">(T31+W31+Z31+AF31+AN31+AO31)*champ_profit+(AV31*ret_auto+AW31*ret_chem+AX31*ret_steel)*B31*IF(OR($A31=1931,$A31=1932),abroad_slump,1)+AB31+AG31</f>
        <v>0.40053560276001</v>
      </c>
      <c r="BD31" s="56" t="n">
        <f aca="false">IF($A31&gt;=crown_start,(BB31*crown_charter+BC31*crown_comp)*crown_payout,0)</f>
        <v>0</v>
      </c>
      <c r="BE31" s="66" t="n">
        <f aca="false">IF(BB31+BC31&gt;0,(BB31*crown_charter+BC31*crown_comp)/(BA31),0)</f>
        <v>0.221561231797565</v>
      </c>
    </row>
    <row r="32" customFormat="false" ht="14.25" hidden="false" customHeight="false" outlineLevel="0" collapsed="false">
      <c r="A32" s="61" t="n">
        <v>1872</v>
      </c>
      <c r="B32" s="68" t="n">
        <f aca="false">champ_scale*(1+Labour!AP32)*(1+Partners!BX32)*(1-IF(union_resp=2,tariff_cut*Labour!S32,0))</f>
        <v>1.00697521726773</v>
      </c>
      <c r="C32" s="48" t="n">
        <v>100</v>
      </c>
      <c r="D32" s="48" t="n">
        <v>40</v>
      </c>
      <c r="E32" s="48" t="n">
        <v>360</v>
      </c>
      <c r="F32" s="50" t="n">
        <f aca="false">E32*B32</f>
        <v>362.511078216383</v>
      </c>
      <c r="G32" s="50" t="n">
        <f aca="false">F32/Economy!B32*1000000</f>
        <v>186.259448705646</v>
      </c>
      <c r="H32" s="48" t="n">
        <v>303</v>
      </c>
      <c r="I32" s="70" t="n">
        <f aca="false">IF(H32&gt;0,G32/H32,0)</f>
        <v>0.614717652493883</v>
      </c>
      <c r="J32" s="71" t="n">
        <v>0</v>
      </c>
      <c r="K32" s="56" t="n">
        <f aca="false">Resources!K32*J32*B32</f>
        <v>0</v>
      </c>
      <c r="L32" s="48" t="n">
        <v>0</v>
      </c>
      <c r="M32" s="62" t="n">
        <v>0</v>
      </c>
      <c r="N32" s="48" t="n">
        <v>0</v>
      </c>
      <c r="O32" s="71" t="n">
        <v>0</v>
      </c>
      <c r="P32" s="56" t="n">
        <f aca="false">(IF(Gulf!E32=1,0,L32*M32)+N32)*O32*B32</f>
        <v>0</v>
      </c>
      <c r="Q32" s="56" t="n">
        <f aca="false">P32*oil_book</f>
        <v>0</v>
      </c>
      <c r="R32" s="71" t="n">
        <v>0.04</v>
      </c>
      <c r="S32" s="48" t="n">
        <v>36</v>
      </c>
      <c r="T32" s="56" t="n">
        <f aca="false">R32*S32*B32</f>
        <v>1.45004431286553</v>
      </c>
      <c r="U32" s="48" t="n">
        <v>0</v>
      </c>
      <c r="V32" s="48" t="n">
        <v>0</v>
      </c>
      <c r="W32" s="56" t="n">
        <f aca="false">U32/1000*V32*B32</f>
        <v>0</v>
      </c>
      <c r="X32" s="48" t="n">
        <v>415</v>
      </c>
      <c r="Y32" s="62" t="n">
        <v>0.005</v>
      </c>
      <c r="Z32" s="56" t="n">
        <f aca="false">X32*Y32*chem_va*B32</f>
        <v>0.940263109123744</v>
      </c>
      <c r="AA32" s="62" t="n">
        <v>0.004</v>
      </c>
      <c r="AB32" s="56" t="n">
        <f aca="false">X32*AA32*roy_rate*B32*(1-IF(union_resp=2,lic_cut*Labour!S32,0))</f>
        <v>0.050147365819933</v>
      </c>
      <c r="AC32" s="48" t="n">
        <v>0</v>
      </c>
      <c r="AD32" s="62" t="n">
        <v>0</v>
      </c>
      <c r="AE32" s="62" t="n">
        <v>0</v>
      </c>
      <c r="AF32" s="56" t="n">
        <f aca="false">AC32*AD32*elec_va*B32</f>
        <v>0</v>
      </c>
      <c r="AG32" s="56" t="n">
        <f aca="false">MAX(0,AE32-AD32)*AC32*roy_rate*B32*(1-IF(union_resp=2,lic_cut*Labour!S32,0))</f>
        <v>0</v>
      </c>
      <c r="AH32" s="55" t="n">
        <v>4</v>
      </c>
      <c r="AI32" s="56" t="n">
        <f aca="false">AH32*B32</f>
        <v>4.02790086907093</v>
      </c>
      <c r="AJ32" s="55" t="n">
        <v>4</v>
      </c>
      <c r="AK32" s="56" t="n">
        <f aca="false">AJ32*B32</f>
        <v>4.02790086907093</v>
      </c>
      <c r="AL32" s="48" t="n">
        <v>4</v>
      </c>
      <c r="AM32" s="56" t="n">
        <f aca="false">AL32*uw_fee*B32</f>
        <v>0.100697521726773</v>
      </c>
      <c r="AN32" s="55" t="n">
        <v>0</v>
      </c>
      <c r="AO32" s="55" t="n">
        <v>0</v>
      </c>
      <c r="AP32" s="56" t="n">
        <f aca="false">K32+T32+W32+Z32+AF32+AI32+AK32+AM32+AN32+AO32</f>
        <v>10.5468066818579</v>
      </c>
      <c r="AQ32" s="56" t="n">
        <f aca="false">AP32*(1-1/champ_prem+champ_spill)</f>
        <v>7.32417130684577</v>
      </c>
      <c r="AR32" s="66" t="n">
        <f aca="false">AP32/Economy!O32</f>
        <v>0.0177975597044578</v>
      </c>
      <c r="AS32" s="55" t="n">
        <v>10</v>
      </c>
      <c r="AT32" s="55" t="n">
        <v>4</v>
      </c>
      <c r="AU32" s="55" t="n">
        <v>0</v>
      </c>
      <c r="AV32" s="55" t="n">
        <v>0</v>
      </c>
      <c r="AW32" s="55" t="n">
        <v>0</v>
      </c>
      <c r="AX32" s="55" t="n">
        <v>0</v>
      </c>
      <c r="AY32" s="56" t="n">
        <f aca="false">Q32+(AS32+AT32+AU32+AV32+AW32+AX32)*B32</f>
        <v>14.0976530417482</v>
      </c>
      <c r="AZ32" s="56" t="n">
        <f aca="false">P32+(AS32*ret_rail+AT32*ret_tel+AU32*ret_elec+AV32*ret_auto+AW32*ret_chem+AX32*ret_steel)*B32*IF(OR($A32=1931,$A32=1932),abroad_slump,1)+AB32+AG32</f>
        <v>0.956425061360891</v>
      </c>
      <c r="BA32" s="56" t="n">
        <f aca="false">AP32*champ_profit+AZ32</f>
        <v>3.06578639773247</v>
      </c>
      <c r="BB32" s="56" t="n">
        <f aca="false">(K32+AI32+AK32)*champ_profit+P32+(AS32*ret_rail+AT32*ret_tel+AU32*ret_elec)*B32*IF(OR($A32=1931,$A32=1932),abroad_slump,1)</f>
        <v>2.51743804316933</v>
      </c>
      <c r="BC32" s="56" t="n">
        <f aca="false">(T32+W32+Z32+AF32+AN32+AO32)*champ_profit+(AV32*ret_auto+AW32*ret_chem+AX32*ret_steel)*B32*IF(OR($A32=1931,$A32=1932),abroad_slump,1)+AB32+AG32</f>
        <v>0.528208850217789</v>
      </c>
      <c r="BD32" s="56" t="n">
        <f aca="false">IF($A32&gt;=crown_start,(BB32*crown_charter+BC32*crown_comp)*crown_payout,0)</f>
        <v>0</v>
      </c>
      <c r="BE32" s="66" t="n">
        <f aca="false">IF(BB32+BC32&gt;0,(BB32*crown_charter+BC32*crown_comp)/(BA32),0)</f>
        <v>0.219068170994071</v>
      </c>
    </row>
    <row r="33" customFormat="false" ht="14.25" hidden="false" customHeight="false" outlineLevel="0" collapsed="false">
      <c r="A33" s="61" t="n">
        <v>1873</v>
      </c>
      <c r="B33" s="68" t="n">
        <f aca="false">champ_scale*(1+Labour!AP33)*(1+Partners!BX33)*(1-IF(union_resp=2,tariff_cut*Labour!S33,0))</f>
        <v>1.00864705527252</v>
      </c>
      <c r="C33" s="48" t="n">
        <v>120</v>
      </c>
      <c r="D33" s="48" t="n">
        <v>40</v>
      </c>
      <c r="E33" s="48" t="n">
        <v>440</v>
      </c>
      <c r="F33" s="50" t="n">
        <f aca="false">E33*B33</f>
        <v>443.804704319908</v>
      </c>
      <c r="G33" s="50" t="n">
        <f aca="false">F33/Economy!B33*1000000</f>
        <v>213.613241117587</v>
      </c>
      <c r="H33" s="48" t="n">
        <v>297</v>
      </c>
      <c r="I33" s="70" t="n">
        <f aca="false">IF(H33&gt;0,G33/H33,0)</f>
        <v>0.719236502079419</v>
      </c>
      <c r="J33" s="71" t="n">
        <v>0</v>
      </c>
      <c r="K33" s="56" t="n">
        <f aca="false">Resources!K33*J33*B33</f>
        <v>0</v>
      </c>
      <c r="L33" s="48" t="n">
        <v>0</v>
      </c>
      <c r="M33" s="62" t="n">
        <v>0</v>
      </c>
      <c r="N33" s="48" t="n">
        <v>0</v>
      </c>
      <c r="O33" s="71" t="n">
        <v>0</v>
      </c>
      <c r="P33" s="56" t="n">
        <f aca="false">(IF(Gulf!E33=1,0,L33*M33)+N33)*O33*B33</f>
        <v>0</v>
      </c>
      <c r="Q33" s="56" t="n">
        <f aca="false">P33*oil_book</f>
        <v>0</v>
      </c>
      <c r="R33" s="71" t="n">
        <v>0.05</v>
      </c>
      <c r="S33" s="48" t="n">
        <v>35</v>
      </c>
      <c r="T33" s="56" t="n">
        <f aca="false">R33*S33*B33</f>
        <v>1.76513234672691</v>
      </c>
      <c r="U33" s="48" t="n">
        <v>0</v>
      </c>
      <c r="V33" s="48" t="n">
        <v>0</v>
      </c>
      <c r="W33" s="56" t="n">
        <f aca="false">U33/1000*V33*B33</f>
        <v>0</v>
      </c>
      <c r="X33" s="48" t="n">
        <v>438</v>
      </c>
      <c r="Y33" s="62" t="n">
        <v>0.006</v>
      </c>
      <c r="Z33" s="56" t="n">
        <f aca="false">X33*Y33*chem_va*B33</f>
        <v>1.19282600756528</v>
      </c>
      <c r="AA33" s="62" t="n">
        <v>0.004</v>
      </c>
      <c r="AB33" s="56" t="n">
        <f aca="false">X33*AA33*roy_rate*B33*(1-IF(union_resp=2,lic_cut*Labour!S33,0))</f>
        <v>0.0530144892251235</v>
      </c>
      <c r="AC33" s="48" t="n">
        <v>0</v>
      </c>
      <c r="AD33" s="62" t="n">
        <v>0</v>
      </c>
      <c r="AE33" s="62" t="n">
        <v>0</v>
      </c>
      <c r="AF33" s="56" t="n">
        <f aca="false">AC33*AD33*elec_va*B33</f>
        <v>0</v>
      </c>
      <c r="AG33" s="56" t="n">
        <f aca="false">MAX(0,AE33-AD33)*AC33*roy_rate*B33*(1-IF(union_resp=2,lic_cut*Labour!S33,0))</f>
        <v>0</v>
      </c>
      <c r="AH33" s="55" t="n">
        <v>4</v>
      </c>
      <c r="AI33" s="56" t="n">
        <f aca="false">AH33*B33</f>
        <v>4.03458822109007</v>
      </c>
      <c r="AJ33" s="55" t="n">
        <v>5</v>
      </c>
      <c r="AK33" s="56" t="n">
        <f aca="false">AJ33*B33</f>
        <v>5.04323527636259</v>
      </c>
      <c r="AL33" s="48" t="n">
        <v>4</v>
      </c>
      <c r="AM33" s="56" t="n">
        <f aca="false">AL33*uw_fee*B33</f>
        <v>0.100864705527252</v>
      </c>
      <c r="AN33" s="55" t="n">
        <v>0</v>
      </c>
      <c r="AO33" s="55" t="n">
        <v>0</v>
      </c>
      <c r="AP33" s="56" t="n">
        <f aca="false">K33+T33+W33+Z33+AF33+AI33+AK33+AM33+AN33+AO33</f>
        <v>12.1366465572721</v>
      </c>
      <c r="AQ33" s="56" t="n">
        <f aca="false">AP33*(1-1/champ_prem+champ_spill)</f>
        <v>8.4282267758834</v>
      </c>
      <c r="AR33" s="66" t="n">
        <f aca="false">AP33/Economy!O33</f>
        <v>0.0193082035241694</v>
      </c>
      <c r="AS33" s="55" t="n">
        <v>12</v>
      </c>
      <c r="AT33" s="55" t="n">
        <v>4</v>
      </c>
      <c r="AU33" s="55" t="n">
        <v>0</v>
      </c>
      <c r="AV33" s="55" t="n">
        <v>0</v>
      </c>
      <c r="AW33" s="55" t="n">
        <v>0</v>
      </c>
      <c r="AX33" s="55" t="n">
        <v>0</v>
      </c>
      <c r="AY33" s="56" t="n">
        <f aca="false">Q33+(AS33+AT33+AU33+AV33+AW33+AX33)*B33</f>
        <v>16.1383528843603</v>
      </c>
      <c r="AZ33" s="56" t="n">
        <f aca="false">P33+(AS33*ret_rail+AT33*ret_tel+AU33*ret_elec+AV33*ret_auto+AW33*ret_chem+AX33*ret_steel)*B33*IF(OR($A33=1931,$A33=1932),abroad_slump,1)+AB33+AG33</f>
        <v>1.06166154449764</v>
      </c>
      <c r="BA33" s="56" t="n">
        <f aca="false">AP33*champ_profit+AZ33</f>
        <v>3.48899085595206</v>
      </c>
      <c r="BB33" s="56" t="n">
        <f aca="false">(K33+AI33+AK33)*champ_profit+P33+(AS33*ret_rail+AT33*ret_tel+AU33*ret_elec)*B33*IF(OR($A33=1931,$A33=1932),abroad_slump,1)</f>
        <v>2.82421175476305</v>
      </c>
      <c r="BC33" s="56" t="n">
        <f aca="false">(T33+W33+Z33+AF33+AN33+AO33)*champ_profit+(AV33*ret_auto+AW33*ret_chem+AX33*ret_steel)*B33*IF(OR($A33=1931,$A33=1932),abroad_slump,1)+AB33+AG33</f>
        <v>0.644606160083561</v>
      </c>
      <c r="BD33" s="56" t="n">
        <f aca="false">IF($A33&gt;=crown_start,(BB33*crown_charter+BC33*crown_comp)*crown_payout,0)</f>
        <v>0</v>
      </c>
      <c r="BE33" s="66" t="n">
        <f aca="false">IF(BB33+BC33&gt;0,(BB33*crown_charter+BC33*crown_comp)/(BA33),0)</f>
        <v>0.217146293234039</v>
      </c>
    </row>
    <row r="34" customFormat="false" ht="14.25" hidden="false" customHeight="false" outlineLevel="0" collapsed="false">
      <c r="A34" s="61" t="n">
        <v>1874</v>
      </c>
      <c r="B34" s="68" t="n">
        <f aca="false">champ_scale*(1+Labour!AP34)*(1+Partners!BX34)*(1-IF(union_resp=2,tariff_cut*Labour!S34,0))</f>
        <v>1.01036614759407</v>
      </c>
      <c r="C34" s="48" t="n">
        <v>150</v>
      </c>
      <c r="D34" s="48" t="n">
        <v>50</v>
      </c>
      <c r="E34" s="48" t="n">
        <v>520</v>
      </c>
      <c r="F34" s="50" t="n">
        <f aca="false">E34*B34</f>
        <v>525.390396748919</v>
      </c>
      <c r="G34" s="50" t="n">
        <f aca="false">F34/Economy!B34*1000000</f>
        <v>236.295853303202</v>
      </c>
      <c r="H34" s="48" t="n">
        <v>292</v>
      </c>
      <c r="I34" s="70" t="n">
        <f aca="false">IF(H34&gt;0,G34/H34,0)</f>
        <v>0.809232374326036</v>
      </c>
      <c r="J34" s="71" t="n">
        <v>0</v>
      </c>
      <c r="K34" s="56" t="n">
        <f aca="false">Resources!K34*J34*B34</f>
        <v>0</v>
      </c>
      <c r="L34" s="48" t="n">
        <v>0</v>
      </c>
      <c r="M34" s="62" t="n">
        <v>0</v>
      </c>
      <c r="N34" s="48" t="n">
        <v>0</v>
      </c>
      <c r="O34" s="71" t="n">
        <v>0</v>
      </c>
      <c r="P34" s="56" t="n">
        <f aca="false">(IF(Gulf!E34=1,0,L34*M34)+N34)*O34*B34</f>
        <v>0</v>
      </c>
      <c r="Q34" s="56" t="n">
        <f aca="false">P34*oil_book</f>
        <v>0</v>
      </c>
      <c r="R34" s="71" t="n">
        <v>0.06</v>
      </c>
      <c r="S34" s="48" t="n">
        <v>34</v>
      </c>
      <c r="T34" s="56" t="n">
        <f aca="false">R34*S34*B34</f>
        <v>2.06114694109191</v>
      </c>
      <c r="U34" s="48" t="n">
        <v>0</v>
      </c>
      <c r="V34" s="48" t="n">
        <v>0</v>
      </c>
      <c r="W34" s="56" t="n">
        <f aca="false">U34/1000*V34*B34</f>
        <v>0</v>
      </c>
      <c r="X34" s="48" t="n">
        <v>462</v>
      </c>
      <c r="Y34" s="62" t="n">
        <v>0.006</v>
      </c>
      <c r="Z34" s="56" t="n">
        <f aca="false">X34*Y34*chem_va*B34</f>
        <v>1.26033073250885</v>
      </c>
      <c r="AA34" s="62" t="n">
        <v>0.004</v>
      </c>
      <c r="AB34" s="56" t="n">
        <f aca="false">X34*AA34*roy_rate*B34*(1-IF(union_resp=2,lic_cut*Labour!S34,0))</f>
        <v>0.0560146992226155</v>
      </c>
      <c r="AC34" s="48" t="n">
        <v>0</v>
      </c>
      <c r="AD34" s="62" t="n">
        <v>0</v>
      </c>
      <c r="AE34" s="62" t="n">
        <v>0</v>
      </c>
      <c r="AF34" s="56" t="n">
        <f aca="false">AC34*AD34*elec_va*B34</f>
        <v>0</v>
      </c>
      <c r="AG34" s="56" t="n">
        <f aca="false">MAX(0,AE34-AD34)*AC34*roy_rate*B34*(1-IF(union_resp=2,lic_cut*Labour!S34,0))</f>
        <v>0</v>
      </c>
      <c r="AH34" s="55" t="n">
        <v>5</v>
      </c>
      <c r="AI34" s="56" t="n">
        <f aca="false">AH34*B34</f>
        <v>5.05183073797037</v>
      </c>
      <c r="AJ34" s="55" t="n">
        <v>5</v>
      </c>
      <c r="AK34" s="56" t="n">
        <f aca="false">AJ34*B34</f>
        <v>5.05183073797037</v>
      </c>
      <c r="AL34" s="48" t="n">
        <v>5</v>
      </c>
      <c r="AM34" s="56" t="n">
        <f aca="false">AL34*uw_fee*B34</f>
        <v>0.126295768449259</v>
      </c>
      <c r="AN34" s="55" t="n">
        <v>0</v>
      </c>
      <c r="AO34" s="55" t="n">
        <v>0</v>
      </c>
      <c r="AP34" s="56" t="n">
        <f aca="false">K34+T34+W34+Z34+AF34+AI34+AK34+AM34+AN34+AO34</f>
        <v>13.5514349179908</v>
      </c>
      <c r="AQ34" s="56" t="n">
        <f aca="false">AP34*(1-1/champ_prem+champ_spill)</f>
        <v>9.41071869304915</v>
      </c>
      <c r="AR34" s="66" t="n">
        <f aca="false">AP34/Economy!O34</f>
        <v>0.0202150932299775</v>
      </c>
      <c r="AS34" s="55" t="n">
        <v>15</v>
      </c>
      <c r="AT34" s="55" t="n">
        <v>5</v>
      </c>
      <c r="AU34" s="55" t="n">
        <v>0</v>
      </c>
      <c r="AV34" s="55" t="n">
        <v>0</v>
      </c>
      <c r="AW34" s="55" t="n">
        <v>0</v>
      </c>
      <c r="AX34" s="55" t="n">
        <v>0</v>
      </c>
      <c r="AY34" s="56" t="n">
        <f aca="false">Q34+(AS34+AT34+AU34+AV34+AW34+AX34)*B34</f>
        <v>20.2073229518815</v>
      </c>
      <c r="AZ34" s="56" t="n">
        <f aca="false">P34+(AS34*ret_rail+AT34*ret_tel+AU34*ret_elec+AV34*ret_auto+AW34*ret_chem+AX34*ret_steel)*B34*IF(OR($A34=1931,$A34=1932),abroad_slump,1)+AB34+AG34</f>
        <v>1.31897238371521</v>
      </c>
      <c r="BA34" s="56" t="n">
        <f aca="false">AP34*champ_profit+AZ34</f>
        <v>4.02925936731336</v>
      </c>
      <c r="BB34" s="56" t="n">
        <f aca="false">(K34+AI34+AK34)*champ_profit+P34+(AS34*ret_rail+AT34*ret_tel+AU34*ret_elec)*B34*IF(OR($A34=1931,$A34=1932),abroad_slump,1)</f>
        <v>3.28368997968074</v>
      </c>
      <c r="BC34" s="56" t="n">
        <f aca="false">(T34+W34+Z34+AF34+AN34+AO34)*champ_profit+(AV34*ret_auto+AW34*ret_chem+AX34*ret_steel)*B34*IF(OR($A34=1931,$A34=1932),abroad_slump,1)+AB34+AG34</f>
        <v>0.720310233942768</v>
      </c>
      <c r="BD34" s="56" t="n">
        <f aca="false">IF($A34&gt;=crown_start,(BB34*crown_charter+BC34*crown_comp)*crown_payout,0)</f>
        <v>0</v>
      </c>
      <c r="BE34" s="66" t="n">
        <f aca="false">IF(BB34+BC34&gt;0,(BB34*crown_charter+BC34*crown_comp)/(BA34),0)</f>
        <v>0.218041886497222</v>
      </c>
    </row>
    <row r="35" customFormat="false" ht="14.25" hidden="false" customHeight="false" outlineLevel="0" collapsed="false">
      <c r="A35" s="61" t="n">
        <v>1875</v>
      </c>
      <c r="B35" s="68" t="n">
        <f aca="false">champ_scale*(1+Labour!AP35)*(1+Partners!BX35)*(1-IF(union_resp=2,tariff_cut*Labour!S35,0))</f>
        <v>1.01213549505351</v>
      </c>
      <c r="C35" s="48" t="n">
        <v>180</v>
      </c>
      <c r="D35" s="48" t="n">
        <v>60</v>
      </c>
      <c r="E35" s="48" t="n">
        <v>600</v>
      </c>
      <c r="F35" s="50" t="n">
        <f aca="false">E35*B35</f>
        <v>607.281297032105</v>
      </c>
      <c r="G35" s="50" t="n">
        <f aca="false">F35/Economy!B35*1000000</f>
        <v>256.015540476787</v>
      </c>
      <c r="H35" s="48" t="n">
        <v>286</v>
      </c>
      <c r="I35" s="70" t="n">
        <f aca="false">IF(H35&gt;0,G35/H35,0)</f>
        <v>0.895159232436318</v>
      </c>
      <c r="J35" s="71" t="n">
        <v>0</v>
      </c>
      <c r="K35" s="56" t="n">
        <f aca="false">Resources!K35*J35*B35</f>
        <v>0</v>
      </c>
      <c r="L35" s="48" t="n">
        <v>0</v>
      </c>
      <c r="M35" s="62" t="n">
        <v>0</v>
      </c>
      <c r="N35" s="48" t="n">
        <v>0</v>
      </c>
      <c r="O35" s="71" t="n">
        <v>0</v>
      </c>
      <c r="P35" s="56" t="n">
        <f aca="false">(IF(Gulf!E35=1,0,L35*M35)+N35)*O35*B35</f>
        <v>0</v>
      </c>
      <c r="Q35" s="56" t="n">
        <f aca="false">P35*oil_book</f>
        <v>0</v>
      </c>
      <c r="R35" s="71" t="n">
        <v>0.07</v>
      </c>
      <c r="S35" s="48" t="n">
        <v>33</v>
      </c>
      <c r="T35" s="56" t="n">
        <f aca="false">R35*S35*B35</f>
        <v>2.3380329935736</v>
      </c>
      <c r="U35" s="48" t="n">
        <v>0</v>
      </c>
      <c r="V35" s="48" t="n">
        <v>0</v>
      </c>
      <c r="W35" s="56" t="n">
        <f aca="false">U35/1000*V35*B35</f>
        <v>0</v>
      </c>
      <c r="X35" s="48" t="n">
        <v>485</v>
      </c>
      <c r="Y35" s="62" t="n">
        <v>0.007</v>
      </c>
      <c r="Z35" s="56" t="n">
        <f aca="false">X35*Y35*chem_va*B35</f>
        <v>1.546290002568</v>
      </c>
      <c r="AA35" s="62" t="n">
        <v>0.005</v>
      </c>
      <c r="AB35" s="56" t="n">
        <f aca="false">X35*AA35*roy_rate*B35*(1-IF(union_resp=2,lic_cut*Labour!S35,0))</f>
        <v>0.0736328572651427</v>
      </c>
      <c r="AC35" s="48" t="n">
        <v>0</v>
      </c>
      <c r="AD35" s="62" t="n">
        <v>0</v>
      </c>
      <c r="AE35" s="62" t="n">
        <v>0</v>
      </c>
      <c r="AF35" s="56" t="n">
        <f aca="false">AC35*AD35*elec_va*B35</f>
        <v>0</v>
      </c>
      <c r="AG35" s="56" t="n">
        <f aca="false">MAX(0,AE35-AD35)*AC35*roy_rate*B35*(1-IF(union_resp=2,lic_cut*Labour!S35,0))</f>
        <v>0</v>
      </c>
      <c r="AH35" s="55" t="n">
        <v>5</v>
      </c>
      <c r="AI35" s="56" t="n">
        <f aca="false">AH35*B35</f>
        <v>5.06067747526754</v>
      </c>
      <c r="AJ35" s="55" t="n">
        <v>6</v>
      </c>
      <c r="AK35" s="56" t="n">
        <f aca="false">AJ35*B35</f>
        <v>6.07281297032105</v>
      </c>
      <c r="AL35" s="48" t="n">
        <v>6</v>
      </c>
      <c r="AM35" s="56" t="n">
        <f aca="false">AL35*uw_fee*B35</f>
        <v>0.151820324258026</v>
      </c>
      <c r="AN35" s="55" t="n">
        <v>0</v>
      </c>
      <c r="AO35" s="55" t="n">
        <v>0</v>
      </c>
      <c r="AP35" s="56" t="n">
        <f aca="false">K35+T35+W35+Z35+AF35+AI35+AK35+AM35+AN35+AO35</f>
        <v>15.1696337659882</v>
      </c>
      <c r="AQ35" s="56" t="n">
        <f aca="false">AP35*(1-1/champ_prem+champ_spill)</f>
        <v>10.5344678930474</v>
      </c>
      <c r="AR35" s="66" t="n">
        <f aca="false">AP35/Economy!O35</f>
        <v>0.020888579018319</v>
      </c>
      <c r="AS35" s="55" t="n">
        <v>18</v>
      </c>
      <c r="AT35" s="55" t="n">
        <v>6</v>
      </c>
      <c r="AU35" s="55" t="n">
        <v>0</v>
      </c>
      <c r="AV35" s="55" t="n">
        <v>0</v>
      </c>
      <c r="AW35" s="55" t="n">
        <v>0</v>
      </c>
      <c r="AX35" s="55" t="n">
        <v>0</v>
      </c>
      <c r="AY35" s="56" t="n">
        <f aca="false">Q35+(AS35+AT35+AU35+AV35+AW35+AX35)*B35</f>
        <v>24.2912518812842</v>
      </c>
      <c r="AZ35" s="56" t="n">
        <f aca="false">P35+(AS35*ret_rail+AT35*ret_tel+AU35*ret_elec+AV35*ret_auto+AW35*ret_chem+AX35*ret_steel)*B35*IF(OR($A35=1931,$A35=1932),abroad_slump,1)+AB35+AG35</f>
        <v>1.5918360998454</v>
      </c>
      <c r="BA35" s="56" t="n">
        <f aca="false">AP35*champ_profit+AZ35</f>
        <v>4.62576285304305</v>
      </c>
      <c r="BB35" s="56" t="n">
        <f aca="false">(K35+AI35+AK35)*champ_profit+P35+(AS35*ret_rail+AT35*ret_tel+AU35*ret_elec)*B35*IF(OR($A35=1931,$A35=1932),abroad_slump,1)</f>
        <v>3.74490133169798</v>
      </c>
      <c r="BC35" s="56" t="n">
        <f aca="false">(T35+W35+Z35+AF35+AN35+AO35)*champ_profit+(AV35*ret_auto+AW35*ret_chem+AX35*ret_steel)*B35*IF(OR($A35=1931,$A35=1932),abroad_slump,1)+AB35+AG35</f>
        <v>0.850497456493462</v>
      </c>
      <c r="BD35" s="56" t="n">
        <f aca="false">IF($A35&gt;=crown_start,(BB35*crown_charter+BC35*crown_comp)*crown_payout,0)</f>
        <v>0</v>
      </c>
      <c r="BE35" s="66" t="n">
        <f aca="false">IF(BB35+BC35&gt;0,(BB35*crown_charter+BC35*crown_comp)/(BA35),0)</f>
        <v>0.217102597203685</v>
      </c>
    </row>
    <row r="36" customFormat="false" ht="14.25" hidden="false" customHeight="false" outlineLevel="0" collapsed="false">
      <c r="A36" s="61" t="n">
        <v>1876</v>
      </c>
      <c r="B36" s="68" t="n">
        <f aca="false">champ_scale*(1+Labour!AP36)*(1+Partners!BX36)*(1-IF(union_resp=2,tariff_cut*Labour!S36,0))</f>
        <v>1.01396979494803</v>
      </c>
      <c r="C36" s="48" t="n">
        <v>200</v>
      </c>
      <c r="D36" s="48" t="n">
        <v>70</v>
      </c>
      <c r="E36" s="48" t="n">
        <v>680</v>
      </c>
      <c r="F36" s="50" t="n">
        <f aca="false">E36*B36</f>
        <v>689.499460564658</v>
      </c>
      <c r="G36" s="50" t="n">
        <f aca="false">F36/Economy!B36*1000000</f>
        <v>273.233845812797</v>
      </c>
      <c r="H36" s="48" t="n">
        <v>280</v>
      </c>
      <c r="I36" s="70" t="n">
        <f aca="false">IF(H36&gt;0,G36/H36,0)</f>
        <v>0.975835163617131</v>
      </c>
      <c r="J36" s="71" t="n">
        <v>0</v>
      </c>
      <c r="K36" s="56" t="n">
        <f aca="false">Resources!K36*J36*B36</f>
        <v>0</v>
      </c>
      <c r="L36" s="48" t="n">
        <v>0</v>
      </c>
      <c r="M36" s="62" t="n">
        <v>0</v>
      </c>
      <c r="N36" s="48" t="n">
        <v>0</v>
      </c>
      <c r="O36" s="71" t="n">
        <v>0</v>
      </c>
      <c r="P36" s="56" t="n">
        <f aca="false">(IF(Gulf!E36=1,0,L36*M36)+N36)*O36*B36</f>
        <v>0</v>
      </c>
      <c r="Q36" s="56" t="n">
        <f aca="false">P36*oil_book</f>
        <v>0</v>
      </c>
      <c r="R36" s="71" t="n">
        <v>0.08</v>
      </c>
      <c r="S36" s="48" t="n">
        <v>32</v>
      </c>
      <c r="T36" s="56" t="n">
        <f aca="false">R36*S36*B36</f>
        <v>2.59576267506695</v>
      </c>
      <c r="U36" s="48" t="n">
        <v>0</v>
      </c>
      <c r="V36" s="48" t="n">
        <v>0</v>
      </c>
      <c r="W36" s="56" t="n">
        <f aca="false">U36/1000*V36*B36</f>
        <v>0</v>
      </c>
      <c r="X36" s="48" t="n">
        <v>508</v>
      </c>
      <c r="Y36" s="62" t="n">
        <v>0.008</v>
      </c>
      <c r="Z36" s="56" t="n">
        <f aca="false">X36*Y36*chem_va*B36</f>
        <v>1.85434796100095</v>
      </c>
      <c r="AA36" s="62" t="n">
        <v>0.005</v>
      </c>
      <c r="AB36" s="56" t="n">
        <f aca="false">X36*AA36*roy_rate*B36*(1-IF(union_resp=2,lic_cut*Labour!S36,0))</f>
        <v>0.0772644983750397</v>
      </c>
      <c r="AC36" s="48" t="n">
        <v>0</v>
      </c>
      <c r="AD36" s="62" t="n">
        <v>0</v>
      </c>
      <c r="AE36" s="62" t="n">
        <v>0</v>
      </c>
      <c r="AF36" s="56" t="n">
        <f aca="false">AC36*AD36*elec_va*B36</f>
        <v>0</v>
      </c>
      <c r="AG36" s="56" t="n">
        <f aca="false">MAX(0,AE36-AD36)*AC36*roy_rate*B36*(1-IF(union_resp=2,lic_cut*Labour!S36,0))</f>
        <v>0</v>
      </c>
      <c r="AH36" s="55" t="n">
        <v>5</v>
      </c>
      <c r="AI36" s="56" t="n">
        <f aca="false">AH36*B36</f>
        <v>5.06984897474014</v>
      </c>
      <c r="AJ36" s="55" t="n">
        <v>7</v>
      </c>
      <c r="AK36" s="56" t="n">
        <f aca="false">AJ36*B36</f>
        <v>7.09778856463619</v>
      </c>
      <c r="AL36" s="48" t="n">
        <v>7</v>
      </c>
      <c r="AM36" s="56" t="n">
        <f aca="false">AL36*uw_fee*B36</f>
        <v>0.177444714115905</v>
      </c>
      <c r="AN36" s="55" t="n">
        <v>0</v>
      </c>
      <c r="AO36" s="55" t="n">
        <v>0</v>
      </c>
      <c r="AP36" s="56" t="n">
        <f aca="false">K36+T36+W36+Z36+AF36+AI36+AK36+AM36+AN36+AO36</f>
        <v>16.7951928895601</v>
      </c>
      <c r="AQ36" s="56" t="n">
        <f aca="false">AP36*(1-1/champ_prem+champ_spill)</f>
        <v>11.6633283955279</v>
      </c>
      <c r="AR36" s="66" t="n">
        <f aca="false">AP36/Economy!O36</f>
        <v>0.0212135491737275</v>
      </c>
      <c r="AS36" s="55" t="n">
        <v>20</v>
      </c>
      <c r="AT36" s="55" t="n">
        <v>7</v>
      </c>
      <c r="AU36" s="55" t="n">
        <v>0</v>
      </c>
      <c r="AV36" s="55" t="n">
        <v>0</v>
      </c>
      <c r="AW36" s="55" t="n">
        <v>0</v>
      </c>
      <c r="AX36" s="55" t="n">
        <v>0</v>
      </c>
      <c r="AY36" s="56" t="n">
        <f aca="false">Q36+(AS36+AT36+AU36+AV36+AW36+AX36)*B36</f>
        <v>27.3771844635967</v>
      </c>
      <c r="AZ36" s="56" t="n">
        <f aca="false">P36+(AS36*ret_rail+AT36*ret_tel+AU36*ret_elec+AV36*ret_auto+AW36*ret_chem+AX36*ret_steel)*B36*IF(OR($A36=1931,$A36=1932),abroad_slump,1)+AB36+AG36</f>
        <v>1.80101314978669</v>
      </c>
      <c r="BA36" s="56" t="n">
        <f aca="false">AP36*champ_profit+AZ36</f>
        <v>5.16005172769871</v>
      </c>
      <c r="BB36" s="56" t="n">
        <f aca="false">(K36+AI36+AK36)*champ_profit+P36+(AS36*ret_rail+AT36*ret_tel+AU36*ret_elec)*B36*IF(OR($A36=1931,$A36=1932),abroad_slump,1)</f>
        <v>4.15727615928691</v>
      </c>
      <c r="BC36" s="56" t="n">
        <f aca="false">(T36+W36+Z36+AF36+AN36+AO36)*champ_profit+(AV36*ret_auto+AW36*ret_chem+AX36*ret_steel)*B36*IF(OR($A36=1931,$A36=1932),abroad_slump,1)+AB36+AG36</f>
        <v>0.96728662558862</v>
      </c>
      <c r="BD36" s="56" t="n">
        <f aca="false">IF($A36&gt;=crown_start,(BB36*crown_charter+BC36*crown_comp)*crown_payout,0)</f>
        <v>0</v>
      </c>
      <c r="BE36" s="66" t="n">
        <f aca="false">IF(BB36+BC36&gt;0,(BB36*crown_charter+BC36*crown_comp)/(BA36),0)</f>
        <v>0.216412940954537</v>
      </c>
    </row>
    <row r="37" customFormat="false" ht="14.25" hidden="false" customHeight="false" outlineLevel="0" collapsed="false">
      <c r="A37" s="61" t="n">
        <v>1877</v>
      </c>
      <c r="B37" s="68" t="n">
        <f aca="false">champ_scale*(1+Labour!AP37)*(1+Partners!BX37)*(1-IF(union_resp=2,tariff_cut*Labour!S37,0))</f>
        <v>1.01617684528232</v>
      </c>
      <c r="C37" s="48" t="n">
        <v>220</v>
      </c>
      <c r="D37" s="48" t="n">
        <v>80</v>
      </c>
      <c r="E37" s="48" t="n">
        <v>760</v>
      </c>
      <c r="F37" s="50" t="n">
        <f aca="false">E37*B37</f>
        <v>772.294402414564</v>
      </c>
      <c r="G37" s="50" t="n">
        <f aca="false">F37/Economy!B37*1000000</f>
        <v>288.369306278614</v>
      </c>
      <c r="H37" s="48" t="n">
        <v>275</v>
      </c>
      <c r="I37" s="70" t="n">
        <f aca="false">IF(H37&gt;0,G37/H37,0)</f>
        <v>1.04861565919496</v>
      </c>
      <c r="J37" s="71" t="n">
        <v>0</v>
      </c>
      <c r="K37" s="56" t="n">
        <f aca="false">Resources!K37*J37*B37</f>
        <v>0</v>
      </c>
      <c r="L37" s="48" t="n">
        <v>0</v>
      </c>
      <c r="M37" s="62" t="n">
        <v>0</v>
      </c>
      <c r="N37" s="48" t="n">
        <v>0</v>
      </c>
      <c r="O37" s="71" t="n">
        <v>0</v>
      </c>
      <c r="P37" s="56" t="n">
        <f aca="false">(IF(Gulf!E37=1,0,L37*M37)+N37)*O37*B37</f>
        <v>0</v>
      </c>
      <c r="Q37" s="56" t="n">
        <f aca="false">P37*oil_book</f>
        <v>0</v>
      </c>
      <c r="R37" s="71" t="n">
        <v>0.09</v>
      </c>
      <c r="S37" s="48" t="n">
        <v>31</v>
      </c>
      <c r="T37" s="56" t="n">
        <f aca="false">R37*S37*B37</f>
        <v>2.83513339833768</v>
      </c>
      <c r="U37" s="48" t="n">
        <v>0</v>
      </c>
      <c r="V37" s="48" t="n">
        <v>0</v>
      </c>
      <c r="W37" s="56" t="n">
        <f aca="false">U37/1000*V37*B37</f>
        <v>0</v>
      </c>
      <c r="X37" s="48" t="n">
        <v>531</v>
      </c>
      <c r="Y37" s="62" t="n">
        <v>0.008</v>
      </c>
      <c r="Z37" s="56" t="n">
        <f aca="false">X37*Y37*chem_va*B37</f>
        <v>1.94252365744169</v>
      </c>
      <c r="AA37" s="62" t="n">
        <v>0.005</v>
      </c>
      <c r="AB37" s="56" t="n">
        <f aca="false">X37*AA37*roy_rate*B37*(1-IF(union_resp=2,lic_cut*Labour!S37,0))</f>
        <v>0.0809384857267369</v>
      </c>
      <c r="AC37" s="48" t="n">
        <v>0</v>
      </c>
      <c r="AD37" s="62" t="n">
        <v>0</v>
      </c>
      <c r="AE37" s="62" t="n">
        <v>0</v>
      </c>
      <c r="AF37" s="56" t="n">
        <f aca="false">AC37*AD37*elec_va*B37</f>
        <v>0</v>
      </c>
      <c r="AG37" s="56" t="n">
        <f aca="false">MAX(0,AE37-AD37)*AC37*roy_rate*B37*(1-IF(union_resp=2,lic_cut*Labour!S37,0))</f>
        <v>0</v>
      </c>
      <c r="AH37" s="55" t="n">
        <v>6</v>
      </c>
      <c r="AI37" s="56" t="n">
        <f aca="false">AH37*B37</f>
        <v>6.09706107169393</v>
      </c>
      <c r="AJ37" s="55" t="n">
        <v>7</v>
      </c>
      <c r="AK37" s="56" t="n">
        <f aca="false">AJ37*B37</f>
        <v>7.11323791697625</v>
      </c>
      <c r="AL37" s="48" t="n">
        <v>8</v>
      </c>
      <c r="AM37" s="56" t="n">
        <f aca="false">AL37*uw_fee*B37</f>
        <v>0.203235369056464</v>
      </c>
      <c r="AN37" s="55" t="n">
        <v>0</v>
      </c>
      <c r="AO37" s="55" t="n">
        <v>0</v>
      </c>
      <c r="AP37" s="56" t="n">
        <f aca="false">K37+T37+W37+Z37+AF37+AI37+AK37+AM37+AN37+AO37</f>
        <v>18.191191413506</v>
      </c>
      <c r="AQ37" s="56" t="n">
        <f aca="false">AP37*(1-1/champ_prem+champ_spill)</f>
        <v>12.6327718149347</v>
      </c>
      <c r="AR37" s="66" t="n">
        <f aca="false">AP37/Economy!O37</f>
        <v>0.0219422512200517</v>
      </c>
      <c r="AS37" s="55" t="n">
        <v>22</v>
      </c>
      <c r="AT37" s="55" t="n">
        <v>8</v>
      </c>
      <c r="AU37" s="55" t="n">
        <v>0</v>
      </c>
      <c r="AV37" s="55" t="n">
        <v>0</v>
      </c>
      <c r="AW37" s="55" t="n">
        <v>0</v>
      </c>
      <c r="AX37" s="55" t="n">
        <v>0</v>
      </c>
      <c r="AY37" s="56" t="n">
        <f aca="false">Q37+(AS37+AT37+AU37+AV37+AW37+AX37)*B37</f>
        <v>30.4853053584696</v>
      </c>
      <c r="AZ37" s="56" t="n">
        <f aca="false">P37+(AS37*ret_rail+AT37*ret_tel+AU37*ret_elec+AV37*ret_auto+AW37*ret_chem+AX37*ret_steel)*B37*IF(OR($A37=1931,$A37=1932),abroad_slump,1)+AB37+AG37</f>
        <v>2.01167449176315</v>
      </c>
      <c r="BA37" s="56" t="n">
        <f aca="false">AP37*champ_profit+AZ37</f>
        <v>5.64991277446435</v>
      </c>
      <c r="BB37" s="56" t="n">
        <f aca="false">(K37+AI37+AK37)*champ_profit+P37+(AS37*ret_rail+AT37*ret_tel+AU37*ret_elec)*B37*IF(OR($A37=1931,$A37=1932),abroad_slump,1)</f>
        <v>4.57279580377045</v>
      </c>
      <c r="BC37" s="56" t="n">
        <f aca="false">(T37+W37+Z37+AF37+AN37+AO37)*champ_profit+(AV37*ret_auto+AW37*ret_chem+AX37*ret_steel)*B37*IF(OR($A37=1931,$A37=1932),abroad_slump,1)+AB37+AG37</f>
        <v>1.03646989688261</v>
      </c>
      <c r="BD37" s="56" t="n">
        <f aca="false">IF($A37&gt;=crown_start,(BB37*crown_charter+BC37*crown_comp)*crown_payout,0)</f>
        <v>0</v>
      </c>
      <c r="BE37" s="66" t="n">
        <f aca="false">IF(BB37+BC37&gt;0,(BB37*crown_charter+BC37*crown_comp)/(BA37),0)</f>
        <v>0.217015127779466</v>
      </c>
    </row>
    <row r="38" customFormat="false" ht="14.25" hidden="false" customHeight="false" outlineLevel="0" collapsed="false">
      <c r="A38" s="61" t="n">
        <v>1878</v>
      </c>
      <c r="B38" s="68" t="n">
        <f aca="false">champ_scale*(1+Labour!AP38)*(1+Partners!BX38)*(1-IF(union_resp=2,tariff_cut*Labour!S38,0))</f>
        <v>1.0184279060207</v>
      </c>
      <c r="C38" s="48" t="n">
        <v>250</v>
      </c>
      <c r="D38" s="48" t="n">
        <v>80</v>
      </c>
      <c r="E38" s="48" t="n">
        <v>840</v>
      </c>
      <c r="F38" s="50" t="n">
        <f aca="false">E38*B38</f>
        <v>855.47944105739</v>
      </c>
      <c r="G38" s="50" t="n">
        <f aca="false">F38/Economy!B38*1000000</f>
        <v>301.638496230006</v>
      </c>
      <c r="H38" s="48" t="n">
        <v>269</v>
      </c>
      <c r="I38" s="70" t="n">
        <f aca="false">IF(H38&gt;0,G38/H38,0)</f>
        <v>1.1213326997398</v>
      </c>
      <c r="J38" s="71" t="n">
        <v>0</v>
      </c>
      <c r="K38" s="56" t="n">
        <f aca="false">Resources!K38*J38*B38</f>
        <v>0</v>
      </c>
      <c r="L38" s="48" t="n">
        <v>0</v>
      </c>
      <c r="M38" s="62" t="n">
        <v>0</v>
      </c>
      <c r="N38" s="48" t="n">
        <v>0</v>
      </c>
      <c r="O38" s="71" t="n">
        <v>0</v>
      </c>
      <c r="P38" s="56" t="n">
        <f aca="false">(IF(Gulf!E38=1,0,L38*M38)+N38)*O38*B38</f>
        <v>0</v>
      </c>
      <c r="Q38" s="56" t="n">
        <f aca="false">P38*oil_book</f>
        <v>0</v>
      </c>
      <c r="R38" s="71" t="n">
        <v>0.1</v>
      </c>
      <c r="S38" s="48" t="n">
        <v>30</v>
      </c>
      <c r="T38" s="56" t="n">
        <f aca="false">R38*S38*B38</f>
        <v>3.05528371806211</v>
      </c>
      <c r="U38" s="48" t="n">
        <v>0</v>
      </c>
      <c r="V38" s="48" t="n">
        <v>0</v>
      </c>
      <c r="W38" s="56" t="n">
        <f aca="false">U38/1000*V38*B38</f>
        <v>0</v>
      </c>
      <c r="X38" s="48" t="n">
        <v>554</v>
      </c>
      <c r="Y38" s="62" t="n">
        <v>0.009</v>
      </c>
      <c r="Z38" s="56" t="n">
        <f aca="false">X38*Y38*chem_va*B38</f>
        <v>2.28504669273865</v>
      </c>
      <c r="AA38" s="62" t="n">
        <v>0.006</v>
      </c>
      <c r="AB38" s="56" t="n">
        <f aca="false">X38*AA38*roy_rate*B38*(1-IF(union_resp=2,lic_cut*Labour!S38,0))</f>
        <v>0.101557630788384</v>
      </c>
      <c r="AC38" s="48" t="n">
        <v>0</v>
      </c>
      <c r="AD38" s="62" t="n">
        <v>0</v>
      </c>
      <c r="AE38" s="62" t="n">
        <v>0</v>
      </c>
      <c r="AF38" s="56" t="n">
        <f aca="false">AC38*AD38*elec_va*B38</f>
        <v>0</v>
      </c>
      <c r="AG38" s="56" t="n">
        <f aca="false">MAX(0,AE38-AD38)*AC38*roy_rate*B38*(1-IF(union_resp=2,lic_cut*Labour!S38,0))</f>
        <v>0</v>
      </c>
      <c r="AH38" s="55" t="n">
        <v>6</v>
      </c>
      <c r="AI38" s="56" t="n">
        <f aca="false">AH38*B38</f>
        <v>6.11056743612421</v>
      </c>
      <c r="AJ38" s="55" t="n">
        <v>8</v>
      </c>
      <c r="AK38" s="56" t="n">
        <f aca="false">AJ38*B38</f>
        <v>8.14742324816562</v>
      </c>
      <c r="AL38" s="48" t="n">
        <v>8</v>
      </c>
      <c r="AM38" s="56" t="n">
        <f aca="false">AL38*uw_fee*B38</f>
        <v>0.20368558120414</v>
      </c>
      <c r="AN38" s="55" t="n">
        <v>0</v>
      </c>
      <c r="AO38" s="55" t="n">
        <v>0</v>
      </c>
      <c r="AP38" s="56" t="n">
        <f aca="false">K38+T38+W38+Z38+AF38+AI38+AK38+AM38+AN38+AO38</f>
        <v>19.8020066762947</v>
      </c>
      <c r="AQ38" s="56" t="n">
        <f aca="false">AP38*(1-1/champ_prem+champ_spill)</f>
        <v>13.7513935252047</v>
      </c>
      <c r="AR38" s="66" t="n">
        <f aca="false">AP38/Economy!O38</f>
        <v>0.0224177977377102</v>
      </c>
      <c r="AS38" s="55" t="n">
        <v>25</v>
      </c>
      <c r="AT38" s="55" t="n">
        <v>8</v>
      </c>
      <c r="AU38" s="55" t="n">
        <v>0</v>
      </c>
      <c r="AV38" s="55" t="n">
        <v>0</v>
      </c>
      <c r="AW38" s="55" t="n">
        <v>0</v>
      </c>
      <c r="AX38" s="55" t="n">
        <v>0</v>
      </c>
      <c r="AY38" s="56" t="n">
        <f aca="false">Q38+(AS38+AT38+AU38+AV38+AW38+AX38)*B38</f>
        <v>33.6081208986832</v>
      </c>
      <c r="AZ38" s="56" t="n">
        <f aca="false">P38+(AS38*ret_rail+AT38*ret_tel+AU38*ret_elec+AV38*ret_auto+AW38*ret_chem+AX38*ret_steel)*B38*IF(OR($A38=1931,$A38=1932),abroad_slump,1)+AB38+AG38</f>
        <v>2.18933483813082</v>
      </c>
      <c r="BA38" s="56" t="n">
        <f aca="false">AP38*champ_profit+AZ38</f>
        <v>6.14973617338977</v>
      </c>
      <c r="BB38" s="56" t="n">
        <f aca="false">(K38+AI38+AK38)*champ_profit+P38+(AS38*ret_rail+AT38*ret_tel+AU38*ret_elec)*B38*IF(OR($A38=1931,$A38=1932),abroad_slump,1)</f>
        <v>4.93937534420041</v>
      </c>
      <c r="BC38" s="56" t="n">
        <f aca="false">(T38+W38+Z38+AF38+AN38+AO38)*champ_profit+(AV38*ret_auto+AW38*ret_chem+AX38*ret_steel)*B38*IF(OR($A38=1931,$A38=1932),abroad_slump,1)+AB38+AG38</f>
        <v>1.16962371294854</v>
      </c>
      <c r="BD38" s="56" t="n">
        <f aca="false">IF($A38&gt;=crown_start,(BB38*crown_charter+BC38*crown_comp)*crown_payout,0)</f>
        <v>0</v>
      </c>
      <c r="BE38" s="66" t="n">
        <f aca="false">IF(BB38+BC38&gt;0,(BB38*crown_charter+BC38*crown_comp)/(BA38),0)</f>
        <v>0.216011499620764</v>
      </c>
    </row>
    <row r="39" customFormat="false" ht="14.25" hidden="false" customHeight="false" outlineLevel="0" collapsed="false">
      <c r="A39" s="61" t="n">
        <v>1879</v>
      </c>
      <c r="B39" s="68" t="n">
        <f aca="false">champ_scale*(1+Labour!AP39)*(1+Partners!BX39)*(1-IF(union_resp=2,tariff_cut*Labour!S39,0))</f>
        <v>1.02073829163182</v>
      </c>
      <c r="C39" s="48" t="n">
        <v>280</v>
      </c>
      <c r="D39" s="48" t="n">
        <v>90</v>
      </c>
      <c r="E39" s="48" t="n">
        <v>920</v>
      </c>
      <c r="F39" s="50" t="n">
        <f aca="false">E39*B39</f>
        <v>939.079228301273</v>
      </c>
      <c r="G39" s="50" t="n">
        <f aca="false">F39/Economy!B39*1000000</f>
        <v>313.331975794369</v>
      </c>
      <c r="H39" s="48" t="n">
        <v>264</v>
      </c>
      <c r="I39" s="70" t="n">
        <f aca="false">IF(H39&gt;0,G39/H39,0)</f>
        <v>1.18686354467564</v>
      </c>
      <c r="J39" s="71" t="n">
        <v>0</v>
      </c>
      <c r="K39" s="56" t="n">
        <f aca="false">Resources!K39*J39*B39</f>
        <v>0</v>
      </c>
      <c r="L39" s="48" t="n">
        <v>0</v>
      </c>
      <c r="M39" s="62" t="n">
        <v>0</v>
      </c>
      <c r="N39" s="48" t="n">
        <v>0</v>
      </c>
      <c r="O39" s="71" t="n">
        <v>0</v>
      </c>
      <c r="P39" s="56" t="n">
        <f aca="false">(IF(Gulf!E39=1,0,L39*M39)+N39)*O39*B39</f>
        <v>0</v>
      </c>
      <c r="Q39" s="56" t="n">
        <f aca="false">P39*oil_book</f>
        <v>0</v>
      </c>
      <c r="R39" s="71" t="n">
        <v>0.11</v>
      </c>
      <c r="S39" s="48" t="n">
        <v>29</v>
      </c>
      <c r="T39" s="56" t="n">
        <f aca="false">R39*S39*B39</f>
        <v>3.2561551503055</v>
      </c>
      <c r="U39" s="48" t="n">
        <v>0</v>
      </c>
      <c r="V39" s="48" t="n">
        <v>0</v>
      </c>
      <c r="W39" s="56" t="n">
        <f aca="false">U39/1000*V39*B39</f>
        <v>0</v>
      </c>
      <c r="X39" s="48" t="n">
        <v>577</v>
      </c>
      <c r="Y39" s="62" t="n">
        <v>0.009</v>
      </c>
      <c r="Z39" s="56" t="n">
        <f aca="false">X39*Y39*chem_va*B39</f>
        <v>2.38531227679981</v>
      </c>
      <c r="AA39" s="62" t="n">
        <v>0.006</v>
      </c>
      <c r="AB39" s="56" t="n">
        <f aca="false">X39*AA39*roy_rate*B39*(1-IF(union_resp=2,lic_cut*Labour!S39,0))</f>
        <v>0.106013878968881</v>
      </c>
      <c r="AC39" s="48" t="n">
        <v>0</v>
      </c>
      <c r="AD39" s="62" t="n">
        <v>0</v>
      </c>
      <c r="AE39" s="62" t="n">
        <v>0</v>
      </c>
      <c r="AF39" s="56" t="n">
        <f aca="false">AC39*AD39*elec_va*B39</f>
        <v>0</v>
      </c>
      <c r="AG39" s="56" t="n">
        <f aca="false">MAX(0,AE39-AD39)*AC39*roy_rate*B39*(1-IF(union_resp=2,lic_cut*Labour!S39,0))</f>
        <v>0</v>
      </c>
      <c r="AH39" s="55" t="n">
        <v>7</v>
      </c>
      <c r="AI39" s="56" t="n">
        <f aca="false">AH39*B39</f>
        <v>7.14516804142273</v>
      </c>
      <c r="AJ39" s="55" t="n">
        <v>8</v>
      </c>
      <c r="AK39" s="56" t="n">
        <f aca="false">AJ39*B39</f>
        <v>8.16590633305455</v>
      </c>
      <c r="AL39" s="48" t="n">
        <v>9</v>
      </c>
      <c r="AM39" s="56" t="n">
        <f aca="false">AL39*uw_fee*B39</f>
        <v>0.229666115617159</v>
      </c>
      <c r="AN39" s="55" t="n">
        <v>0</v>
      </c>
      <c r="AO39" s="55" t="n">
        <v>0</v>
      </c>
      <c r="AP39" s="56" t="n">
        <f aca="false">K39+T39+W39+Z39+AF39+AI39+AK39+AM39+AN39+AO39</f>
        <v>21.1822079171997</v>
      </c>
      <c r="AQ39" s="56" t="n">
        <f aca="false">AP39*(1-1/champ_prem+champ_spill)</f>
        <v>14.7098666091665</v>
      </c>
      <c r="AR39" s="66" t="n">
        <f aca="false">AP39/Economy!O39</f>
        <v>0.0228699499527962</v>
      </c>
      <c r="AS39" s="55" t="n">
        <v>28</v>
      </c>
      <c r="AT39" s="55" t="n">
        <v>9</v>
      </c>
      <c r="AU39" s="55" t="n">
        <v>0</v>
      </c>
      <c r="AV39" s="55" t="n">
        <v>0</v>
      </c>
      <c r="AW39" s="55" t="n">
        <v>0</v>
      </c>
      <c r="AX39" s="55" t="n">
        <v>0</v>
      </c>
      <c r="AY39" s="56" t="n">
        <f aca="false">Q39+(AS39+AT39+AU39+AV39+AW39+AX39)*B39</f>
        <v>37.7673167903773</v>
      </c>
      <c r="AZ39" s="56" t="n">
        <f aca="false">P39+(AS39*ret_rail+AT39*ret_tel+AU39*ret_elec+AV39*ret_auto+AW39*ret_chem+AX39*ret_steel)*B39*IF(OR($A39=1931,$A39=1932),abroad_slump,1)+AB39+AG39</f>
        <v>2.45371194972206</v>
      </c>
      <c r="BA39" s="56" t="n">
        <f aca="false">AP39*champ_profit+AZ39</f>
        <v>6.69015353316201</v>
      </c>
      <c r="BB39" s="56" t="n">
        <f aca="false">(K39+AI39+AK39)*champ_profit+P39+(AS39*ret_rail+AT39*ret_tel+AU39*ret_elec)*B39*IF(OR($A39=1931,$A39=1932),abroad_slump,1)</f>
        <v>5.40991294564864</v>
      </c>
      <c r="BC39" s="56" t="n">
        <f aca="false">(T39+W39+Z39+AF39+AN39+AO39)*champ_profit+(AV39*ret_auto+AW39*ret_chem+AX39*ret_steel)*B39*IF(OR($A39=1931,$A39=1932),abroad_slump,1)+AB39+AG39</f>
        <v>1.23430736438994</v>
      </c>
      <c r="BD39" s="56" t="n">
        <f aca="false">IF($A39&gt;=crown_start,(BB39*crown_charter+BC39*crown_comp)*crown_payout,0)</f>
        <v>0</v>
      </c>
      <c r="BE39" s="66" t="n">
        <f aca="false">IF(BB39+BC39&gt;0,(BB39*crown_charter+BC39*crown_comp)/(BA39),0)</f>
        <v>0.216919210952316</v>
      </c>
    </row>
    <row r="40" customFormat="false" ht="14.25" hidden="false" customHeight="false" outlineLevel="0" collapsed="false">
      <c r="A40" s="61" t="n">
        <v>1880</v>
      </c>
      <c r="B40" s="68" t="n">
        <f aca="false">champ_scale*(1+Labour!AP40)*(1+Partners!BX40)*(1-IF(union_resp=2,tariff_cut*Labour!S40,0))</f>
        <v>1.02319203854273</v>
      </c>
      <c r="C40" s="48" t="n">
        <v>300</v>
      </c>
      <c r="D40" s="48" t="n">
        <v>100</v>
      </c>
      <c r="E40" s="48" t="n">
        <v>1000</v>
      </c>
      <c r="F40" s="50" t="n">
        <f aca="false">E40*B40</f>
        <v>1023.19203854273</v>
      </c>
      <c r="G40" s="50" t="n">
        <f aca="false">F40/Economy!B40*1000000</f>
        <v>323.238608713825</v>
      </c>
      <c r="H40" s="48" t="n">
        <v>258</v>
      </c>
      <c r="I40" s="70" t="n">
        <f aca="false">IF(H40&gt;0,G40/H40,0)</f>
        <v>1.25286282447219</v>
      </c>
      <c r="J40" s="71" t="n">
        <v>0</v>
      </c>
      <c r="K40" s="56" t="n">
        <f aca="false">Resources!K40*J40*B40</f>
        <v>0</v>
      </c>
      <c r="L40" s="48" t="n">
        <v>0</v>
      </c>
      <c r="M40" s="62" t="n">
        <v>0</v>
      </c>
      <c r="N40" s="48" t="n">
        <v>1</v>
      </c>
      <c r="O40" s="71" t="n">
        <v>0.6</v>
      </c>
      <c r="P40" s="56" t="n">
        <f aca="false">(IF(Gulf!E40=1,0,L40*M40)+N40)*O40*B40</f>
        <v>0.613915223125636</v>
      </c>
      <c r="Q40" s="56" t="n">
        <f aca="false">P40*oil_book</f>
        <v>4.29740656187946</v>
      </c>
      <c r="R40" s="71" t="n">
        <v>0.12</v>
      </c>
      <c r="S40" s="48" t="n">
        <v>28</v>
      </c>
      <c r="T40" s="56" t="n">
        <f aca="false">R40*S40*B40</f>
        <v>3.43792524950356</v>
      </c>
      <c r="U40" s="48" t="n">
        <v>0</v>
      </c>
      <c r="V40" s="48" t="n">
        <v>0</v>
      </c>
      <c r="W40" s="56" t="n">
        <f aca="false">U40/1000*V40*B40</f>
        <v>0</v>
      </c>
      <c r="X40" s="48" t="n">
        <v>600</v>
      </c>
      <c r="Y40" s="62" t="n">
        <v>0.01</v>
      </c>
      <c r="Z40" s="56" t="n">
        <f aca="false">X40*Y40*chem_va*B40</f>
        <v>2.76261850406536</v>
      </c>
      <c r="AA40" s="62" t="n">
        <v>0.007</v>
      </c>
      <c r="AB40" s="56" t="n">
        <f aca="false">X40*AA40*roy_rate*B40*(1-IF(union_resp=2,lic_cut*Labour!S40,0))</f>
        <v>0.128922196856384</v>
      </c>
      <c r="AC40" s="48" t="n">
        <v>0</v>
      </c>
      <c r="AD40" s="62" t="n">
        <v>0</v>
      </c>
      <c r="AE40" s="62" t="n">
        <v>0</v>
      </c>
      <c r="AF40" s="56" t="n">
        <f aca="false">AC40*AD40*elec_va*B40</f>
        <v>0</v>
      </c>
      <c r="AG40" s="56" t="n">
        <f aca="false">MAX(0,AE40-AD40)*AC40*roy_rate*B40*(1-IF(union_resp=2,lic_cut*Labour!S40,0))</f>
        <v>0</v>
      </c>
      <c r="AH40" s="55" t="n">
        <v>7</v>
      </c>
      <c r="AI40" s="56" t="n">
        <f aca="false">AH40*B40</f>
        <v>7.16234426979909</v>
      </c>
      <c r="AJ40" s="55" t="n">
        <v>9</v>
      </c>
      <c r="AK40" s="56" t="n">
        <f aca="false">AJ40*B40</f>
        <v>9.20872834688455</v>
      </c>
      <c r="AL40" s="48" t="n">
        <v>10</v>
      </c>
      <c r="AM40" s="56" t="n">
        <f aca="false">AL40*uw_fee*B40</f>
        <v>0.255798009635682</v>
      </c>
      <c r="AN40" s="55" t="n">
        <v>0</v>
      </c>
      <c r="AO40" s="55" t="n">
        <v>0</v>
      </c>
      <c r="AP40" s="56" t="n">
        <f aca="false">K40+T40+W40+Z40+AF40+AI40+AK40+AM40+AN40+AO40</f>
        <v>22.8274143798882</v>
      </c>
      <c r="AQ40" s="56" t="n">
        <f aca="false">AP40*(1-1/champ_prem+champ_spill)</f>
        <v>15.8523710971446</v>
      </c>
      <c r="AR40" s="66" t="n">
        <f aca="false">AP40/Economy!O40</f>
        <v>0.0233295294277542</v>
      </c>
      <c r="AS40" s="55" t="n">
        <v>30</v>
      </c>
      <c r="AT40" s="55" t="n">
        <v>10</v>
      </c>
      <c r="AU40" s="55" t="n">
        <v>0</v>
      </c>
      <c r="AV40" s="55" t="n">
        <v>0</v>
      </c>
      <c r="AW40" s="55" t="n">
        <v>1</v>
      </c>
      <c r="AX40" s="55" t="n">
        <v>0</v>
      </c>
      <c r="AY40" s="56" t="n">
        <f aca="false">Q40+(AS40+AT40+AU40+AV40+AW40+AX40)*B40</f>
        <v>46.2482801421313</v>
      </c>
      <c r="AZ40" s="56" t="n">
        <f aca="false">P40+(AS40*ret_rail+AT40*ret_tel+AU40*ret_elec+AV40*ret_auto+AW40*ret_chem+AX40*ret_steel)*B40*IF(OR($A40=1931,$A40=1932),abroad_slump,1)+AB40+AG40</f>
        <v>3.42360056096397</v>
      </c>
      <c r="BA40" s="56" t="n">
        <f aca="false">AP40*champ_profit+AZ40</f>
        <v>7.98908343694162</v>
      </c>
      <c r="BB40" s="56" t="n">
        <f aca="false">(K40+AI40+AK40)*champ_profit+P40+(AS40*ret_rail+AT40*ret_tel+AU40*ret_elec)*B40*IF(OR($A40=1931,$A40=1932),abroad_slump,1)</f>
        <v>6.44610984281918</v>
      </c>
      <c r="BC40" s="56" t="n">
        <f aca="false">(T40+W40+Z40+AF40+AN40+AO40)*champ_profit+(AV40*ret_auto+AW40*ret_chem+AX40*ret_steel)*B40*IF(OR($A40=1931,$A40=1932),abroad_slump,1)+AB40+AG40</f>
        <v>1.4918139921953</v>
      </c>
      <c r="BD40" s="56" t="n">
        <f aca="false">IF($A40&gt;=crown_start,(BB40*crown_charter+BC40*crown_comp)*crown_payout,0)</f>
        <v>0.86543629004021</v>
      </c>
      <c r="BE40" s="66" t="n">
        <f aca="false">IF(BB40+BC40&gt;0,(BB40*crown_charter+BC40*crown_comp)/(BA40),0)</f>
        <v>0.216654713114754</v>
      </c>
    </row>
    <row r="41" customFormat="false" ht="14.25" hidden="false" customHeight="false" outlineLevel="0" collapsed="false">
      <c r="A41" s="61" t="n">
        <v>1881</v>
      </c>
      <c r="B41" s="68" t="n">
        <f aca="false">champ_scale*(1+Labour!AP41)*(1+Partners!BX41)*(1-IF(union_resp=2,tariff_cut*Labour!S41,0))</f>
        <v>1.02792713566588</v>
      </c>
      <c r="C41" s="48" t="n">
        <v>360</v>
      </c>
      <c r="D41" s="48" t="n">
        <v>120</v>
      </c>
      <c r="E41" s="48" t="n">
        <v>1150</v>
      </c>
      <c r="F41" s="50" t="n">
        <f aca="false">E41*B41</f>
        <v>1182.11620601576</v>
      </c>
      <c r="G41" s="50" t="n">
        <f aca="false">F41/Economy!B41*1000000</f>
        <v>354.17214947471</v>
      </c>
      <c r="H41" s="48" t="n">
        <v>272</v>
      </c>
      <c r="I41" s="70" t="n">
        <f aca="false">IF(H41&gt;0,G41/H41,0)</f>
        <v>1.30210349071585</v>
      </c>
      <c r="J41" s="71" t="n">
        <v>0</v>
      </c>
      <c r="K41" s="56" t="n">
        <f aca="false">Resources!K41*J41*B41</f>
        <v>0</v>
      </c>
      <c r="L41" s="48" t="n">
        <v>0</v>
      </c>
      <c r="M41" s="62" t="n">
        <v>0</v>
      </c>
      <c r="N41" s="48" t="n">
        <v>1</v>
      </c>
      <c r="O41" s="71" t="n">
        <v>0.598</v>
      </c>
      <c r="P41" s="56" t="n">
        <f aca="false">(IF(Gulf!E41=1,0,L41*M41)+N41)*O41*B41</f>
        <v>0.614700427128194</v>
      </c>
      <c r="Q41" s="56" t="n">
        <f aca="false">P41*oil_book</f>
        <v>4.30290298989736</v>
      </c>
      <c r="R41" s="71" t="n">
        <v>0.153</v>
      </c>
      <c r="S41" s="48" t="n">
        <v>27</v>
      </c>
      <c r="T41" s="56" t="n">
        <f aca="false">R41*S41*B41</f>
        <v>4.24636699743573</v>
      </c>
      <c r="U41" s="48" t="n">
        <v>0</v>
      </c>
      <c r="V41" s="48" t="n">
        <v>0</v>
      </c>
      <c r="W41" s="56" t="n">
        <f aca="false">U41/1000*V41*B41</f>
        <v>0</v>
      </c>
      <c r="X41" s="48" t="n">
        <v>630</v>
      </c>
      <c r="Y41" s="62" t="n">
        <v>0.011</v>
      </c>
      <c r="Z41" s="56" t="n">
        <f aca="false">X41*Y41*chem_va*B41</f>
        <v>3.20559077257403</v>
      </c>
      <c r="AA41" s="62" t="n">
        <v>0.007</v>
      </c>
      <c r="AB41" s="56" t="n">
        <f aca="false">X41*AA41*roy_rate*B41*(1-IF(union_resp=2,lic_cut*Labour!S41,0))</f>
        <v>0.135994760048595</v>
      </c>
      <c r="AC41" s="48" t="n">
        <v>0</v>
      </c>
      <c r="AD41" s="62" t="n">
        <v>0</v>
      </c>
      <c r="AE41" s="62" t="n">
        <v>0</v>
      </c>
      <c r="AF41" s="56" t="n">
        <f aca="false">AC41*AD41*elec_va*B41</f>
        <v>0</v>
      </c>
      <c r="AG41" s="56" t="n">
        <f aca="false">MAX(0,AE41-AD41)*AC41*roy_rate*B41*(1-IF(union_resp=2,lic_cut*Labour!S41,0))</f>
        <v>0</v>
      </c>
      <c r="AH41" s="55" t="n">
        <v>8</v>
      </c>
      <c r="AI41" s="56" t="n">
        <f aca="false">AH41*B41</f>
        <v>8.22341708532701</v>
      </c>
      <c r="AJ41" s="55" t="n">
        <v>10</v>
      </c>
      <c r="AK41" s="56" t="n">
        <f aca="false">AJ41*B41</f>
        <v>10.2792713566588</v>
      </c>
      <c r="AL41" s="48" t="n">
        <v>12</v>
      </c>
      <c r="AM41" s="56" t="n">
        <f aca="false">AL41*uw_fee*B41</f>
        <v>0.308378140699763</v>
      </c>
      <c r="AN41" s="55" t="n">
        <v>0</v>
      </c>
      <c r="AO41" s="55" t="n">
        <v>0</v>
      </c>
      <c r="AP41" s="56" t="n">
        <f aca="false">K41+T41+W41+Z41+AF41+AI41+AK41+AM41+AN41+AO41</f>
        <v>26.2630243526953</v>
      </c>
      <c r="AQ41" s="56" t="n">
        <f aca="false">AP41*(1-1/champ_prem+champ_spill)</f>
        <v>18.2382113560384</v>
      </c>
      <c r="AR41" s="66" t="n">
        <f aca="false">AP41/Economy!O41</f>
        <v>0.025258957292802</v>
      </c>
      <c r="AS41" s="55" t="n">
        <v>35</v>
      </c>
      <c r="AT41" s="55" t="n">
        <v>12</v>
      </c>
      <c r="AU41" s="55" t="n">
        <v>0</v>
      </c>
      <c r="AV41" s="55" t="n">
        <v>0</v>
      </c>
      <c r="AW41" s="55" t="n">
        <v>1</v>
      </c>
      <c r="AX41" s="55" t="n">
        <v>0</v>
      </c>
      <c r="AY41" s="56" t="n">
        <f aca="false">Q41+(AS41+AT41+AU41+AV41+AW41+AX41)*B41</f>
        <v>53.6434055018594</v>
      </c>
      <c r="AZ41" s="56" t="n">
        <f aca="false">P41+(AS41*ret_rail+AT41*ret_tel+AU41*ret_elec+AV41*ret_auto+AW41*ret_chem+AX41*ret_steel)*B41*IF(OR($A41=1931,$A41=1932),abroad_slump,1)+AB41+AG41</f>
        <v>3.90643149367103</v>
      </c>
      <c r="BA41" s="56" t="n">
        <f aca="false">AP41*champ_profit+AZ41</f>
        <v>9.15903636421009</v>
      </c>
      <c r="BB41" s="56" t="n">
        <f aca="false">(K41+AI41+AK41)*champ_profit+P41+(AS41*ret_rail+AT41*ret_tel+AU41*ret_elec)*B41*IF(OR($A41=1931,$A41=1932),abroad_slump,1)</f>
        <v>7.34762316573968</v>
      </c>
      <c r="BC41" s="56" t="n">
        <f aca="false">(T41+W41+Z41+AF41+AN41+AO41)*champ_profit+(AV41*ret_auto+AW41*ret_chem+AX41*ret_steel)*B41*IF(OR($A41=1931,$A41=1932),abroad_slump,1)+AB41+AG41</f>
        <v>1.74973757033045</v>
      </c>
      <c r="BD41" s="56" t="n">
        <f aca="false">IF($A41&gt;=crown_start,(BB41*crown_charter+BC41*crown_comp)*crown_payout,0)</f>
        <v>0.988442398530678</v>
      </c>
      <c r="BE41" s="66" t="n">
        <f aca="false">IF(BB41+BC41&gt;0,(BB41*crown_charter+BC41*crown_comp)/(BA41),0)</f>
        <v>0.215839824021907</v>
      </c>
    </row>
    <row r="42" customFormat="false" ht="14.25" hidden="false" customHeight="false" outlineLevel="0" collapsed="false">
      <c r="A42" s="61" t="n">
        <v>1882</v>
      </c>
      <c r="B42" s="68" t="n">
        <f aca="false">champ_scale*(1+Labour!AP42)*(1+Partners!BX42)*(1-IF(union_resp=2,tariff_cut*Labour!S42,0))</f>
        <v>1.03048650658298</v>
      </c>
      <c r="C42" s="48" t="n">
        <v>420</v>
      </c>
      <c r="D42" s="48" t="n">
        <v>140</v>
      </c>
      <c r="E42" s="48" t="n">
        <v>1300</v>
      </c>
      <c r="F42" s="50" t="n">
        <f aca="false">E42*B42</f>
        <v>1339.63245855787</v>
      </c>
      <c r="G42" s="50" t="n">
        <f aca="false">F42/Economy!B42*1000000</f>
        <v>381.563731690452</v>
      </c>
      <c r="H42" s="48" t="n">
        <v>287</v>
      </c>
      <c r="I42" s="70" t="n">
        <f aca="false">IF(H42&gt;0,G42/H42,0)</f>
        <v>1.32949035432213</v>
      </c>
      <c r="J42" s="71" t="n">
        <v>0</v>
      </c>
      <c r="K42" s="56" t="n">
        <f aca="false">Resources!K42*J42*B42</f>
        <v>0</v>
      </c>
      <c r="L42" s="48" t="n">
        <v>0</v>
      </c>
      <c r="M42" s="62" t="n">
        <v>0</v>
      </c>
      <c r="N42" s="48" t="n">
        <v>2</v>
      </c>
      <c r="O42" s="71" t="n">
        <v>0.595</v>
      </c>
      <c r="P42" s="56" t="n">
        <f aca="false">(IF(Gulf!E42=1,0,L42*M42)+N42)*O42*B42</f>
        <v>1.22627894283375</v>
      </c>
      <c r="Q42" s="56" t="n">
        <f aca="false">P42*oil_book</f>
        <v>8.58395259983622</v>
      </c>
      <c r="R42" s="71" t="n">
        <v>0.186</v>
      </c>
      <c r="S42" s="48" t="n">
        <v>26</v>
      </c>
      <c r="T42" s="56" t="n">
        <f aca="false">R42*S42*B42</f>
        <v>4.98343274583529</v>
      </c>
      <c r="U42" s="48" t="n">
        <v>0</v>
      </c>
      <c r="V42" s="48" t="n">
        <v>0</v>
      </c>
      <c r="W42" s="56" t="n">
        <f aca="false">U42/1000*V42*B42</f>
        <v>0</v>
      </c>
      <c r="X42" s="48" t="n">
        <v>660</v>
      </c>
      <c r="Y42" s="62" t="n">
        <v>0.013</v>
      </c>
      <c r="Z42" s="56" t="n">
        <f aca="false">X42*Y42*chem_va*B42</f>
        <v>3.97870840191688</v>
      </c>
      <c r="AA42" s="62" t="n">
        <v>0.007</v>
      </c>
      <c r="AB42" s="56" t="n">
        <f aca="false">X42*AA42*roy_rate*B42*(1-IF(union_resp=2,lic_cut*Labour!S42,0))</f>
        <v>0.142825429812401</v>
      </c>
      <c r="AC42" s="48" t="n">
        <v>0</v>
      </c>
      <c r="AD42" s="62" t="n">
        <v>0</v>
      </c>
      <c r="AE42" s="62" t="n">
        <v>0</v>
      </c>
      <c r="AF42" s="56" t="n">
        <f aca="false">AC42*AD42*elec_va*B42</f>
        <v>0</v>
      </c>
      <c r="AG42" s="56" t="n">
        <f aca="false">MAX(0,AE42-AD42)*AC42*roy_rate*B42*(1-IF(union_resp=2,lic_cut*Labour!S42,0))</f>
        <v>0</v>
      </c>
      <c r="AH42" s="55" t="n">
        <v>9</v>
      </c>
      <c r="AI42" s="56" t="n">
        <f aca="false">AH42*B42</f>
        <v>9.27437855924681</v>
      </c>
      <c r="AJ42" s="55" t="n">
        <v>10</v>
      </c>
      <c r="AK42" s="56" t="n">
        <f aca="false">AJ42*B42</f>
        <v>10.3048650658298</v>
      </c>
      <c r="AL42" s="48" t="n">
        <v>14</v>
      </c>
      <c r="AM42" s="56" t="n">
        <f aca="false">AL42*uw_fee*B42</f>
        <v>0.360670277304043</v>
      </c>
      <c r="AN42" s="55" t="n">
        <v>0</v>
      </c>
      <c r="AO42" s="55" t="n">
        <v>0</v>
      </c>
      <c r="AP42" s="56" t="n">
        <f aca="false">K42+T42+W42+Z42+AF42+AI42+AK42+AM42+AN42+AO42</f>
        <v>28.9020550501328</v>
      </c>
      <c r="AQ42" s="56" t="n">
        <f aca="false">AP42*(1-1/champ_prem+champ_spill)</f>
        <v>20.0708715625922</v>
      </c>
      <c r="AR42" s="66" t="n">
        <f aca="false">AP42/Economy!O42</f>
        <v>0.0262627353645073</v>
      </c>
      <c r="AS42" s="55" t="n">
        <v>40</v>
      </c>
      <c r="AT42" s="55" t="n">
        <v>13</v>
      </c>
      <c r="AU42" s="55" t="n">
        <v>0</v>
      </c>
      <c r="AV42" s="55" t="n">
        <v>0</v>
      </c>
      <c r="AW42" s="55" t="n">
        <v>1</v>
      </c>
      <c r="AX42" s="55" t="n">
        <v>0</v>
      </c>
      <c r="AY42" s="56" t="n">
        <f aca="false">Q42+(AS42+AT42+AU42+AV42+AW42+AX42)*B42</f>
        <v>64.2302239553171</v>
      </c>
      <c r="AZ42" s="56" t="n">
        <f aca="false">P42+(AS42*ret_rail+AT42*ret_tel+AU42*ret_elec+AV42*ret_auto+AW42*ret_chem+AX42*ret_steel)*B42*IF(OR($A42=1931,$A42=1932),abroad_slump,1)+AB42+AG42</f>
        <v>4.89336822515993</v>
      </c>
      <c r="BA42" s="56" t="n">
        <f aca="false">AP42*champ_profit+AZ42</f>
        <v>10.6737792351865</v>
      </c>
      <c r="BB42" s="56" t="n">
        <f aca="false">(K42+AI42+AK42)*champ_profit+P42+(AS42*ret_rail+AT42*ret_tel+AU42*ret_elec)*B42*IF(OR($A42=1931,$A42=1932),abroad_slump,1)</f>
        <v>8.5427331395729</v>
      </c>
      <c r="BC42" s="56" t="n">
        <f aca="false">(T42+W42+Z42+AF42+AN42+AO42)*champ_profit+(AV42*ret_auto+AW42*ret_chem+AX42*ret_steel)*B42*IF(OR($A42=1931,$A42=1932),abroad_slump,1)+AB42+AG42</f>
        <v>2.05891204015279</v>
      </c>
      <c r="BD42" s="56" t="n">
        <f aca="false">IF($A42&gt;=crown_start,(BB42*crown_charter+BC42*crown_comp)*crown_payout,0)</f>
        <v>1.15019812405272</v>
      </c>
      <c r="BE42" s="66" t="n">
        <f aca="false">IF(BB42+BC42&gt;0,(BB42*crown_charter+BC42*crown_comp)/(BA42),0)</f>
        <v>0.215518439853254</v>
      </c>
    </row>
    <row r="43" customFormat="false" ht="14.25" hidden="false" customHeight="false" outlineLevel="0" collapsed="false">
      <c r="A43" s="61" t="n">
        <v>1883</v>
      </c>
      <c r="B43" s="68" t="n">
        <f aca="false">champ_scale*(1+Labour!AP43)*(1+Partners!BX43)*(1-IF(union_resp=2,tariff_cut*Labour!S43,0))</f>
        <v>1.03347578326523</v>
      </c>
      <c r="C43" s="48" t="n">
        <v>480</v>
      </c>
      <c r="D43" s="48" t="n">
        <v>160</v>
      </c>
      <c r="E43" s="48" t="n">
        <v>1450</v>
      </c>
      <c r="F43" s="50" t="n">
        <f aca="false">E43*B43</f>
        <v>1498.53988573458</v>
      </c>
      <c r="G43" s="50" t="n">
        <f aca="false">F43/Economy!B43*1000000</f>
        <v>406.154899785196</v>
      </c>
      <c r="H43" s="48" t="n">
        <v>301</v>
      </c>
      <c r="I43" s="70" t="n">
        <f aca="false">IF(H43&gt;0,G43/H43,0)</f>
        <v>1.34935182652889</v>
      </c>
      <c r="J43" s="71" t="n">
        <v>0</v>
      </c>
      <c r="K43" s="56" t="n">
        <f aca="false">Resources!K43*J43*B43</f>
        <v>0</v>
      </c>
      <c r="L43" s="48" t="n">
        <v>0</v>
      </c>
      <c r="M43" s="62" t="n">
        <v>0</v>
      </c>
      <c r="N43" s="48" t="n">
        <v>2</v>
      </c>
      <c r="O43" s="71" t="n">
        <v>0.593</v>
      </c>
      <c r="P43" s="56" t="n">
        <f aca="false">(IF(Gulf!E43=1,0,L43*M43)+N43)*O43*B43</f>
        <v>1.22570227895256</v>
      </c>
      <c r="Q43" s="56" t="n">
        <f aca="false">P43*oil_book</f>
        <v>8.5799159526679</v>
      </c>
      <c r="R43" s="71" t="n">
        <v>0.219</v>
      </c>
      <c r="S43" s="48" t="n">
        <v>25</v>
      </c>
      <c r="T43" s="56" t="n">
        <f aca="false">R43*S43*B43</f>
        <v>5.65827991337711</v>
      </c>
      <c r="U43" s="48" t="n">
        <v>0</v>
      </c>
      <c r="V43" s="48" t="n">
        <v>0</v>
      </c>
      <c r="W43" s="56" t="n">
        <f aca="false">U43/1000*V43*B43</f>
        <v>0</v>
      </c>
      <c r="X43" s="48" t="n">
        <v>690</v>
      </c>
      <c r="Y43" s="62" t="n">
        <v>0.015</v>
      </c>
      <c r="Z43" s="56" t="n">
        <f aca="false">X43*Y43*chem_va*B43</f>
        <v>4.81341346055779</v>
      </c>
      <c r="AA43" s="62" t="n">
        <v>0.008</v>
      </c>
      <c r="AB43" s="56" t="n">
        <f aca="false">X43*AA43*roy_rate*B43*(1-IF(union_resp=2,lic_cut*Labour!S43,0))</f>
        <v>0.171143589708721</v>
      </c>
      <c r="AC43" s="48" t="n">
        <v>0</v>
      </c>
      <c r="AD43" s="62" t="n">
        <v>0</v>
      </c>
      <c r="AE43" s="62" t="n">
        <v>0</v>
      </c>
      <c r="AF43" s="56" t="n">
        <f aca="false">AC43*AD43*elec_va*B43</f>
        <v>0</v>
      </c>
      <c r="AG43" s="56" t="n">
        <f aca="false">MAX(0,AE43-AD43)*AC43*roy_rate*B43*(1-IF(union_resp=2,lic_cut*Labour!S43,0))</f>
        <v>0</v>
      </c>
      <c r="AH43" s="55" t="n">
        <v>9</v>
      </c>
      <c r="AI43" s="56" t="n">
        <f aca="false">AH43*B43</f>
        <v>9.30128204938703</v>
      </c>
      <c r="AJ43" s="55" t="n">
        <v>11</v>
      </c>
      <c r="AK43" s="56" t="n">
        <f aca="false">AJ43*B43</f>
        <v>11.3682336159175</v>
      </c>
      <c r="AL43" s="48" t="n">
        <v>16</v>
      </c>
      <c r="AM43" s="56" t="n">
        <f aca="false">AL43*uw_fee*B43</f>
        <v>0.41339031330609</v>
      </c>
      <c r="AN43" s="55" t="n">
        <v>0</v>
      </c>
      <c r="AO43" s="55" t="n">
        <v>0</v>
      </c>
      <c r="AP43" s="56" t="n">
        <f aca="false">K43+T43+W43+Z43+AF43+AI43+AK43+AM43+AN43+AO43</f>
        <v>31.5545993525455</v>
      </c>
      <c r="AQ43" s="56" t="n">
        <f aca="false">AP43*(1-1/champ_prem+champ_spill)</f>
        <v>21.9129162170455</v>
      </c>
      <c r="AR43" s="66" t="n">
        <f aca="false">AP43/Economy!O43</f>
        <v>0.0271238256719173</v>
      </c>
      <c r="AS43" s="55" t="n">
        <v>45</v>
      </c>
      <c r="AT43" s="55" t="n">
        <v>14</v>
      </c>
      <c r="AU43" s="55" t="n">
        <v>0</v>
      </c>
      <c r="AV43" s="55" t="n">
        <v>0</v>
      </c>
      <c r="AW43" s="55" t="n">
        <v>2</v>
      </c>
      <c r="AX43" s="55" t="n">
        <v>0</v>
      </c>
      <c r="AY43" s="56" t="n">
        <f aca="false">Q43+(AS43+AT43+AU43+AV43+AW43+AX43)*B43</f>
        <v>71.6219387318466</v>
      </c>
      <c r="AZ43" s="56" t="n">
        <f aca="false">P43+(AS43*ret_rail+AT43*ret_tel+AU43*ret_elec+AV43*ret_auto+AW43*ret_chem+AX43*ret_steel)*B43*IF(OR($A43=1931,$A43=1932),abroad_slump,1)+AB43+AG43</f>
        <v>5.41706666556301</v>
      </c>
      <c r="BA43" s="56" t="n">
        <f aca="false">AP43*champ_profit+AZ43</f>
        <v>11.7279865360721</v>
      </c>
      <c r="BB43" s="56" t="n">
        <f aca="false">(K43+AI43+AK43)*champ_profit+P43+(AS43*ret_rail+AT43*ret_tel+AU43*ret_elec)*B43*IF(OR($A43=1931,$A43=1932),abroad_slump,1)</f>
        <v>9.13179202093153</v>
      </c>
      <c r="BC43" s="56" t="n">
        <f aca="false">(T43+W43+Z43+AF43+AN43+AO43)*champ_profit+(AV43*ret_auto+AW43*ret_chem+AX43*ret_steel)*B43*IF(OR($A43=1931,$A43=1932),abroad_slump,1)+AB43+AG43</f>
        <v>2.51351645247935</v>
      </c>
      <c r="BD43" s="56" t="n">
        <f aca="false">IF($A43&gt;=crown_start,(BB43*crown_charter+BC43*crown_comp)*crown_payout,0)</f>
        <v>1.24201466071562</v>
      </c>
      <c r="BE43" s="66" t="n">
        <f aca="false">IF(BB43+BC43&gt;0,(BB43*crown_charter+BC43*crown_comp)/(BA43),0)</f>
        <v>0.211803561829734</v>
      </c>
    </row>
    <row r="44" customFormat="false" ht="14.25" hidden="false" customHeight="false" outlineLevel="0" collapsed="false">
      <c r="A44" s="61" t="n">
        <v>1884</v>
      </c>
      <c r="B44" s="68" t="n">
        <f aca="false">champ_scale*(1+Labour!AP44)*(1+Partners!BX44)*(1-IF(union_resp=2,tariff_cut*Labour!S44,0))</f>
        <v>1.03711297394768</v>
      </c>
      <c r="C44" s="48" t="n">
        <v>540</v>
      </c>
      <c r="D44" s="48" t="n">
        <v>180</v>
      </c>
      <c r="E44" s="48" t="n">
        <v>1600</v>
      </c>
      <c r="F44" s="50" t="n">
        <f aca="false">E44*B44</f>
        <v>1659.38075831629</v>
      </c>
      <c r="G44" s="50" t="n">
        <f aca="false">F44/Economy!B44*1000000</f>
        <v>428.315573713591</v>
      </c>
      <c r="H44" s="48" t="n">
        <v>316</v>
      </c>
      <c r="I44" s="70" t="n">
        <f aca="false">IF(H44&gt;0,G44/H44,0)</f>
        <v>1.35542903073921</v>
      </c>
      <c r="J44" s="71" t="n">
        <v>0</v>
      </c>
      <c r="K44" s="56" t="n">
        <f aca="false">Resources!K44*J44*B44</f>
        <v>0</v>
      </c>
      <c r="L44" s="48" t="n">
        <v>0</v>
      </c>
      <c r="M44" s="62" t="n">
        <v>0</v>
      </c>
      <c r="N44" s="48" t="n">
        <v>3</v>
      </c>
      <c r="O44" s="71" t="n">
        <v>0.59</v>
      </c>
      <c r="P44" s="56" t="n">
        <f aca="false">(IF(Gulf!E44=1,0,L44*M44)+N44)*O44*B44</f>
        <v>1.8356899638874</v>
      </c>
      <c r="Q44" s="56" t="n">
        <f aca="false">P44*oil_book</f>
        <v>12.8498297472118</v>
      </c>
      <c r="R44" s="71" t="n">
        <v>0.252</v>
      </c>
      <c r="S44" s="48" t="n">
        <v>24</v>
      </c>
      <c r="T44" s="56" t="n">
        <f aca="false">R44*S44*B44</f>
        <v>6.27245926643558</v>
      </c>
      <c r="U44" s="48" t="n">
        <v>0</v>
      </c>
      <c r="V44" s="48" t="n">
        <v>0</v>
      </c>
      <c r="W44" s="56" t="n">
        <f aca="false">U44/1000*V44*B44</f>
        <v>0</v>
      </c>
      <c r="X44" s="48" t="n">
        <v>720</v>
      </c>
      <c r="Y44" s="62" t="n">
        <v>0.016</v>
      </c>
      <c r="Z44" s="56" t="n">
        <f aca="false">X44*Y44*chem_va*B44</f>
        <v>5.37639365694478</v>
      </c>
      <c r="AA44" s="62" t="n">
        <v>0.008</v>
      </c>
      <c r="AB44" s="56" t="n">
        <f aca="false">X44*AA44*roy_rate*B44*(1-IF(union_resp=2,lic_cut*Labour!S44,0))</f>
        <v>0.179213121898159</v>
      </c>
      <c r="AC44" s="48" t="n">
        <v>0</v>
      </c>
      <c r="AD44" s="62" t="n">
        <v>0</v>
      </c>
      <c r="AE44" s="62" t="n">
        <v>0</v>
      </c>
      <c r="AF44" s="56" t="n">
        <f aca="false">AC44*AD44*elec_va*B44</f>
        <v>0</v>
      </c>
      <c r="AG44" s="56" t="n">
        <f aca="false">MAX(0,AE44-AD44)*AC44*roy_rate*B44*(1-IF(union_resp=2,lic_cut*Labour!S44,0))</f>
        <v>0</v>
      </c>
      <c r="AH44" s="55" t="n">
        <v>10</v>
      </c>
      <c r="AI44" s="56" t="n">
        <f aca="false">AH44*B44</f>
        <v>10.3711297394768</v>
      </c>
      <c r="AJ44" s="55" t="n">
        <v>11</v>
      </c>
      <c r="AK44" s="56" t="n">
        <f aca="false">AJ44*B44</f>
        <v>11.4082427134245</v>
      </c>
      <c r="AL44" s="48" t="n">
        <v>18</v>
      </c>
      <c r="AM44" s="56" t="n">
        <f aca="false">AL44*uw_fee*B44</f>
        <v>0.466700838276457</v>
      </c>
      <c r="AN44" s="55" t="n">
        <v>0</v>
      </c>
      <c r="AO44" s="55" t="n">
        <v>0</v>
      </c>
      <c r="AP44" s="56" t="n">
        <f aca="false">K44+T44+W44+Z44+AF44+AI44+AK44+AM44+AN44+AO44</f>
        <v>33.8949262145581</v>
      </c>
      <c r="AQ44" s="56" t="n">
        <f aca="false">AP44*(1-1/champ_prem+champ_spill)</f>
        <v>23.5381432045543</v>
      </c>
      <c r="AR44" s="66" t="n">
        <f aca="false">AP44/Economy!O44</f>
        <v>0.0281335224775743</v>
      </c>
      <c r="AS44" s="55" t="n">
        <v>50</v>
      </c>
      <c r="AT44" s="55" t="n">
        <v>16</v>
      </c>
      <c r="AU44" s="55" t="n">
        <v>0</v>
      </c>
      <c r="AV44" s="55" t="n">
        <v>0</v>
      </c>
      <c r="AW44" s="55" t="n">
        <v>2</v>
      </c>
      <c r="AX44" s="55" t="n">
        <v>0</v>
      </c>
      <c r="AY44" s="56" t="n">
        <f aca="false">Q44+(AS44+AT44+AU44+AV44+AW44+AX44)*B44</f>
        <v>83.3735119756541</v>
      </c>
      <c r="AZ44" s="56" t="n">
        <f aca="false">P44+(AS44*ret_rail+AT44*ret_tel+AU44*ret_elec+AV44*ret_auto+AW44*ret_chem+AX44*ret_steel)*B44*IF(OR($A44=1931,$A44=1932),abroad_slump,1)+AB44+AG44</f>
        <v>6.5159733927185</v>
      </c>
      <c r="BA44" s="56" t="n">
        <f aca="false">AP44*champ_profit+AZ44</f>
        <v>13.2949586356301</v>
      </c>
      <c r="BB44" s="56" t="n">
        <f aca="false">(K44+AI44+AK44)*champ_profit+P44+(AS44*ret_rail+AT44*ret_tel+AU44*ret_elec)*B44*IF(OR($A44=1931,$A44=1932),abroad_slump,1)</f>
        <v>10.4437276476532</v>
      </c>
      <c r="BC44" s="56" t="n">
        <f aca="false">(T44+W44+Z44+AF44+AN44+AO44)*champ_profit+(AV44*ret_auto+AW44*ret_chem+AX44*ret_steel)*B44*IF(OR($A44=1931,$A44=1932),abroad_slump,1)+AB44+AG44</f>
        <v>2.75789082032168</v>
      </c>
      <c r="BD44" s="56" t="n">
        <f aca="false">IF($A44&gt;=crown_start,(BB44*crown_charter+BC44*crown_comp)*crown_payout,0)</f>
        <v>1.41578158876951</v>
      </c>
      <c r="BE44" s="66" t="n">
        <f aca="false">IF(BB44+BC44&gt;0,(BB44*crown_charter+BC44*crown_comp)/(BA44),0)</f>
        <v>0.212980217174239</v>
      </c>
    </row>
    <row r="45" customFormat="false" ht="14.25" hidden="false" customHeight="false" outlineLevel="0" collapsed="false">
      <c r="A45" s="61" t="n">
        <v>1885</v>
      </c>
      <c r="B45" s="68" t="n">
        <f aca="false">champ_scale*(1+Labour!AP45)*(1+Partners!BX45)*(1-IF(union_resp=2,tariff_cut*Labour!S45,0))</f>
        <v>1.04169778857052</v>
      </c>
      <c r="C45" s="48" t="n">
        <v>600</v>
      </c>
      <c r="D45" s="48" t="n">
        <v>200</v>
      </c>
      <c r="E45" s="48" t="n">
        <v>1750</v>
      </c>
      <c r="F45" s="50" t="n">
        <f aca="false">E45*B45</f>
        <v>1822.9711299984</v>
      </c>
      <c r="G45" s="50" t="n">
        <f aca="false">F45/Economy!B45*1000000</f>
        <v>448.727135920517</v>
      </c>
      <c r="H45" s="48" t="n">
        <v>330</v>
      </c>
      <c r="I45" s="70" t="n">
        <f aca="false">IF(H45&gt;0,G45/H45,0)</f>
        <v>1.35977919975914</v>
      </c>
      <c r="J45" s="71" t="n">
        <v>0</v>
      </c>
      <c r="K45" s="56" t="n">
        <f aca="false">Resources!K45*J45*B45</f>
        <v>0</v>
      </c>
      <c r="L45" s="48" t="n">
        <v>0</v>
      </c>
      <c r="M45" s="62" t="n">
        <v>0</v>
      </c>
      <c r="N45" s="48" t="n">
        <v>3</v>
      </c>
      <c r="O45" s="71" t="n">
        <v>0.588</v>
      </c>
      <c r="P45" s="56" t="n">
        <f aca="false">(IF(Gulf!E45=1,0,L45*M45)+N45)*O45*B45</f>
        <v>1.83755489903839</v>
      </c>
      <c r="Q45" s="56" t="n">
        <f aca="false">P45*oil_book</f>
        <v>12.8628842932687</v>
      </c>
      <c r="R45" s="71" t="n">
        <v>0.285</v>
      </c>
      <c r="S45" s="48" t="n">
        <v>23</v>
      </c>
      <c r="T45" s="56" t="n">
        <f aca="false">R45*S45*B45</f>
        <v>6.82832900407974</v>
      </c>
      <c r="U45" s="48" t="n">
        <v>0</v>
      </c>
      <c r="V45" s="48" t="n">
        <v>0</v>
      </c>
      <c r="W45" s="56" t="n">
        <f aca="false">U45/1000*V45*B45</f>
        <v>0</v>
      </c>
      <c r="X45" s="48" t="n">
        <v>750</v>
      </c>
      <c r="Y45" s="62" t="n">
        <v>0.018</v>
      </c>
      <c r="Z45" s="56" t="n">
        <f aca="false">X45*Y45*chem_va*B45</f>
        <v>6.32831406556589</v>
      </c>
      <c r="AA45" s="62" t="n">
        <v>0.008</v>
      </c>
      <c r="AB45" s="56" t="n">
        <f aca="false">X45*AA45*roy_rate*B45*(1-IF(union_resp=2,lic_cut*Labour!S45,0))</f>
        <v>0.187505601942693</v>
      </c>
      <c r="AC45" s="48" t="n">
        <v>30</v>
      </c>
      <c r="AD45" s="62" t="n">
        <v>0.15</v>
      </c>
      <c r="AE45" s="62" t="n">
        <v>0.15</v>
      </c>
      <c r="AF45" s="56" t="n">
        <f aca="false">AC45*AD45*elec_va*B45</f>
        <v>2.1094380218553</v>
      </c>
      <c r="AG45" s="56" t="n">
        <f aca="false">MAX(0,AE45-AD45)*AC45*roy_rate*B45*(1-IF(union_resp=2,lic_cut*Labour!S45,0))</f>
        <v>0</v>
      </c>
      <c r="AH45" s="55" t="n">
        <v>11</v>
      </c>
      <c r="AI45" s="56" t="n">
        <f aca="false">AH45*B45</f>
        <v>11.4586756742757</v>
      </c>
      <c r="AJ45" s="55" t="n">
        <v>12</v>
      </c>
      <c r="AK45" s="56" t="n">
        <f aca="false">AJ45*B45</f>
        <v>12.5003734628462</v>
      </c>
      <c r="AL45" s="48" t="n">
        <v>20</v>
      </c>
      <c r="AM45" s="56" t="n">
        <f aca="false">AL45*uw_fee*B45</f>
        <v>0.520848894285258</v>
      </c>
      <c r="AN45" s="55" t="n">
        <v>0</v>
      </c>
      <c r="AO45" s="55" t="n">
        <v>0</v>
      </c>
      <c r="AP45" s="56" t="n">
        <f aca="false">K45+T45+W45+Z45+AF45+AI45+AK45+AM45+AN45+AO45</f>
        <v>39.7459791229081</v>
      </c>
      <c r="AQ45" s="56" t="n">
        <f aca="false">AP45*(1-1/champ_prem+champ_spill)</f>
        <v>27.6013743909084</v>
      </c>
      <c r="AR45" s="66" t="n">
        <f aca="false">AP45/Economy!O45</f>
        <v>0.031223476503184</v>
      </c>
      <c r="AS45" s="55" t="n">
        <v>55</v>
      </c>
      <c r="AT45" s="55" t="n">
        <v>18</v>
      </c>
      <c r="AU45" s="55" t="n">
        <v>0</v>
      </c>
      <c r="AV45" s="55" t="n">
        <v>0</v>
      </c>
      <c r="AW45" s="55" t="n">
        <v>2</v>
      </c>
      <c r="AX45" s="55" t="n">
        <v>0</v>
      </c>
      <c r="AY45" s="56" t="n">
        <f aca="false">Q45+(AS45+AT45+AU45+AV45+AW45+AX45)*B45</f>
        <v>90.9902184360575</v>
      </c>
      <c r="AZ45" s="56" t="n">
        <f aca="false">P45+(AS45*ret_rail+AT45*ret_tel+AU45*ret_elec+AV45*ret_auto+AW45*ret_chem+AX45*ret_steel)*B45*IF(OR($A45=1931,$A45=1932),abroad_slump,1)+AB45+AG45</f>
        <v>7.01479290823386</v>
      </c>
      <c r="BA45" s="56" t="n">
        <f aca="false">AP45*champ_profit+AZ45</f>
        <v>14.9639887328155</v>
      </c>
      <c r="BB45" s="56" t="n">
        <f aca="false">(K45+AI45+AK45)*champ_profit+P45+(AS45*ret_rail+AT45*ret_tel+AU45*ret_elec)*B45*IF(OR($A45=1931,$A45=1932),abroad_slump,1)</f>
        <v>11.3690896644586</v>
      </c>
      <c r="BC45" s="56" t="n">
        <f aca="false">(T45+W45+Z45+AF45+AN45+AO45)*champ_profit+(AV45*ret_auto+AW45*ret_chem+AX45*ret_steel)*B45*IF(OR($A45=1931,$A45=1932),abroad_slump,1)+AB45+AG45</f>
        <v>3.4907292894998</v>
      </c>
      <c r="BD45" s="56" t="n">
        <f aca="false">IF($A45&gt;=crown_start,(BB45*crown_charter+BC45*crown_comp)*crown_payout,0)</f>
        <v>1.56076537963732</v>
      </c>
      <c r="BE45" s="66" t="n">
        <f aca="false">IF(BB45+BC45&gt;0,(BB45*crown_charter+BC45*crown_comp)/(BA45),0)</f>
        <v>0.208602854159415</v>
      </c>
    </row>
    <row r="46" customFormat="false" ht="14.25" hidden="false" customHeight="false" outlineLevel="0" collapsed="false">
      <c r="A46" s="61" t="n">
        <v>1886</v>
      </c>
      <c r="B46" s="68" t="n">
        <f aca="false">champ_scale*(1+Labour!AP46)*(1+Partners!BX46)*(1-IF(union_resp=2,tariff_cut*Labour!S46,0))</f>
        <v>1.04524880653684</v>
      </c>
      <c r="C46" s="48" t="n">
        <v>660</v>
      </c>
      <c r="D46" s="48" t="n">
        <v>220</v>
      </c>
      <c r="E46" s="48" t="n">
        <v>1900</v>
      </c>
      <c r="F46" s="50" t="n">
        <f aca="false">E46*B46</f>
        <v>1985.97273241999</v>
      </c>
      <c r="G46" s="50" t="n">
        <f aca="false">F46/Economy!B46*1000000</f>
        <v>466.471688129066</v>
      </c>
      <c r="H46" s="48" t="n">
        <v>344</v>
      </c>
      <c r="I46" s="70" t="n">
        <f aca="false">IF(H46&gt;0,G46/H46,0)</f>
        <v>1.3560223492124</v>
      </c>
      <c r="J46" s="71" t="n">
        <v>0</v>
      </c>
      <c r="K46" s="56" t="n">
        <f aca="false">Resources!K46*J46*B46</f>
        <v>0</v>
      </c>
      <c r="L46" s="48" t="n">
        <v>0</v>
      </c>
      <c r="M46" s="62" t="n">
        <v>0</v>
      </c>
      <c r="N46" s="48" t="n">
        <v>4</v>
      </c>
      <c r="O46" s="71" t="n">
        <v>0.585</v>
      </c>
      <c r="P46" s="56" t="n">
        <f aca="false">(IF(Gulf!E46=1,0,L46*M46)+N46)*O46*B46</f>
        <v>2.4458822072962</v>
      </c>
      <c r="Q46" s="56" t="n">
        <f aca="false">P46*oil_book</f>
        <v>17.1211754510734</v>
      </c>
      <c r="R46" s="71" t="n">
        <v>0.318</v>
      </c>
      <c r="S46" s="48" t="n">
        <v>22</v>
      </c>
      <c r="T46" s="56" t="n">
        <f aca="false">R46*S46*B46</f>
        <v>7.31256065053171</v>
      </c>
      <c r="U46" s="48" t="n">
        <v>0</v>
      </c>
      <c r="V46" s="48" t="n">
        <v>0</v>
      </c>
      <c r="W46" s="56" t="n">
        <f aca="false">U46/1000*V46*B46</f>
        <v>0</v>
      </c>
      <c r="X46" s="48" t="n">
        <v>780</v>
      </c>
      <c r="Y46" s="62" t="n">
        <v>0.019</v>
      </c>
      <c r="Z46" s="56" t="n">
        <f aca="false">X46*Y46*chem_va*B46</f>
        <v>6.97076429079417</v>
      </c>
      <c r="AA46" s="62" t="n">
        <v>0.009</v>
      </c>
      <c r="AB46" s="56" t="n">
        <f aca="false">X46*AA46*roy_rate*B46*(1-IF(union_resp=2,lic_cut*Labour!S46,0))</f>
        <v>0.220129398656658</v>
      </c>
      <c r="AC46" s="48" t="n">
        <v>44</v>
      </c>
      <c r="AD46" s="62" t="n">
        <v>0.16</v>
      </c>
      <c r="AE46" s="62" t="n">
        <v>0.17</v>
      </c>
      <c r="AF46" s="56" t="n">
        <f aca="false">AC46*AD46*elec_va*B46</f>
        <v>3.3113482191087</v>
      </c>
      <c r="AG46" s="56" t="n">
        <f aca="false">MAX(0,AE46-AD46)*AC46*roy_rate*B46*(1-IF(union_resp=2,lic_cut*Labour!S46,0))</f>
        <v>0.0137972842462863</v>
      </c>
      <c r="AH46" s="55" t="n">
        <v>12</v>
      </c>
      <c r="AI46" s="56" t="n">
        <f aca="false">AH46*B46</f>
        <v>12.542985678442</v>
      </c>
      <c r="AJ46" s="55" t="n">
        <v>13</v>
      </c>
      <c r="AK46" s="56" t="n">
        <f aca="false">AJ46*B46</f>
        <v>13.5882344849789</v>
      </c>
      <c r="AL46" s="48" t="n">
        <v>22</v>
      </c>
      <c r="AM46" s="56" t="n">
        <f aca="false">AL46*uw_fee*B46</f>
        <v>0.57488684359526</v>
      </c>
      <c r="AN46" s="55" t="n">
        <v>0</v>
      </c>
      <c r="AO46" s="55" t="n">
        <v>0</v>
      </c>
      <c r="AP46" s="56" t="n">
        <f aca="false">K46+T46+W46+Z46+AF46+AI46+AK46+AM46+AN46+AO46</f>
        <v>44.3007801674508</v>
      </c>
      <c r="AQ46" s="56" t="n">
        <f aca="false">AP46*(1-1/champ_prem+champ_spill)</f>
        <v>30.7644306718408</v>
      </c>
      <c r="AR46" s="66" t="n">
        <f aca="false">AP46/Economy!O46</f>
        <v>0.0319157324376994</v>
      </c>
      <c r="AS46" s="55" t="n">
        <v>60</v>
      </c>
      <c r="AT46" s="55" t="n">
        <v>19</v>
      </c>
      <c r="AU46" s="55" t="n">
        <v>0</v>
      </c>
      <c r="AV46" s="55" t="n">
        <v>0</v>
      </c>
      <c r="AW46" s="55" t="n">
        <v>2</v>
      </c>
      <c r="AX46" s="55" t="n">
        <v>0</v>
      </c>
      <c r="AY46" s="56" t="n">
        <f aca="false">Q46+(AS46+AT46+AU46+AV46+AW46+AX46)*B46</f>
        <v>101.786328780557</v>
      </c>
      <c r="AZ46" s="56" t="n">
        <f aca="false">P46+(AS46*ret_rail+AT46*ret_tel+AU46*ret_elec+AV46*ret_auto+AW46*ret_chem+AX46*ret_steel)*B46*IF(OR($A46=1931,$A46=1932),abroad_slump,1)+AB46+AG46</f>
        <v>8.05238775579848</v>
      </c>
      <c r="BA46" s="56" t="n">
        <f aca="false">AP46*champ_profit+AZ46</f>
        <v>16.9125437892886</v>
      </c>
      <c r="BB46" s="56" t="n">
        <f aca="false">(K46+AI46+AK46)*champ_profit+P46+(AS46*ret_rail+AT46*ret_tel+AU46*ret_elec)*B46*IF(OR($A46=1931,$A46=1932),abroad_slump,1)</f>
        <v>12.7938453920109</v>
      </c>
      <c r="BC46" s="56" t="n">
        <f aca="false">(T46+W46+Z46+AF46+AN46+AO46)*champ_profit+(AV46*ret_auto+AW46*ret_chem+AX46*ret_steel)*B46*IF(OR($A46=1931,$A46=1932),abroad_slump,1)+AB46+AG46</f>
        <v>4.0037210285587</v>
      </c>
      <c r="BD46" s="56" t="n">
        <f aca="false">IF($A46&gt;=crown_start,(BB46*crown_charter+BC46*crown_comp)*crown_payout,0)</f>
        <v>1.75937951514371</v>
      </c>
      <c r="BE46" s="66" t="n">
        <f aca="false">IF(BB46+BC46&gt;0,(BB46*crown_charter+BC46*crown_comp)/(BA46),0)</f>
        <v>0.208056166720229</v>
      </c>
    </row>
    <row r="47" customFormat="false" ht="14.25" hidden="false" customHeight="false" outlineLevel="0" collapsed="false">
      <c r="A47" s="61" t="n">
        <v>1887</v>
      </c>
      <c r="B47" s="68" t="n">
        <f aca="false">champ_scale*(1+Labour!AP47)*(1+Partners!BX47)*(1-IF(union_resp=2,tariff_cut*Labour!S47,0))</f>
        <v>1.04993361859447</v>
      </c>
      <c r="C47" s="48" t="n">
        <v>720</v>
      </c>
      <c r="D47" s="48" t="n">
        <v>240</v>
      </c>
      <c r="E47" s="48" t="n">
        <v>2050</v>
      </c>
      <c r="F47" s="50" t="n">
        <f aca="false">E47*B47</f>
        <v>2152.36391811867</v>
      </c>
      <c r="G47" s="50" t="n">
        <f aca="false">F47/Economy!B47*1000000</f>
        <v>481.98882754484</v>
      </c>
      <c r="H47" s="48" t="n">
        <v>359</v>
      </c>
      <c r="I47" s="70" t="n">
        <f aca="false">IF(H47&gt;0,G47/H47,0)</f>
        <v>1.3425872633561</v>
      </c>
      <c r="J47" s="71" t="n">
        <v>0</v>
      </c>
      <c r="K47" s="56" t="n">
        <f aca="false">Resources!K47*J47*B47</f>
        <v>0</v>
      </c>
      <c r="L47" s="48" t="n">
        <v>0</v>
      </c>
      <c r="M47" s="62" t="n">
        <v>0</v>
      </c>
      <c r="N47" s="48" t="n">
        <v>4</v>
      </c>
      <c r="O47" s="71" t="n">
        <v>0.583</v>
      </c>
      <c r="P47" s="56" t="n">
        <f aca="false">(IF(Gulf!E47=1,0,L47*M47)+N47)*O47*B47</f>
        <v>2.44844519856231</v>
      </c>
      <c r="Q47" s="56" t="n">
        <f aca="false">P47*oil_book</f>
        <v>17.1391163899362</v>
      </c>
      <c r="R47" s="71" t="n">
        <v>0.351</v>
      </c>
      <c r="S47" s="48" t="n">
        <v>21</v>
      </c>
      <c r="T47" s="56" t="n">
        <f aca="false">R47*S47*B47</f>
        <v>7.73906070265985</v>
      </c>
      <c r="U47" s="48" t="n">
        <v>0</v>
      </c>
      <c r="V47" s="48" t="n">
        <v>0</v>
      </c>
      <c r="W47" s="56" t="n">
        <f aca="false">U47/1000*V47*B47</f>
        <v>0</v>
      </c>
      <c r="X47" s="48" t="n">
        <v>810</v>
      </c>
      <c r="Y47" s="62" t="n">
        <v>0.021</v>
      </c>
      <c r="Z47" s="56" t="n">
        <f aca="false">X47*Y47*chem_va*B47</f>
        <v>8.03671688353139</v>
      </c>
      <c r="AA47" s="62" t="n">
        <v>0.009</v>
      </c>
      <c r="AB47" s="56" t="n">
        <f aca="false">X47*AA47*roy_rate*B47*(1-IF(union_resp=2,lic_cut*Labour!S47,0))</f>
        <v>0.229620482386611</v>
      </c>
      <c r="AC47" s="48" t="n">
        <v>58</v>
      </c>
      <c r="AD47" s="62" t="n">
        <v>0.17</v>
      </c>
      <c r="AE47" s="62" t="n">
        <v>0.19</v>
      </c>
      <c r="AF47" s="56" t="n">
        <f aca="false">AC47*AD47*elec_va*B47</f>
        <v>4.65855546570367</v>
      </c>
      <c r="AG47" s="56" t="n">
        <f aca="false">MAX(0,AE47-AD47)*AC47*roy_rate*B47*(1-IF(union_resp=2,lic_cut*Labour!S47,0))</f>
        <v>0.0365376899270876</v>
      </c>
      <c r="AH47" s="55" t="n">
        <v>13</v>
      </c>
      <c r="AI47" s="56" t="n">
        <f aca="false">AH47*B47</f>
        <v>13.6491370417281</v>
      </c>
      <c r="AJ47" s="55" t="n">
        <v>13</v>
      </c>
      <c r="AK47" s="56" t="n">
        <f aca="false">AJ47*B47</f>
        <v>13.6491370417281</v>
      </c>
      <c r="AL47" s="48" t="n">
        <v>24</v>
      </c>
      <c r="AM47" s="56" t="n">
        <f aca="false">AL47*uw_fee*B47</f>
        <v>0.629960171156683</v>
      </c>
      <c r="AN47" s="55" t="n">
        <v>0</v>
      </c>
      <c r="AO47" s="55" t="n">
        <v>0</v>
      </c>
      <c r="AP47" s="56" t="n">
        <f aca="false">K47+T47+W47+Z47+AF47+AI47+AK47+AM47+AN47+AO47</f>
        <v>48.3625673065079</v>
      </c>
      <c r="AQ47" s="56" t="n">
        <f aca="false">AP47*(1-1/champ_prem+champ_spill)</f>
        <v>33.5851161850749</v>
      </c>
      <c r="AR47" s="66" t="n">
        <f aca="false">AP47/Economy!O47</f>
        <v>0.0325379806704813</v>
      </c>
      <c r="AS47" s="55" t="n">
        <v>65</v>
      </c>
      <c r="AT47" s="55" t="n">
        <v>20</v>
      </c>
      <c r="AU47" s="55" t="n">
        <v>0</v>
      </c>
      <c r="AV47" s="55" t="n">
        <v>0</v>
      </c>
      <c r="AW47" s="55" t="n">
        <v>2</v>
      </c>
      <c r="AX47" s="55" t="n">
        <v>0</v>
      </c>
      <c r="AY47" s="56" t="n">
        <f aca="false">Q47+(AS47+AT47+AU47+AV47+AW47+AX47)*B47</f>
        <v>108.483341207655</v>
      </c>
      <c r="AZ47" s="56" t="n">
        <f aca="false">P47+(AS47*ret_rail+AT47*ret_tel+AU47*ret_elec+AV47*ret_auto+AW47*ret_chem+AX47*ret_steel)*B47*IF(OR($A47=1931,$A47=1932),abroad_slump,1)+AB47+AG47</f>
        <v>8.47873893695966</v>
      </c>
      <c r="BA47" s="56" t="n">
        <f aca="false">AP47*champ_profit+AZ47</f>
        <v>18.1512523982612</v>
      </c>
      <c r="BB47" s="56" t="n">
        <f aca="false">(K47+AI47+AK47)*champ_profit+P47+(AS47*ret_rail+AT47*ret_tel+AU47*ret_elec)*B47*IF(OR($A47=1931,$A47=1932),abroad_slump,1)</f>
        <v>13.4202515128745</v>
      </c>
      <c r="BC47" s="56" t="n">
        <f aca="false">(T47+W47+Z47+AF47+AN47+AO47)*champ_profit+(AV47*ret_auto+AW47*ret_chem+AX47*ret_steel)*B47*IF(OR($A47=1931,$A47=1932),abroad_slump,1)+AB47+AG47</f>
        <v>4.60500885115536</v>
      </c>
      <c r="BD47" s="56" t="n">
        <f aca="false">IF($A47&gt;=crown_start,(BB47*crown_charter+BC47*crown_comp)*crown_payout,0)</f>
        <v>1.86173179315553</v>
      </c>
      <c r="BE47" s="66" t="n">
        <f aca="false">IF(BB47+BC47&gt;0,(BB47*crown_charter+BC47*crown_comp)/(BA47),0)</f>
        <v>0.205135354002777</v>
      </c>
    </row>
    <row r="48" customFormat="false" ht="14.25" hidden="false" customHeight="false" outlineLevel="0" collapsed="false">
      <c r="A48" s="61" t="n">
        <v>1888</v>
      </c>
      <c r="B48" s="68" t="n">
        <f aca="false">champ_scale*(1+Labour!AP48)*(1+Partners!BX48)*(1-IF(union_resp=2,tariff_cut*Labour!S48,0))</f>
        <v>1.05738174946974</v>
      </c>
      <c r="C48" s="48" t="n">
        <v>780</v>
      </c>
      <c r="D48" s="48" t="n">
        <v>260</v>
      </c>
      <c r="E48" s="48" t="n">
        <v>2200</v>
      </c>
      <c r="F48" s="50" t="n">
        <f aca="false">E48*B48</f>
        <v>2326.23984883342</v>
      </c>
      <c r="G48" s="50" t="n">
        <f aca="false">F48/Economy!B48*1000000</f>
        <v>498.232046879099</v>
      </c>
      <c r="H48" s="48" t="n">
        <v>373</v>
      </c>
      <c r="I48" s="70" t="n">
        <f aca="false">IF(H48&gt;0,G48/H48,0)</f>
        <v>1.33574275302708</v>
      </c>
      <c r="J48" s="71" t="n">
        <v>0</v>
      </c>
      <c r="K48" s="56" t="n">
        <f aca="false">Resources!K48*J48*B48</f>
        <v>0</v>
      </c>
      <c r="L48" s="48" t="n">
        <v>0</v>
      </c>
      <c r="M48" s="62" t="n">
        <v>0</v>
      </c>
      <c r="N48" s="48" t="n">
        <v>5</v>
      </c>
      <c r="O48" s="71" t="n">
        <v>0.58</v>
      </c>
      <c r="P48" s="56" t="n">
        <f aca="false">(IF(Gulf!E48=1,0,L48*M48)+N48)*O48*B48</f>
        <v>3.06640707346224</v>
      </c>
      <c r="Q48" s="56" t="n">
        <f aca="false">P48*oil_book</f>
        <v>21.4648495142356</v>
      </c>
      <c r="R48" s="71" t="n">
        <v>0.384</v>
      </c>
      <c r="S48" s="48" t="n">
        <v>20</v>
      </c>
      <c r="T48" s="56" t="n">
        <f aca="false">R48*S48*B48</f>
        <v>8.12069183592757</v>
      </c>
      <c r="U48" s="48" t="n">
        <v>0</v>
      </c>
      <c r="V48" s="48" t="n">
        <v>0</v>
      </c>
      <c r="W48" s="56" t="n">
        <f aca="false">U48/1000*V48*B48</f>
        <v>0</v>
      </c>
      <c r="X48" s="48" t="n">
        <v>840</v>
      </c>
      <c r="Y48" s="62" t="n">
        <v>0.022</v>
      </c>
      <c r="Z48" s="56" t="n">
        <f aca="false">X48*Y48*chem_va*B48</f>
        <v>8.79318662859033</v>
      </c>
      <c r="AA48" s="62" t="n">
        <v>0.009</v>
      </c>
      <c r="AB48" s="56" t="n">
        <f aca="false">X48*AA48*roy_rate*B48*(1-IF(union_resp=2,lic_cut*Labour!S48,0))</f>
        <v>0.239814180779736</v>
      </c>
      <c r="AC48" s="48" t="n">
        <v>72</v>
      </c>
      <c r="AD48" s="62" t="n">
        <v>0.18</v>
      </c>
      <c r="AE48" s="62" t="n">
        <v>0.21</v>
      </c>
      <c r="AF48" s="56" t="n">
        <f aca="false">AC48*AD48*elec_va*B48</f>
        <v>6.1666503629075</v>
      </c>
      <c r="AG48" s="56" t="n">
        <f aca="false">MAX(0,AE48-AD48)*AC48*roy_rate*B48*(1-IF(union_resp=2,lic_cut*Labour!S48,0))</f>
        <v>0.0685183373656389</v>
      </c>
      <c r="AH48" s="55" t="n">
        <v>13</v>
      </c>
      <c r="AI48" s="56" t="n">
        <f aca="false">AH48*B48</f>
        <v>13.7459627431066</v>
      </c>
      <c r="AJ48" s="55" t="n">
        <v>14</v>
      </c>
      <c r="AK48" s="56" t="n">
        <f aca="false">AJ48*B48</f>
        <v>14.8033444925763</v>
      </c>
      <c r="AL48" s="48" t="n">
        <v>26</v>
      </c>
      <c r="AM48" s="56" t="n">
        <f aca="false">AL48*uw_fee*B48</f>
        <v>0.687298137155329</v>
      </c>
      <c r="AN48" s="55" t="n">
        <v>0</v>
      </c>
      <c r="AO48" s="55" t="n">
        <v>0</v>
      </c>
      <c r="AP48" s="56" t="n">
        <f aca="false">K48+T48+W48+Z48+AF48+AI48+AK48+AM48+AN48+AO48</f>
        <v>52.3171342002636</v>
      </c>
      <c r="AQ48" s="56" t="n">
        <f aca="false">AP48*(1-1/champ_prem+champ_spill)</f>
        <v>36.3313431946275</v>
      </c>
      <c r="AR48" s="66" t="n">
        <f aca="false">AP48/Economy!O48</f>
        <v>0.0327273693768741</v>
      </c>
      <c r="AS48" s="55" t="n">
        <v>70</v>
      </c>
      <c r="AT48" s="55" t="n">
        <v>22</v>
      </c>
      <c r="AU48" s="55" t="n">
        <v>0</v>
      </c>
      <c r="AV48" s="55" t="n">
        <v>0</v>
      </c>
      <c r="AW48" s="55" t="n">
        <v>3</v>
      </c>
      <c r="AX48" s="55" t="n">
        <v>0</v>
      </c>
      <c r="AY48" s="56" t="n">
        <f aca="false">Q48+(AS48+AT48+AU48+AV48+AW48+AX48)*B48</f>
        <v>121.916115713861</v>
      </c>
      <c r="AZ48" s="56" t="n">
        <f aca="false">P48+(AS48*ret_rail+AT48*ret_tel+AU48*ret_elec+AV48*ret_auto+AW48*ret_chem+AX48*ret_steel)*B48*IF(OR($A48=1931,$A48=1932),abroad_slump,1)+AB48+AG48</f>
        <v>9.78247299339421</v>
      </c>
      <c r="BA48" s="56" t="n">
        <f aca="false">AP48*champ_profit+AZ48</f>
        <v>20.2458998334469</v>
      </c>
      <c r="BB48" s="56" t="n">
        <f aca="false">(K48+AI48+AK48)*champ_profit+P48+(AS48*ret_rail+AT48*ret_tel+AU48*ret_elec)*B48*IF(OR($A48=1931,$A48=1932),abroad_slump,1)</f>
        <v>14.8033444925763</v>
      </c>
      <c r="BC48" s="56" t="n">
        <f aca="false">(T48+W48+Z48+AF48+AN48+AO48)*champ_profit+(AV48*ret_auto+AW48*ret_chem+AX48*ret_steel)*B48*IF(OR($A48=1931,$A48=1932),abroad_slump,1)+AB48+AG48</f>
        <v>5.30509571343956</v>
      </c>
      <c r="BD48" s="56" t="n">
        <f aca="false">IF($A48&gt;=crown_start,(BB48*crown_charter+BC48*crown_comp)*crown_payout,0)</f>
        <v>2.06262189010962</v>
      </c>
      <c r="BE48" s="66" t="n">
        <f aca="false">IF(BB48+BC48&gt;0,(BB48*crown_charter+BC48*crown_comp)/(BA48),0)</f>
        <v>0.2037569984123</v>
      </c>
    </row>
    <row r="49" customFormat="false" ht="14.25" hidden="false" customHeight="false" outlineLevel="0" collapsed="false">
      <c r="A49" s="61" t="n">
        <v>1889</v>
      </c>
      <c r="B49" s="68" t="n">
        <f aca="false">champ_scale*(1+Labour!AP49)*(1+Partners!BX49)*(1-IF(union_resp=2,tariff_cut*Labour!S49,0))</f>
        <v>1.06629309926015</v>
      </c>
      <c r="C49" s="48" t="n">
        <v>840</v>
      </c>
      <c r="D49" s="48" t="n">
        <v>280</v>
      </c>
      <c r="E49" s="48" t="n">
        <v>2350</v>
      </c>
      <c r="F49" s="50" t="n">
        <f aca="false">E49*B49</f>
        <v>2505.78878326135</v>
      </c>
      <c r="G49" s="50" t="n">
        <f aca="false">F49/Economy!B49*1000000</f>
        <v>514.881636014568</v>
      </c>
      <c r="H49" s="48" t="n">
        <v>388</v>
      </c>
      <c r="I49" s="70" t="n">
        <f aca="false">IF(H49&gt;0,G49/H49,0)</f>
        <v>1.32701452581074</v>
      </c>
      <c r="J49" s="71" t="n">
        <v>0</v>
      </c>
      <c r="K49" s="56" t="n">
        <f aca="false">Resources!K49*J49*B49</f>
        <v>0</v>
      </c>
      <c r="L49" s="48" t="n">
        <v>0</v>
      </c>
      <c r="M49" s="62" t="n">
        <v>0</v>
      </c>
      <c r="N49" s="48" t="n">
        <v>5</v>
      </c>
      <c r="O49" s="71" t="n">
        <v>0.578</v>
      </c>
      <c r="P49" s="56" t="n">
        <f aca="false">(IF(Gulf!E49=1,0,L49*M49)+N49)*O49*B49</f>
        <v>3.08158705686183</v>
      </c>
      <c r="Q49" s="56" t="n">
        <f aca="false">P49*oil_book</f>
        <v>21.5711093980328</v>
      </c>
      <c r="R49" s="71" t="n">
        <v>0.417</v>
      </c>
      <c r="S49" s="48" t="n">
        <v>19</v>
      </c>
      <c r="T49" s="56" t="n">
        <f aca="false">R49*S49*B49</f>
        <v>8.44824022543816</v>
      </c>
      <c r="U49" s="48" t="n">
        <v>0</v>
      </c>
      <c r="V49" s="48" t="n">
        <v>0</v>
      </c>
      <c r="W49" s="56" t="n">
        <f aca="false">U49/1000*V49*B49</f>
        <v>0</v>
      </c>
      <c r="X49" s="48" t="n">
        <v>870</v>
      </c>
      <c r="Y49" s="62" t="n">
        <v>0.024</v>
      </c>
      <c r="Z49" s="56" t="n">
        <f aca="false">X49*Y49*chem_va*B49</f>
        <v>10.0188899606484</v>
      </c>
      <c r="AA49" s="62" t="n">
        <v>0.01</v>
      </c>
      <c r="AB49" s="56" t="n">
        <f aca="false">X49*AA49*roy_rate*B49*(1-IF(union_resp=2,lic_cut*Labour!S49,0))</f>
        <v>0.278302498906899</v>
      </c>
      <c r="AC49" s="48" t="n">
        <v>86</v>
      </c>
      <c r="AD49" s="62" t="n">
        <v>0.19</v>
      </c>
      <c r="AE49" s="62" t="n">
        <v>0.23</v>
      </c>
      <c r="AF49" s="56" t="n">
        <f aca="false">AC49*AD49*elec_va*B49</f>
        <v>7.84045315885988</v>
      </c>
      <c r="AG49" s="56" t="n">
        <f aca="false">MAX(0,AE49-AD49)*AC49*roy_rate*B49*(1-IF(union_resp=2,lic_cut*Labour!S49,0))</f>
        <v>0.110041447843647</v>
      </c>
      <c r="AH49" s="55" t="n">
        <v>14</v>
      </c>
      <c r="AI49" s="56" t="n">
        <f aca="false">AH49*B49</f>
        <v>14.9281033896421</v>
      </c>
      <c r="AJ49" s="55" t="n">
        <v>14</v>
      </c>
      <c r="AK49" s="56" t="n">
        <f aca="false">AJ49*B49</f>
        <v>14.9281033896421</v>
      </c>
      <c r="AL49" s="48" t="n">
        <v>28</v>
      </c>
      <c r="AM49" s="56" t="n">
        <f aca="false">AL49*uw_fee*B49</f>
        <v>0.746405169482104</v>
      </c>
      <c r="AN49" s="55" t="n">
        <v>0</v>
      </c>
      <c r="AO49" s="55" t="n">
        <v>0</v>
      </c>
      <c r="AP49" s="56" t="n">
        <f aca="false">K49+T49+W49+Z49+AF49+AI49+AK49+AM49+AN49+AO49</f>
        <v>56.9101952937127</v>
      </c>
      <c r="AQ49" s="56" t="n">
        <f aca="false">AP49*(1-1/champ_prem+champ_spill)</f>
        <v>39.5209689539671</v>
      </c>
      <c r="AR49" s="66" t="n">
        <f aca="false">AP49/Economy!O49</f>
        <v>0.0333373058328892</v>
      </c>
      <c r="AS49" s="55" t="n">
        <v>75</v>
      </c>
      <c r="AT49" s="55" t="n">
        <v>24</v>
      </c>
      <c r="AU49" s="55" t="n">
        <v>0</v>
      </c>
      <c r="AV49" s="55" t="n">
        <v>0</v>
      </c>
      <c r="AW49" s="55" t="n">
        <v>3</v>
      </c>
      <c r="AX49" s="55" t="n">
        <v>0</v>
      </c>
      <c r="AY49" s="56" t="n">
        <f aca="false">Q49+(AS49+AT49+AU49+AV49+AW49+AX49)*B49</f>
        <v>130.333005522568</v>
      </c>
      <c r="AZ49" s="56" t="n">
        <f aca="false">P49+(AS49*ret_rail+AT49*ret_tel+AU49*ret_elec+AV49*ret_auto+AW49*ret_chem+AX49*ret_steel)*B49*IF(OR($A49=1931,$A49=1932),abroad_slump,1)+AB49+AG49</f>
        <v>10.4114990797959</v>
      </c>
      <c r="BA49" s="56" t="n">
        <f aca="false">AP49*champ_profit+AZ49</f>
        <v>21.7935381385385</v>
      </c>
      <c r="BB49" s="56" t="n">
        <f aca="false">(K49+AI49+AK49)*champ_profit+P49+(AS49*ret_rail+AT49*ret_tel+AU49*ret_elec)*B49*IF(OR($A49=1931,$A49=1932),abroad_slump,1)</f>
        <v>15.6105309731686</v>
      </c>
      <c r="BC49" s="56" t="n">
        <f aca="false">(T49+W49+Z49+AF49+AN49+AO49)*champ_profit+(AV49*ret_auto+AW49*ret_chem+AX49*ret_steel)*B49*IF(OR($A49=1931,$A49=1932),abroad_slump,1)+AB49+AG49</f>
        <v>6.03372613147348</v>
      </c>
      <c r="BD49" s="56" t="n">
        <f aca="false">IF($A49&gt;=crown_start,(BB49*crown_charter+BC49*crown_comp)*crown_payout,0)</f>
        <v>2.19266541690501</v>
      </c>
      <c r="BE49" s="66" t="n">
        <f aca="false">IF(BB49+BC49&gt;0,(BB49*crown_charter+BC49*crown_comp)/(BA49),0)</f>
        <v>0.201221610090711</v>
      </c>
    </row>
    <row r="50" customFormat="false" ht="14.25" hidden="false" customHeight="false" outlineLevel="0" collapsed="false">
      <c r="A50" s="61" t="n">
        <v>1890</v>
      </c>
      <c r="B50" s="68" t="n">
        <f aca="false">champ_scale*(1+Labour!AP50)*(1+Partners!BX50)*(1-IF(union_resp=2,tariff_cut*Labour!S50,0))</f>
        <v>1.07685430472023</v>
      </c>
      <c r="C50" s="48" t="n">
        <v>900</v>
      </c>
      <c r="D50" s="48" t="n">
        <v>300</v>
      </c>
      <c r="E50" s="48" t="n">
        <v>2500</v>
      </c>
      <c r="F50" s="50" t="n">
        <f aca="false">E50*B50</f>
        <v>2692.13576180057</v>
      </c>
      <c r="G50" s="50" t="n">
        <f aca="false">F50/Economy!B50*1000000</f>
        <v>530.071813141362</v>
      </c>
      <c r="H50" s="48" t="n">
        <v>402</v>
      </c>
      <c r="I50" s="70" t="n">
        <f aca="false">IF(H50&gt;0,G50/H50,0)</f>
        <v>1.31858659985414</v>
      </c>
      <c r="J50" s="71" t="n">
        <v>0.3</v>
      </c>
      <c r="K50" s="56" t="n">
        <f aca="false">Resources!K50*J50*B50</f>
        <v>1.29222516566427</v>
      </c>
      <c r="L50" s="48" t="n">
        <v>0</v>
      </c>
      <c r="M50" s="62" t="n">
        <v>0</v>
      </c>
      <c r="N50" s="48" t="n">
        <v>6</v>
      </c>
      <c r="O50" s="71" t="n">
        <v>0.575</v>
      </c>
      <c r="P50" s="56" t="n">
        <f aca="false">(IF(Gulf!E50=1,0,L50*M50)+N50)*O50*B50</f>
        <v>3.71514735128479</v>
      </c>
      <c r="Q50" s="56" t="n">
        <f aca="false">P50*oil_book</f>
        <v>26.0060314589935</v>
      </c>
      <c r="R50" s="71" t="n">
        <v>0.45</v>
      </c>
      <c r="S50" s="48" t="n">
        <v>18</v>
      </c>
      <c r="T50" s="56" t="n">
        <f aca="false">R50*S50*B50</f>
        <v>8.72251986823385</v>
      </c>
      <c r="U50" s="48" t="n">
        <v>0</v>
      </c>
      <c r="V50" s="48" t="n">
        <v>0</v>
      </c>
      <c r="W50" s="56" t="n">
        <f aca="false">U50/1000*V50*B50</f>
        <v>0</v>
      </c>
      <c r="X50" s="48" t="n">
        <v>900</v>
      </c>
      <c r="Y50" s="62" t="n">
        <v>0.025</v>
      </c>
      <c r="Z50" s="56" t="n">
        <f aca="false">X50*Y50*chem_va*B50</f>
        <v>10.9031498352923</v>
      </c>
      <c r="AA50" s="62" t="n">
        <v>0.01</v>
      </c>
      <c r="AB50" s="56" t="n">
        <f aca="false">X50*AA50*roy_rate*B50*(1-IF(union_resp=2,lic_cut*Labour!S50,0))</f>
        <v>0.290750662274462</v>
      </c>
      <c r="AC50" s="48" t="n">
        <v>100</v>
      </c>
      <c r="AD50" s="62" t="n">
        <v>0.2</v>
      </c>
      <c r="AE50" s="62" t="n">
        <v>0.25</v>
      </c>
      <c r="AF50" s="56" t="n">
        <f aca="false">AC50*AD50*elec_va*B50</f>
        <v>9.69168874248205</v>
      </c>
      <c r="AG50" s="56" t="n">
        <f aca="false">MAX(0,AE50-AD50)*AC50*roy_rate*B50*(1-IF(union_resp=2,lic_cut*Labour!S50,0))</f>
        <v>0.161528145708034</v>
      </c>
      <c r="AH50" s="55" t="n">
        <v>15</v>
      </c>
      <c r="AI50" s="56" t="n">
        <f aca="false">AH50*B50</f>
        <v>16.1528145708034</v>
      </c>
      <c r="AJ50" s="55" t="n">
        <v>15</v>
      </c>
      <c r="AK50" s="56" t="n">
        <f aca="false">AJ50*B50</f>
        <v>16.1528145708034</v>
      </c>
      <c r="AL50" s="48" t="n">
        <v>30</v>
      </c>
      <c r="AM50" s="56" t="n">
        <f aca="false">AL50*uw_fee*B50</f>
        <v>0.807640728540171</v>
      </c>
      <c r="AN50" s="55" t="n">
        <v>0</v>
      </c>
      <c r="AO50" s="55" t="n">
        <v>0</v>
      </c>
      <c r="AP50" s="56" t="n">
        <f aca="false">K50+T50+W50+Z50+AF50+AI50+AK50+AM50+AN50+AO50</f>
        <v>63.7228534818195</v>
      </c>
      <c r="AQ50" s="56" t="n">
        <f aca="false">AP50*(1-1/champ_prem+champ_spill)</f>
        <v>44.2519815845969</v>
      </c>
      <c r="AR50" s="66" t="n">
        <f aca="false">AP50/Economy!O50</f>
        <v>0.0342932650934518</v>
      </c>
      <c r="AS50" s="55" t="n">
        <v>80</v>
      </c>
      <c r="AT50" s="55" t="n">
        <v>25</v>
      </c>
      <c r="AU50" s="55" t="n">
        <v>5</v>
      </c>
      <c r="AV50" s="55" t="n">
        <v>0</v>
      </c>
      <c r="AW50" s="55" t="n">
        <v>3</v>
      </c>
      <c r="AX50" s="55" t="n">
        <v>0</v>
      </c>
      <c r="AY50" s="56" t="n">
        <f aca="false">Q50+(AS50+AT50+AU50+AV50+AW50+AX50)*B50</f>
        <v>147.690567892379</v>
      </c>
      <c r="AZ50" s="56" t="n">
        <f aca="false">P50+(AS50*ret_rail+AT50*ret_tel+AU50*ret_elec+AV50*ret_auto+AW50*ret_chem+AX50*ret_steel)*B50*IF(OR($A50=1931,$A50=1932),abroad_slump,1)+AB50+AG50</f>
        <v>11.9315456963001</v>
      </c>
      <c r="BA50" s="56" t="n">
        <f aca="false">AP50*champ_profit+AZ50</f>
        <v>24.676116392664</v>
      </c>
      <c r="BB50" s="56" t="n">
        <f aca="false">(K50+AI50+AK50)*champ_profit+P50+(AS50*ret_rail+AT50*ret_tel+AU50*ret_elec)*B50*IF(OR($A50=1931,$A50=1932),abroad_slump,1)</f>
        <v>17.8111702000726</v>
      </c>
      <c r="BC50" s="56" t="n">
        <f aca="false">(T50+W50+Z50+AF50+AN50+AO50)*champ_profit+(AV50*ret_auto+AW50*ret_chem+AX50*ret_steel)*B50*IF(OR($A50=1931,$A50=1932),abroad_slump,1)+AB50+AG50</f>
        <v>6.70341804688342</v>
      </c>
      <c r="BD50" s="56" t="n">
        <f aca="false">IF($A50&gt;=crown_start,(BB50*crown_charter+BC50*crown_comp)*crown_payout,0)</f>
        <v>2.49453299688441</v>
      </c>
      <c r="BE50" s="66" t="n">
        <f aca="false">IF(BB50+BC50&gt;0,(BB50*crown_charter+BC50*crown_comp)/(BA50),0)</f>
        <v>0.202181976871045</v>
      </c>
    </row>
    <row r="51" customFormat="false" ht="14.25" hidden="false" customHeight="false" outlineLevel="0" collapsed="false">
      <c r="A51" s="61" t="n">
        <v>1891</v>
      </c>
      <c r="B51" s="68" t="n">
        <f aca="false">champ_scale*(1+Labour!AP51)*(1+Partners!BX51)*(1-IF(union_resp=2,tariff_cut*Labour!S51,0))</f>
        <v>1.08897323161932</v>
      </c>
      <c r="C51" s="48" t="n">
        <v>1010</v>
      </c>
      <c r="D51" s="48" t="n">
        <v>320</v>
      </c>
      <c r="E51" s="48" t="n">
        <v>2700</v>
      </c>
      <c r="F51" s="50" t="n">
        <f aca="false">E51*B51</f>
        <v>2940.22772537217</v>
      </c>
      <c r="G51" s="50" t="n">
        <f aca="false">F51/Economy!B51*1000000</f>
        <v>553.849358343802</v>
      </c>
      <c r="H51" s="48" t="n">
        <v>394</v>
      </c>
      <c r="I51" s="70" t="n">
        <f aca="false">IF(H51&gt;0,G51/H51,0)</f>
        <v>1.40570903132945</v>
      </c>
      <c r="J51" s="71" t="n">
        <v>0.307</v>
      </c>
      <c r="K51" s="56" t="n">
        <f aca="false">Resources!K51*J51*B51</f>
        <v>1.67157391053566</v>
      </c>
      <c r="L51" s="48" t="n">
        <v>0</v>
      </c>
      <c r="M51" s="62" t="n">
        <v>0</v>
      </c>
      <c r="N51" s="48" t="n">
        <v>7</v>
      </c>
      <c r="O51" s="71" t="n">
        <v>0.573</v>
      </c>
      <c r="P51" s="56" t="n">
        <f aca="false">(IF(Gulf!E51=1,0,L51*M51)+N51)*O51*B51</f>
        <v>4.36787163202511</v>
      </c>
      <c r="Q51" s="56" t="n">
        <f aca="false">P51*oil_book</f>
        <v>30.5751014241758</v>
      </c>
      <c r="R51" s="71" t="n">
        <v>0.545</v>
      </c>
      <c r="S51" s="48" t="n">
        <v>18</v>
      </c>
      <c r="T51" s="56" t="n">
        <f aca="false">R51*S51*B51</f>
        <v>10.6828274021856</v>
      </c>
      <c r="U51" s="48" t="n">
        <v>0</v>
      </c>
      <c r="V51" s="48" t="n">
        <v>0</v>
      </c>
      <c r="W51" s="56" t="n">
        <f aca="false">U51/1000*V51*B51</f>
        <v>0</v>
      </c>
      <c r="X51" s="48" t="n">
        <v>960</v>
      </c>
      <c r="Y51" s="62" t="n">
        <v>0.027</v>
      </c>
      <c r="Z51" s="56" t="n">
        <f aca="false">X51*Y51*chem_va*B51</f>
        <v>12.7017837736078</v>
      </c>
      <c r="AA51" s="62" t="n">
        <v>0.011</v>
      </c>
      <c r="AB51" s="56" t="n">
        <f aca="false">X51*AA51*roy_rate*B51*(1-IF(union_resp=2,lic_cut*Labour!S51,0))</f>
        <v>0.344986719777002</v>
      </c>
      <c r="AC51" s="48" t="n">
        <v>130</v>
      </c>
      <c r="AD51" s="62" t="n">
        <v>0.202</v>
      </c>
      <c r="AE51" s="62" t="n">
        <v>0.257</v>
      </c>
      <c r="AF51" s="56" t="n">
        <f aca="false">AC51*AD51*elec_va*B51</f>
        <v>12.8683966780456</v>
      </c>
      <c r="AG51" s="56" t="n">
        <f aca="false">MAX(0,AE51-AD51)*AC51*roy_rate*B51*(1-IF(union_resp=2,lic_cut*Labour!S51,0))</f>
        <v>0.233584758182345</v>
      </c>
      <c r="AH51" s="55" t="n">
        <v>17</v>
      </c>
      <c r="AI51" s="56" t="n">
        <f aca="false">AH51*B51</f>
        <v>18.5125449375285</v>
      </c>
      <c r="AJ51" s="55" t="n">
        <v>16</v>
      </c>
      <c r="AK51" s="56" t="n">
        <f aca="false">AJ51*B51</f>
        <v>17.4235717059092</v>
      </c>
      <c r="AL51" s="48" t="n">
        <v>36</v>
      </c>
      <c r="AM51" s="56" t="n">
        <f aca="false">AL51*uw_fee*B51</f>
        <v>0.980075908457392</v>
      </c>
      <c r="AN51" s="55" t="n">
        <v>0</v>
      </c>
      <c r="AO51" s="55" t="n">
        <v>0</v>
      </c>
      <c r="AP51" s="56" t="n">
        <f aca="false">K51+T51+W51+Z51+AF51+AI51+AK51+AM51+AN51+AO51</f>
        <v>74.8407743162697</v>
      </c>
      <c r="AQ51" s="56" t="n">
        <f aca="false">AP51*(1-1/champ_prem+champ_spill)</f>
        <v>51.9727599418539</v>
      </c>
      <c r="AR51" s="66" t="n">
        <f aca="false">AP51/Economy!O51</f>
        <v>0.0374668556888844</v>
      </c>
      <c r="AS51" s="55" t="n">
        <v>97</v>
      </c>
      <c r="AT51" s="55" t="n">
        <v>30</v>
      </c>
      <c r="AU51" s="55" t="n">
        <v>8</v>
      </c>
      <c r="AV51" s="55" t="n">
        <v>0</v>
      </c>
      <c r="AW51" s="55" t="n">
        <v>3</v>
      </c>
      <c r="AX51" s="55" t="n">
        <v>0</v>
      </c>
      <c r="AY51" s="56" t="n">
        <f aca="false">Q51+(AS51+AT51+AU51+AV51+AW51+AX51)*B51</f>
        <v>180.853407387642</v>
      </c>
      <c r="AZ51" s="56" t="n">
        <f aca="false">P51+(AS51*ret_rail+AT51*ret_tel+AU51*ret_elec+AV51*ret_auto+AW51*ret_chem+AX51*ret_steel)*B51*IF(OR($A51=1931,$A51=1932),abroad_slump,1)+AB51+AG51</f>
        <v>14.4967383512859</v>
      </c>
      <c r="BA51" s="56" t="n">
        <f aca="false">AP51*champ_profit+AZ51</f>
        <v>29.4648932145399</v>
      </c>
      <c r="BB51" s="56" t="n">
        <f aca="false">(K51+AI51+AK51)*champ_profit+P51+(AS51*ret_rail+AT51*ret_tel+AU51*ret_elec)*B51*IF(OR($A51=1931,$A51=1932),abroad_slump,1)</f>
        <v>21.0476746207383</v>
      </c>
      <c r="BC51" s="56" t="n">
        <f aca="false">(T51+W51+Z51+AF51+AN51+AO51)*champ_profit+(AV51*ret_auto+AW51*ret_chem+AX51*ret_steel)*B51*IF(OR($A51=1931,$A51=1932),abroad_slump,1)+AB51+AG51</f>
        <v>8.22120341211009</v>
      </c>
      <c r="BD51" s="56" t="n">
        <f aca="false">IF($A51&gt;=crown_start,(BB51*crown_charter+BC51*crown_comp)*crown_payout,0)</f>
        <v>2.95980746407669</v>
      </c>
      <c r="BE51" s="66" t="n">
        <f aca="false">IF(BB51+BC51&gt;0,(BB51*crown_charter+BC51*crown_comp)/(BA51),0)</f>
        <v>0.200904000739167</v>
      </c>
    </row>
    <row r="52" customFormat="false" ht="14.25" hidden="false" customHeight="false" outlineLevel="0" collapsed="false">
      <c r="A52" s="61" t="n">
        <v>1892</v>
      </c>
      <c r="B52" s="68" t="n">
        <f aca="false">champ_scale*(1+Labour!AP52)*(1+Partners!BX52)*(1-IF(union_resp=2,tariff_cut*Labour!S52,0))</f>
        <v>1.10226373112673</v>
      </c>
      <c r="C52" s="48" t="n">
        <v>1120</v>
      </c>
      <c r="D52" s="48" t="n">
        <v>340</v>
      </c>
      <c r="E52" s="48" t="n">
        <v>2900</v>
      </c>
      <c r="F52" s="50" t="n">
        <f aca="false">E52*B52</f>
        <v>3196.56482026751</v>
      </c>
      <c r="G52" s="50" t="n">
        <f aca="false">F52/Economy!B52*1000000</f>
        <v>575.035141073832</v>
      </c>
      <c r="H52" s="48" t="n">
        <v>386</v>
      </c>
      <c r="I52" s="70" t="n">
        <f aca="false">IF(H52&gt;0,G52/H52,0)</f>
        <v>1.48972834475086</v>
      </c>
      <c r="J52" s="71" t="n">
        <v>0.313</v>
      </c>
      <c r="K52" s="56" t="n">
        <f aca="false">Resources!K52*J52*B52</f>
        <v>2.07005128705599</v>
      </c>
      <c r="L52" s="48" t="n">
        <v>0</v>
      </c>
      <c r="M52" s="62" t="n">
        <v>0</v>
      </c>
      <c r="N52" s="48" t="n">
        <v>8</v>
      </c>
      <c r="O52" s="71" t="n">
        <v>0.57</v>
      </c>
      <c r="P52" s="56" t="n">
        <f aca="false">(IF(Gulf!E52=1,0,L52*M52)+N52)*O52*B52</f>
        <v>5.02632261393788</v>
      </c>
      <c r="Q52" s="56" t="n">
        <f aca="false">P52*oil_book</f>
        <v>35.1842582975651</v>
      </c>
      <c r="R52" s="71" t="n">
        <v>0.64</v>
      </c>
      <c r="S52" s="48" t="n">
        <v>18</v>
      </c>
      <c r="T52" s="56" t="n">
        <f aca="false">R52*S52*B52</f>
        <v>12.6980781825799</v>
      </c>
      <c r="U52" s="48" t="n">
        <v>0</v>
      </c>
      <c r="V52" s="48" t="n">
        <v>0</v>
      </c>
      <c r="W52" s="56" t="n">
        <f aca="false">U52/1000*V52*B52</f>
        <v>0</v>
      </c>
      <c r="X52" s="48" t="n">
        <v>1020</v>
      </c>
      <c r="Y52" s="62" t="n">
        <v>0.029</v>
      </c>
      <c r="Z52" s="56" t="n">
        <f aca="false">X52*Y52*chem_va*B52</f>
        <v>14.6722325250279</v>
      </c>
      <c r="AA52" s="62" t="n">
        <v>0.012</v>
      </c>
      <c r="AB52" s="56" t="n">
        <f aca="false">X52*AA52*roy_rate*B52*(1-IF(union_resp=2,lic_cut*Labour!S52,0))</f>
        <v>0.404751242069734</v>
      </c>
      <c r="AC52" s="48" t="n">
        <v>160</v>
      </c>
      <c r="AD52" s="62" t="n">
        <v>0.204</v>
      </c>
      <c r="AE52" s="62" t="n">
        <v>0.264</v>
      </c>
      <c r="AF52" s="56" t="n">
        <f aca="false">AC52*AD52*elec_va*B52</f>
        <v>16.1900496827894</v>
      </c>
      <c r="AG52" s="56" t="n">
        <f aca="false">MAX(0,AE52-AD52)*AC52*roy_rate*B52*(1-IF(union_resp=2,lic_cut*Labour!S52,0))</f>
        <v>0.317451954564498</v>
      </c>
      <c r="AH52" s="55" t="n">
        <v>18</v>
      </c>
      <c r="AI52" s="56" t="n">
        <f aca="false">AH52*B52</f>
        <v>19.8407471602811</v>
      </c>
      <c r="AJ52" s="55" t="n">
        <v>18</v>
      </c>
      <c r="AK52" s="56" t="n">
        <f aca="false">AJ52*B52</f>
        <v>19.8407471602811</v>
      </c>
      <c r="AL52" s="48" t="n">
        <v>42</v>
      </c>
      <c r="AM52" s="56" t="n">
        <f aca="false">AL52*uw_fee*B52</f>
        <v>1.15737691768306</v>
      </c>
      <c r="AN52" s="55" t="n">
        <v>0</v>
      </c>
      <c r="AO52" s="55" t="n">
        <v>0</v>
      </c>
      <c r="AP52" s="56" t="n">
        <f aca="false">K52+T52+W52+Z52+AF52+AI52+AK52+AM52+AN52+AO52</f>
        <v>86.4692829156984</v>
      </c>
      <c r="AQ52" s="56" t="n">
        <f aca="false">AP52*(1-1/champ_prem+champ_spill)</f>
        <v>60.0481131359017</v>
      </c>
      <c r="AR52" s="66" t="n">
        <f aca="false">AP52/Economy!O52</f>
        <v>0.0403711125609178</v>
      </c>
      <c r="AS52" s="55" t="n">
        <v>114</v>
      </c>
      <c r="AT52" s="55" t="n">
        <v>34</v>
      </c>
      <c r="AU52" s="55" t="n">
        <v>12</v>
      </c>
      <c r="AV52" s="55" t="n">
        <v>0</v>
      </c>
      <c r="AW52" s="55" t="n">
        <v>3</v>
      </c>
      <c r="AX52" s="55" t="n">
        <v>0</v>
      </c>
      <c r="AY52" s="56" t="n">
        <f aca="false">Q52+(AS52+AT52+AU52+AV52+AW52+AX52)*B52</f>
        <v>214.853246471222</v>
      </c>
      <c r="AZ52" s="56" t="n">
        <f aca="false">P52+(AS52*ret_rail+AT52*ret_tel+AU52*ret_elec+AV52*ret_auto+AW52*ret_chem+AX52*ret_steel)*B52*IF(OR($A52=1931,$A52=1932),abroad_slump,1)+AB52+AG52</f>
        <v>17.1018422411774</v>
      </c>
      <c r="BA52" s="56" t="n">
        <f aca="false">AP52*champ_profit+AZ52</f>
        <v>34.3956988243171</v>
      </c>
      <c r="BB52" s="56" t="n">
        <f aca="false">(K52+AI52+AK52)*champ_profit+P52+(AS52*ret_rail+AT52*ret_tel+AU52*ret_elec)*B52*IF(OR($A52=1931,$A52=1932),abroad_slump,1)</f>
        <v>24.3331332228612</v>
      </c>
      <c r="BC52" s="56" t="n">
        <f aca="false">(T52+W52+Z52+AF52+AN52+AO52)*champ_profit+(AV52*ret_auto+AW52*ret_chem+AX52*ret_steel)*B52*IF(OR($A52=1931,$A52=1932),abroad_slump,1)+AB52+AG52</f>
        <v>9.83109021791928</v>
      </c>
      <c r="BD52" s="56" t="n">
        <f aca="false">IF($A52&gt;=crown_start,(BB52*crown_charter+BC52*crown_comp)*crown_payout,0)</f>
        <v>3.43488526157442</v>
      </c>
      <c r="BE52" s="66" t="n">
        <f aca="false">IF(BB52+BC52&gt;0,(BB52*crown_charter+BC52*crown_comp)/(BA52),0)</f>
        <v>0.199727604263474</v>
      </c>
    </row>
    <row r="53" customFormat="false" ht="14.25" hidden="false" customHeight="false" outlineLevel="0" collapsed="false">
      <c r="A53" s="61" t="n">
        <v>1893</v>
      </c>
      <c r="B53" s="68" t="n">
        <f aca="false">champ_scale*(1+Labour!AP53)*(1+Partners!BX53)*(1-IF(union_resp=2,tariff_cut*Labour!S53,0))</f>
        <v>1.11725145202526</v>
      </c>
      <c r="C53" s="48" t="n">
        <v>1230</v>
      </c>
      <c r="D53" s="48" t="n">
        <v>360</v>
      </c>
      <c r="E53" s="48" t="n">
        <v>3100</v>
      </c>
      <c r="F53" s="50" t="n">
        <f aca="false">E53*B53</f>
        <v>3463.47950127829</v>
      </c>
      <c r="G53" s="50" t="n">
        <f aca="false">F53/Economy!B53*1000000</f>
        <v>594.295032960314</v>
      </c>
      <c r="H53" s="48" t="n">
        <v>379</v>
      </c>
      <c r="I53" s="70" t="n">
        <f aca="false">IF(H53&gt;0,G53/H53,0)</f>
        <v>1.56806077298236</v>
      </c>
      <c r="J53" s="71" t="n">
        <v>0.32</v>
      </c>
      <c r="K53" s="56" t="n">
        <f aca="false">Resources!K53*J53*B53</f>
        <v>2.62062500587044</v>
      </c>
      <c r="L53" s="48" t="n">
        <v>0</v>
      </c>
      <c r="M53" s="62" t="n">
        <v>0</v>
      </c>
      <c r="N53" s="48" t="n">
        <v>9</v>
      </c>
      <c r="O53" s="71" t="n">
        <v>0.568</v>
      </c>
      <c r="P53" s="56" t="n">
        <f aca="false">(IF(Gulf!E53=1,0,L53*M53)+N53)*O53*B53</f>
        <v>5.71138942275311</v>
      </c>
      <c r="Q53" s="56" t="n">
        <f aca="false">P53*oil_book</f>
        <v>39.9797259592718</v>
      </c>
      <c r="R53" s="71" t="n">
        <v>0.735</v>
      </c>
      <c r="S53" s="48" t="n">
        <v>17</v>
      </c>
      <c r="T53" s="56" t="n">
        <f aca="false">R53*S53*B53</f>
        <v>13.9600568930556</v>
      </c>
      <c r="U53" s="48" t="n">
        <v>0</v>
      </c>
      <c r="V53" s="48" t="n">
        <v>0</v>
      </c>
      <c r="W53" s="56" t="n">
        <f aca="false">U53/1000*V53*B53</f>
        <v>0</v>
      </c>
      <c r="X53" s="48" t="n">
        <v>1080</v>
      </c>
      <c r="Y53" s="62" t="n">
        <v>0.031</v>
      </c>
      <c r="Z53" s="56" t="n">
        <f aca="false">X53*Y53*chem_va*B53</f>
        <v>16.8325103762125</v>
      </c>
      <c r="AA53" s="62" t="n">
        <v>0.013</v>
      </c>
      <c r="AB53" s="56" t="n">
        <f aca="false">X53*AA53*roy_rate*B53*(1-IF(union_resp=2,lic_cut*Labour!S53,0))</f>
        <v>0.470586311593038</v>
      </c>
      <c r="AC53" s="48" t="n">
        <v>190</v>
      </c>
      <c r="AD53" s="62" t="n">
        <v>0.206</v>
      </c>
      <c r="AE53" s="62" t="n">
        <v>0.271</v>
      </c>
      <c r="AF53" s="56" t="n">
        <f aca="false">AC53*AD53*elec_va*B53</f>
        <v>19.6781498245208</v>
      </c>
      <c r="AG53" s="56" t="n">
        <f aca="false">MAX(0,AE53-AD53)*AC53*roy_rate*B53*(1-IF(union_resp=2,lic_cut*Labour!S53,0))</f>
        <v>0.413941662975358</v>
      </c>
      <c r="AH53" s="55" t="n">
        <v>20</v>
      </c>
      <c r="AI53" s="56" t="n">
        <f aca="false">AH53*B53</f>
        <v>22.3450290405051</v>
      </c>
      <c r="AJ53" s="55" t="n">
        <v>20</v>
      </c>
      <c r="AK53" s="56" t="n">
        <f aca="false">AJ53*B53</f>
        <v>22.3450290405051</v>
      </c>
      <c r="AL53" s="48" t="n">
        <v>48</v>
      </c>
      <c r="AM53" s="56" t="n">
        <f aca="false">AL53*uw_fee*B53</f>
        <v>1.34070174243031</v>
      </c>
      <c r="AN53" s="55" t="n">
        <v>0</v>
      </c>
      <c r="AO53" s="55" t="n">
        <v>0</v>
      </c>
      <c r="AP53" s="56" t="n">
        <f aca="false">K53+T53+W53+Z53+AF53+AI53+AK53+AM53+AN53+AO53</f>
        <v>99.1221019230999</v>
      </c>
      <c r="AQ53" s="56" t="n">
        <f aca="false">AP53*(1-1/champ_prem+champ_spill)</f>
        <v>68.8347930021527</v>
      </c>
      <c r="AR53" s="66" t="n">
        <f aca="false">AP53/Economy!O53</f>
        <v>0.0454684269469227</v>
      </c>
      <c r="AS53" s="55" t="n">
        <v>131</v>
      </c>
      <c r="AT53" s="55" t="n">
        <v>38</v>
      </c>
      <c r="AU53" s="55" t="n">
        <v>16</v>
      </c>
      <c r="AV53" s="55" t="n">
        <v>0</v>
      </c>
      <c r="AW53" s="55" t="n">
        <v>4</v>
      </c>
      <c r="AX53" s="55" t="n">
        <v>0</v>
      </c>
      <c r="AY53" s="56" t="n">
        <f aca="false">Q53+(AS53+AT53+AU53+AV53+AW53+AX53)*B53</f>
        <v>251.140250392045</v>
      </c>
      <c r="AZ53" s="56" t="n">
        <f aca="false">P53+(AS53*ret_rail+AT53*ret_tel+AU53*ret_elec+AV53*ret_auto+AW53*ret_chem+AX53*ret_steel)*B53*IF(OR($A53=1931,$A53=1932),abroad_slump,1)+AB53+AG53</f>
        <v>19.9470722490233</v>
      </c>
      <c r="BA53" s="56" t="n">
        <f aca="false">AP53*champ_profit+AZ53</f>
        <v>39.7714926336433</v>
      </c>
      <c r="BB53" s="56" t="n">
        <f aca="false">(K53+AI53+AK53)*champ_profit+P53+(AS53*ret_rail+AT53*ret_tel+AU53*ret_elec)*B53*IF(OR($A53=1931,$A53=1932),abroad_slump,1)</f>
        <v>27.9884001948589</v>
      </c>
      <c r="BC53" s="56" t="n">
        <f aca="false">(T53+W53+Z53+AF53+AN53+AO53)*champ_profit+(AV53*ret_auto+AW53*ret_chem+AX53*ret_steel)*B53*IF(OR($A53=1931,$A53=1932),abroad_slump,1)+AB53+AG53</f>
        <v>11.5149520902983</v>
      </c>
      <c r="BD53" s="56" t="n">
        <f aca="false">IF($A53&gt;=crown_start,(BB53*crown_charter+BC53*crown_comp)*crown_payout,0)</f>
        <v>3.9591481079693</v>
      </c>
      <c r="BE53" s="66" t="n">
        <f aca="false">IF(BB53+BC53&gt;0,(BB53*crown_charter+BC53*crown_comp)/(BA53),0)</f>
        <v>0.199094770942552</v>
      </c>
    </row>
    <row r="54" customFormat="false" ht="14.25" hidden="false" customHeight="false" outlineLevel="0" collapsed="false">
      <c r="A54" s="61" t="n">
        <v>1894</v>
      </c>
      <c r="B54" s="68" t="n">
        <f aca="false">champ_scale*(1+Labour!AP54)*(1+Partners!BX54)*(1-IF(union_resp=2,tariff_cut*Labour!S54,0))</f>
        <v>1.13322535147384</v>
      </c>
      <c r="C54" s="48" t="n">
        <v>1340</v>
      </c>
      <c r="D54" s="48" t="n">
        <v>380</v>
      </c>
      <c r="E54" s="48" t="n">
        <v>3300</v>
      </c>
      <c r="F54" s="50" t="n">
        <f aca="false">E54*B54</f>
        <v>3739.64365986369</v>
      </c>
      <c r="G54" s="50" t="n">
        <f aca="false">F54/Economy!B54*1000000</f>
        <v>612.565487036803</v>
      </c>
      <c r="H54" s="48" t="n">
        <v>371</v>
      </c>
      <c r="I54" s="70" t="n">
        <f aca="false">IF(H54&gt;0,G54/H54,0)</f>
        <v>1.65111991115041</v>
      </c>
      <c r="J54" s="71" t="n">
        <v>0.326</v>
      </c>
      <c r="K54" s="56" t="n">
        <f aca="false">Resources!K54*J54*B54</f>
        <v>3.2029707979127</v>
      </c>
      <c r="L54" s="48" t="n">
        <v>0</v>
      </c>
      <c r="M54" s="62" t="n">
        <v>0</v>
      </c>
      <c r="N54" s="48" t="n">
        <v>10</v>
      </c>
      <c r="O54" s="71" t="n">
        <v>0.565</v>
      </c>
      <c r="P54" s="56" t="n">
        <f aca="false">(IF(Gulf!E54=1,0,L54*M54)+N54)*O54*B54</f>
        <v>6.40272323582722</v>
      </c>
      <c r="Q54" s="56" t="n">
        <f aca="false">P54*oil_book</f>
        <v>44.8190626507905</v>
      </c>
      <c r="R54" s="71" t="n">
        <v>0.83</v>
      </c>
      <c r="S54" s="48" t="n">
        <v>17</v>
      </c>
      <c r="T54" s="56" t="n">
        <f aca="false">R54*S54*B54</f>
        <v>15.9898097092959</v>
      </c>
      <c r="U54" s="48" t="n">
        <v>0</v>
      </c>
      <c r="V54" s="48" t="n">
        <v>0</v>
      </c>
      <c r="W54" s="56" t="n">
        <f aca="false">U54/1000*V54*B54</f>
        <v>0</v>
      </c>
      <c r="X54" s="48" t="n">
        <v>1140</v>
      </c>
      <c r="Y54" s="62" t="n">
        <v>0.033</v>
      </c>
      <c r="Z54" s="56" t="n">
        <f aca="false">X54*Y54*chem_va*B54</f>
        <v>19.1843719751007</v>
      </c>
      <c r="AA54" s="62" t="n">
        <v>0.014</v>
      </c>
      <c r="AB54" s="56" t="n">
        <f aca="false">X54*AA54*roy_rate*B54*(1-IF(union_resp=2,lic_cut*Labour!S54,0))</f>
        <v>0.542588298285677</v>
      </c>
      <c r="AC54" s="48" t="n">
        <v>220</v>
      </c>
      <c r="AD54" s="62" t="n">
        <v>0.208</v>
      </c>
      <c r="AE54" s="62" t="n">
        <v>0.278</v>
      </c>
      <c r="AF54" s="56" t="n">
        <f aca="false">AC54*AD54*elec_va*B54</f>
        <v>23.3353764375494</v>
      </c>
      <c r="AG54" s="56" t="n">
        <f aca="false">MAX(0,AE54-AD54)*AC54*roy_rate*B54*(1-IF(union_resp=2,lic_cut*Labour!S54,0))</f>
        <v>0.523550112380916</v>
      </c>
      <c r="AH54" s="55" t="n">
        <v>22</v>
      </c>
      <c r="AI54" s="56" t="n">
        <f aca="false">AH54*B54</f>
        <v>24.9309577324246</v>
      </c>
      <c r="AJ54" s="55" t="n">
        <v>21</v>
      </c>
      <c r="AK54" s="56" t="n">
        <f aca="false">AJ54*B54</f>
        <v>23.7977323809507</v>
      </c>
      <c r="AL54" s="48" t="n">
        <v>54</v>
      </c>
      <c r="AM54" s="56" t="n">
        <f aca="false">AL54*uw_fee*B54</f>
        <v>1.52985422448969</v>
      </c>
      <c r="AN54" s="55" t="n">
        <v>0</v>
      </c>
      <c r="AO54" s="55" t="n">
        <v>0</v>
      </c>
      <c r="AP54" s="56" t="n">
        <f aca="false">K54+T54+W54+Z54+AF54+AI54+AK54+AM54+AN54+AO54</f>
        <v>111.971073257724</v>
      </c>
      <c r="AQ54" s="56" t="n">
        <f aca="false">AP54*(1-1/champ_prem+champ_spill)</f>
        <v>77.7576897623082</v>
      </c>
      <c r="AR54" s="66" t="n">
        <f aca="false">AP54/Economy!O54</f>
        <v>0.0486376447056996</v>
      </c>
      <c r="AS54" s="55" t="n">
        <v>148</v>
      </c>
      <c r="AT54" s="55" t="n">
        <v>43</v>
      </c>
      <c r="AU54" s="55" t="n">
        <v>19</v>
      </c>
      <c r="AV54" s="55" t="n">
        <v>0</v>
      </c>
      <c r="AW54" s="55" t="n">
        <v>4</v>
      </c>
      <c r="AX54" s="55" t="n">
        <v>0</v>
      </c>
      <c r="AY54" s="56" t="n">
        <f aca="false">Q54+(AS54+AT54+AU54+AV54+AW54+AX54)*B54</f>
        <v>287.329287866193</v>
      </c>
      <c r="AZ54" s="56" t="n">
        <f aca="false">P54+(AS54*ret_rail+AT54*ret_tel+AU54*ret_elec+AV54*ret_auto+AW54*ret_chem+AX54*ret_steel)*B54*IF(OR($A54=1931,$A54=1932),abroad_slump,1)+AB54+AG54</f>
        <v>22.7787361449055</v>
      </c>
      <c r="BA54" s="56" t="n">
        <f aca="false">AP54*champ_profit+AZ54</f>
        <v>45.1729507964502</v>
      </c>
      <c r="BB54" s="56" t="n">
        <f aca="false">(K54+AI54+AK54)*champ_profit+P54+(AS54*ret_rail+AT54*ret_tel+AU54*ret_elec)*B54*IF(OR($A54=1931,$A54=1932),abroad_slump,1)</f>
        <v>31.554981747789</v>
      </c>
      <c r="BC54" s="56" t="n">
        <f aca="false">(T54+W54+Z54+AF54+AN54+AO54)*champ_profit+(AV54*ret_auto+AW54*ret_chem+AX54*ret_steel)*B54*IF(OR($A54=1931,$A54=1932),abroad_slump,1)+AB54+AG54</f>
        <v>13.3119982037632</v>
      </c>
      <c r="BD54" s="56" t="n">
        <f aca="false">IF($A54&gt;=crown_start,(BB54*crown_charter+BC54*crown_comp)*crown_payout,0)</f>
        <v>4.47685264662416</v>
      </c>
      <c r="BE54" s="66" t="n">
        <f aca="false">IF(BB54+BC54&gt;0,(BB54*crown_charter+BC54*crown_comp)/(BA54),0)</f>
        <v>0.198209440281947</v>
      </c>
    </row>
    <row r="55" customFormat="false" ht="14.25" hidden="false" customHeight="false" outlineLevel="0" collapsed="false">
      <c r="A55" s="61" t="n">
        <v>1895</v>
      </c>
      <c r="B55" s="68" t="n">
        <f aca="false">champ_scale*(1+Labour!AP55)*(1+Partners!BX55)*(1-IF(union_resp=2,tariff_cut*Labour!S55,0))</f>
        <v>1.146652392997</v>
      </c>
      <c r="C55" s="48" t="n">
        <v>1450</v>
      </c>
      <c r="D55" s="48" t="n">
        <v>400</v>
      </c>
      <c r="E55" s="48" t="n">
        <v>3500</v>
      </c>
      <c r="F55" s="50" t="n">
        <f aca="false">E55*B55</f>
        <v>4013.2833754895</v>
      </c>
      <c r="G55" s="50" t="n">
        <f aca="false">F55/Economy!B55*1000000</f>
        <v>628.495881835402</v>
      </c>
      <c r="H55" s="48" t="n">
        <v>363</v>
      </c>
      <c r="I55" s="70" t="n">
        <f aca="false">IF(H55&gt;0,G55/H55,0)</f>
        <v>1.73139361387163</v>
      </c>
      <c r="J55" s="71" t="n">
        <v>0.333</v>
      </c>
      <c r="K55" s="56" t="n">
        <f aca="false">Resources!K55*J55*B55</f>
        <v>3.81835246868001</v>
      </c>
      <c r="L55" s="48" t="n">
        <v>0</v>
      </c>
      <c r="M55" s="62" t="n">
        <v>0</v>
      </c>
      <c r="N55" s="48" t="n">
        <v>10</v>
      </c>
      <c r="O55" s="71" t="n">
        <v>0.562</v>
      </c>
      <c r="P55" s="56" t="n">
        <f aca="false">(IF(Gulf!E55=1,0,L55*M55)+N55)*O55*B55</f>
        <v>6.44418644864315</v>
      </c>
      <c r="Q55" s="56" t="n">
        <f aca="false">P55*oil_book</f>
        <v>45.109305140502</v>
      </c>
      <c r="R55" s="71" t="n">
        <v>0.925</v>
      </c>
      <c r="S55" s="48" t="n">
        <v>17</v>
      </c>
      <c r="T55" s="56" t="n">
        <f aca="false">R55*S55*B55</f>
        <v>18.0311088798778</v>
      </c>
      <c r="U55" s="48" t="n">
        <v>0</v>
      </c>
      <c r="V55" s="48" t="n">
        <v>0</v>
      </c>
      <c r="W55" s="56" t="n">
        <f aca="false">U55/1000*V55*B55</f>
        <v>0</v>
      </c>
      <c r="X55" s="48" t="n">
        <v>1200</v>
      </c>
      <c r="Y55" s="62" t="n">
        <v>0.035</v>
      </c>
      <c r="Z55" s="56" t="n">
        <f aca="false">X55*Y55*chem_va*B55</f>
        <v>21.6717302276433</v>
      </c>
      <c r="AA55" s="62" t="n">
        <v>0.015</v>
      </c>
      <c r="AB55" s="56" t="n">
        <f aca="false">X55*AA55*roy_rate*B55*(1-IF(union_resp=2,lic_cut*Labour!S55,0))</f>
        <v>0.619192292218381</v>
      </c>
      <c r="AC55" s="48" t="n">
        <v>250</v>
      </c>
      <c r="AD55" s="62" t="n">
        <v>0.21</v>
      </c>
      <c r="AE55" s="62" t="n">
        <v>0.285</v>
      </c>
      <c r="AF55" s="56" t="n">
        <f aca="false">AC55*AD55*elec_va*B55</f>
        <v>27.0896627845541</v>
      </c>
      <c r="AG55" s="56" t="n">
        <f aca="false">MAX(0,AE55-AD55)*AC55*roy_rate*B55*(1-IF(union_resp=2,lic_cut*Labour!S55,0))</f>
        <v>0.644991971060813</v>
      </c>
      <c r="AH55" s="55" t="n">
        <v>24</v>
      </c>
      <c r="AI55" s="56" t="n">
        <f aca="false">AH55*B55</f>
        <v>27.519657431928</v>
      </c>
      <c r="AJ55" s="55" t="n">
        <v>22</v>
      </c>
      <c r="AK55" s="56" t="n">
        <f aca="false">AJ55*B55</f>
        <v>25.226352645934</v>
      </c>
      <c r="AL55" s="48" t="n">
        <v>60</v>
      </c>
      <c r="AM55" s="56" t="n">
        <f aca="false">AL55*uw_fee*B55</f>
        <v>1.7199785894955</v>
      </c>
      <c r="AN55" s="55" t="n">
        <v>0</v>
      </c>
      <c r="AO55" s="55" t="n">
        <v>0</v>
      </c>
      <c r="AP55" s="56" t="n">
        <f aca="false">K55+T55+W55+Z55+AF55+AI55+AK55+AM55+AN55+AO55</f>
        <v>125.076843028113</v>
      </c>
      <c r="AQ55" s="56" t="n">
        <f aca="false">AP55*(1-1/champ_prem+champ_spill)</f>
        <v>86.8589187695228</v>
      </c>
      <c r="AR55" s="66" t="n">
        <f aca="false">AP55/Economy!O55</f>
        <v>0.0495186810227087</v>
      </c>
      <c r="AS55" s="55" t="n">
        <v>165</v>
      </c>
      <c r="AT55" s="55" t="n">
        <v>48</v>
      </c>
      <c r="AU55" s="55" t="n">
        <v>22</v>
      </c>
      <c r="AV55" s="55" t="n">
        <v>0</v>
      </c>
      <c r="AW55" s="55" t="n">
        <v>4</v>
      </c>
      <c r="AX55" s="55" t="n">
        <v>5</v>
      </c>
      <c r="AY55" s="56" t="n">
        <f aca="false">Q55+(AS55+AT55+AU55+AV55+AW55+AX55)*B55</f>
        <v>324.89248903177</v>
      </c>
      <c r="AZ55" s="56" t="n">
        <f aca="false">P55+(AS55*ret_rail+AT55*ret_tel+AU55*ret_elec+AV55*ret_auto+AW55*ret_chem+AX55*ret_steel)*B55*IF(OR($A55=1931,$A55=1932),abroad_slump,1)+AB55+AG55</f>
        <v>25.3324179922862</v>
      </c>
      <c r="BA55" s="56" t="n">
        <f aca="false">AP55*champ_profit+AZ55</f>
        <v>50.3477865979088</v>
      </c>
      <c r="BB55" s="56" t="n">
        <f aca="false">(K55+AI55+AK55)*champ_profit+P55+(AS55*ret_rail+AT55*ret_tel+AU55*ret_elec)*B55*IF(OR($A55=1931,$A55=1932),abroad_slump,1)</f>
        <v>34.4867173717778</v>
      </c>
      <c r="BC55" s="56" t="n">
        <f aca="false">(T55+W55+Z55+AF55+AN55+AO55)*champ_profit+(AV55*ret_auto+AW55*ret_chem+AX55*ret_steel)*B55*IF(OR($A55=1931,$A55=1932),abroad_slump,1)+AB55+AG55</f>
        <v>15.5170735082319</v>
      </c>
      <c r="BD55" s="56" t="n">
        <f aca="false">IF($A55&gt;=crown_start,(BB55*crown_charter+BC55*crown_comp)*crown_payout,0)</f>
        <v>4.9315226118015</v>
      </c>
      <c r="BE55" s="66" t="n">
        <f aca="false">IF(BB55+BC55&gt;0,(BB55*crown_charter+BC55*crown_comp)/(BA55),0)</f>
        <v>0.195898288486284</v>
      </c>
    </row>
    <row r="56" customFormat="false" ht="14.25" hidden="false" customHeight="false" outlineLevel="0" collapsed="false">
      <c r="A56" s="61" t="n">
        <v>1896</v>
      </c>
      <c r="B56" s="68" t="n">
        <f aca="false">champ_scale*(1+Labour!AP56)*(1+Partners!BX56)*(1-IF(union_resp=2,tariff_cut*Labour!S56,0))</f>
        <v>1.16057906731448</v>
      </c>
      <c r="C56" s="48" t="n">
        <v>1560</v>
      </c>
      <c r="D56" s="48" t="n">
        <v>420</v>
      </c>
      <c r="E56" s="48" t="n">
        <v>3700</v>
      </c>
      <c r="F56" s="50" t="n">
        <f aca="false">E56*B56</f>
        <v>4294.14254906359</v>
      </c>
      <c r="G56" s="50" t="n">
        <f aca="false">F56/Economy!B56*1000000</f>
        <v>643.050900416902</v>
      </c>
      <c r="H56" s="48" t="n">
        <v>355</v>
      </c>
      <c r="I56" s="70" t="n">
        <f aca="false">IF(H56&gt;0,G56/H56,0)</f>
        <v>1.81141098708987</v>
      </c>
      <c r="J56" s="71" t="n">
        <v>0.339</v>
      </c>
      <c r="K56" s="56" t="n">
        <f aca="false">Resources!K56*J56*B56</f>
        <v>4.98483796939446</v>
      </c>
      <c r="L56" s="48" t="n">
        <v>0</v>
      </c>
      <c r="M56" s="62" t="n">
        <v>0</v>
      </c>
      <c r="N56" s="48" t="n">
        <v>11</v>
      </c>
      <c r="O56" s="71" t="n">
        <v>0.56</v>
      </c>
      <c r="P56" s="56" t="n">
        <f aca="false">(IF(Gulf!E56=1,0,L56*M56)+N56)*O56*B56</f>
        <v>7.14916705465723</v>
      </c>
      <c r="Q56" s="56" t="n">
        <f aca="false">P56*oil_book</f>
        <v>50.0441693826006</v>
      </c>
      <c r="R56" s="71" t="n">
        <v>1.02</v>
      </c>
      <c r="S56" s="48" t="n">
        <v>17</v>
      </c>
      <c r="T56" s="56" t="n">
        <f aca="false">R56*S56*B56</f>
        <v>20.1244410272332</v>
      </c>
      <c r="U56" s="48" t="n">
        <v>0</v>
      </c>
      <c r="V56" s="48" t="n">
        <v>0</v>
      </c>
      <c r="W56" s="56" t="n">
        <f aca="false">U56/1000*V56*B56</f>
        <v>0</v>
      </c>
      <c r="X56" s="48" t="n">
        <v>1260</v>
      </c>
      <c r="Y56" s="62" t="n">
        <v>0.037</v>
      </c>
      <c r="Z56" s="56" t="n">
        <f aca="false">X56*Y56*chem_va*B56</f>
        <v>24.3477882531906</v>
      </c>
      <c r="AA56" s="62" t="n">
        <v>0.016</v>
      </c>
      <c r="AB56" s="56" t="n">
        <f aca="false">X56*AA56*roy_rate*B56*(1-IF(union_resp=2,lic_cut*Labour!S56,0))</f>
        <v>0.7019182199118</v>
      </c>
      <c r="AC56" s="48" t="n">
        <v>280</v>
      </c>
      <c r="AD56" s="62" t="n">
        <v>0.212</v>
      </c>
      <c r="AE56" s="62" t="n">
        <v>0.292</v>
      </c>
      <c r="AF56" s="56" t="n">
        <f aca="false">AC56*AD56*elec_va*B56</f>
        <v>31.0013880461045</v>
      </c>
      <c r="AG56" s="56" t="n">
        <f aca="false">MAX(0,AE56-AD56)*AC56*roy_rate*B56*(1-IF(union_resp=2,lic_cut*Labour!S56,0))</f>
        <v>0.779909133235334</v>
      </c>
      <c r="AH56" s="55" t="n">
        <v>25</v>
      </c>
      <c r="AI56" s="56" t="n">
        <f aca="false">AH56*B56</f>
        <v>29.0144766828621</v>
      </c>
      <c r="AJ56" s="55" t="n">
        <v>24</v>
      </c>
      <c r="AK56" s="56" t="n">
        <f aca="false">AJ56*B56</f>
        <v>27.8538976155476</v>
      </c>
      <c r="AL56" s="48" t="n">
        <v>64</v>
      </c>
      <c r="AM56" s="56" t="n">
        <f aca="false">AL56*uw_fee*B56</f>
        <v>1.85692650770318</v>
      </c>
      <c r="AN56" s="55" t="n">
        <v>0</v>
      </c>
      <c r="AO56" s="55" t="n">
        <v>0</v>
      </c>
      <c r="AP56" s="56" t="n">
        <f aca="false">K56+T56+W56+Z56+AF56+AI56+AK56+AM56+AN56+AO56</f>
        <v>139.183756102036</v>
      </c>
      <c r="AQ56" s="56" t="n">
        <f aca="false">AP56*(1-1/champ_prem+champ_spill)</f>
        <v>96.6553861819692</v>
      </c>
      <c r="AR56" s="66" t="n">
        <f aca="false">AP56/Economy!O56</f>
        <v>0.0514515946568697</v>
      </c>
      <c r="AS56" s="55" t="n">
        <v>182</v>
      </c>
      <c r="AT56" s="55" t="n">
        <v>52</v>
      </c>
      <c r="AU56" s="55" t="n">
        <v>26</v>
      </c>
      <c r="AV56" s="55" t="n">
        <v>0</v>
      </c>
      <c r="AW56" s="55" t="n">
        <v>4</v>
      </c>
      <c r="AX56" s="55" t="n">
        <v>6</v>
      </c>
      <c r="AY56" s="56" t="n">
        <f aca="false">Q56+(AS56+AT56+AU56+AV56+AW56+AX56)*B56</f>
        <v>363.400517557511</v>
      </c>
      <c r="AZ56" s="56" t="n">
        <f aca="false">P56+(AS56*ret_rail+AT56*ret_tel+AU56*ret_elec+AV56*ret_auto+AW56*ret_chem+AX56*ret_steel)*B56*IF(OR($A56=1931,$A56=1932),abroad_slump,1)+AB56+AG56</f>
        <v>28.314415389458</v>
      </c>
      <c r="BA56" s="56" t="n">
        <f aca="false">AP56*champ_profit+AZ56</f>
        <v>56.1511666098651</v>
      </c>
      <c r="BB56" s="56" t="n">
        <f aca="false">(K56+AI56+AK56)*champ_profit+P56+(AS56*ret_rail+AT56*ret_tel+AU56*ret_elec)*B56*IF(OR($A56=1931,$A56=1932),abroad_slump,1)</f>
        <v>38.2283440733276</v>
      </c>
      <c r="BC56" s="56" t="n">
        <f aca="false">(T56+W56+Z56+AF56+AN56+AO56)*champ_profit+(AV56*ret_auto+AW56*ret_chem+AX56*ret_steel)*B56*IF(OR($A56=1931,$A56=1932),abroad_slump,1)+AB56+AG56</f>
        <v>17.551437234997</v>
      </c>
      <c r="BD56" s="56" t="n">
        <f aca="false">IF($A56&gt;=crown_start,(BB56*crown_charter+BC56*crown_comp)*crown_payout,0)</f>
        <v>5.48060049856582</v>
      </c>
      <c r="BE56" s="66" t="n">
        <f aca="false">IF(BB56+BC56&gt;0,(BB56*crown_charter+BC56*crown_comp)/(BA56),0)</f>
        <v>0.195208784766475</v>
      </c>
    </row>
    <row r="57" customFormat="false" ht="14.25" hidden="false" customHeight="false" outlineLevel="0" collapsed="false">
      <c r="A57" s="61" t="n">
        <v>1897</v>
      </c>
      <c r="B57" s="68" t="n">
        <f aca="false">champ_scale*(1+Labour!AP57)*(1+Partners!BX57)*(1-IF(union_resp=2,tariff_cut*Labour!S57,0))</f>
        <v>1.17527425236887</v>
      </c>
      <c r="C57" s="48" t="n">
        <v>1670</v>
      </c>
      <c r="D57" s="48" t="n">
        <v>440</v>
      </c>
      <c r="E57" s="48" t="n">
        <v>3900</v>
      </c>
      <c r="F57" s="50" t="n">
        <f aca="false">E57*B57</f>
        <v>4583.56958423859</v>
      </c>
      <c r="G57" s="50" t="n">
        <f aca="false">F57/Economy!B57*1000000</f>
        <v>656.523761138629</v>
      </c>
      <c r="H57" s="48" t="n">
        <v>347</v>
      </c>
      <c r="I57" s="70" t="n">
        <f aca="false">IF(H57&gt;0,G57/H57,0)</f>
        <v>1.8919993116387</v>
      </c>
      <c r="J57" s="71" t="n">
        <v>0.346</v>
      </c>
      <c r="K57" s="56" t="n">
        <f aca="false">Resources!K57*J57*B57</f>
        <v>6.23386618392991</v>
      </c>
      <c r="L57" s="48" t="n">
        <v>0</v>
      </c>
      <c r="M57" s="62" t="n">
        <v>0</v>
      </c>
      <c r="N57" s="48" t="n">
        <v>12</v>
      </c>
      <c r="O57" s="71" t="n">
        <v>0.557</v>
      </c>
      <c r="P57" s="56" t="n">
        <f aca="false">(IF(Gulf!E57=1,0,L57*M57)+N57)*O57*B57</f>
        <v>7.85553310283353</v>
      </c>
      <c r="Q57" s="56" t="n">
        <f aca="false">P57*oil_book</f>
        <v>54.9887317198347</v>
      </c>
      <c r="R57" s="71" t="n">
        <v>1.115</v>
      </c>
      <c r="S57" s="48" t="n">
        <v>17</v>
      </c>
      <c r="T57" s="56" t="n">
        <f aca="false">R57*S57*B57</f>
        <v>22.2773234536519</v>
      </c>
      <c r="U57" s="48" t="n">
        <v>0</v>
      </c>
      <c r="V57" s="48" t="n">
        <v>0</v>
      </c>
      <c r="W57" s="56" t="n">
        <f aca="false">U57/1000*V57*B57</f>
        <v>0</v>
      </c>
      <c r="X57" s="48" t="n">
        <v>1320</v>
      </c>
      <c r="Y57" s="62" t="n">
        <v>0.039</v>
      </c>
      <c r="Z57" s="56" t="n">
        <f aca="false">X57*Y57*chem_va*B57</f>
        <v>27.2264033303772</v>
      </c>
      <c r="AA57" s="62" t="n">
        <v>0.017</v>
      </c>
      <c r="AB57" s="56" t="n">
        <f aca="false">X57*AA57*roy_rate*B57*(1-IF(union_resp=2,lic_cut*Labour!S57,0))</f>
        <v>0.791194626694723</v>
      </c>
      <c r="AC57" s="48" t="n">
        <v>310</v>
      </c>
      <c r="AD57" s="62" t="n">
        <v>0.214</v>
      </c>
      <c r="AE57" s="62" t="n">
        <v>0.299</v>
      </c>
      <c r="AF57" s="56" t="n">
        <f aca="false">AC57*AD57*elec_va*B57</f>
        <v>35.0854622559679</v>
      </c>
      <c r="AG57" s="56" t="n">
        <f aca="false">MAX(0,AE57-AD57)*AC57*roy_rate*B57*(1-IF(union_resp=2,lic_cut*Labour!S57,0))</f>
        <v>0.929054296497591</v>
      </c>
      <c r="AH57" s="55" t="n">
        <v>27</v>
      </c>
      <c r="AI57" s="56" t="n">
        <f aca="false">AH57*B57</f>
        <v>31.7324048139595</v>
      </c>
      <c r="AJ57" s="55" t="n">
        <v>26</v>
      </c>
      <c r="AK57" s="56" t="n">
        <f aca="false">AJ57*B57</f>
        <v>30.5571305615906</v>
      </c>
      <c r="AL57" s="48" t="n">
        <v>68</v>
      </c>
      <c r="AM57" s="56" t="n">
        <f aca="false">AL57*uw_fee*B57</f>
        <v>1.99796622902708</v>
      </c>
      <c r="AN57" s="55" t="n">
        <v>0</v>
      </c>
      <c r="AO57" s="55" t="n">
        <v>0</v>
      </c>
      <c r="AP57" s="56" t="n">
        <f aca="false">K57+T57+W57+Z57+AF57+AI57+AK57+AM57+AN57+AO57</f>
        <v>155.110556828504</v>
      </c>
      <c r="AQ57" s="56" t="n">
        <f aca="false">AP57*(1-1/champ_prem+champ_spill)</f>
        <v>107.715664464239</v>
      </c>
      <c r="AR57" s="66" t="n">
        <f aca="false">AP57/Economy!O57</f>
        <v>0.0508338870127324</v>
      </c>
      <c r="AS57" s="55" t="n">
        <v>199</v>
      </c>
      <c r="AT57" s="55" t="n">
        <v>56</v>
      </c>
      <c r="AU57" s="55" t="n">
        <v>30</v>
      </c>
      <c r="AV57" s="55" t="n">
        <v>0</v>
      </c>
      <c r="AW57" s="55" t="n">
        <v>4</v>
      </c>
      <c r="AX57" s="55" t="n">
        <v>7</v>
      </c>
      <c r="AY57" s="56" t="n">
        <f aca="false">Q57+(AS57+AT57+AU57+AV57+AW57+AX57)*B57</f>
        <v>402.86991042102</v>
      </c>
      <c r="AZ57" s="56" t="n">
        <f aca="false">P57+(AS57*ret_rail+AT57*ret_tel+AU57*ret_elec+AV57*ret_auto+AW57*ret_chem+AX57*ret_steel)*B57*IF(OR($A57=1931,$A57=1932),abroad_slump,1)+AB57+AG57</f>
        <v>31.3771194074684</v>
      </c>
      <c r="BA57" s="56" t="n">
        <f aca="false">AP57*champ_profit+AZ57</f>
        <v>62.3992307731692</v>
      </c>
      <c r="BB57" s="56" t="n">
        <f aca="false">(K57+AI57+AK57)*champ_profit+P57+(AS57*ret_rail+AT57*ret_tel+AU57*ret_elec)*B57*IF(OR($A57=1931,$A57=1932),abroad_slump,1)</f>
        <v>42.3038039690401</v>
      </c>
      <c r="BC57" s="56" t="n">
        <f aca="false">(T57+W57+Z57+AF57+AN57+AO57)*champ_profit+(AV57*ret_auto+AW57*ret_chem+AX57*ret_steel)*B57*IF(OR($A57=1931,$A57=1932),abroad_slump,1)+AB57+AG57</f>
        <v>19.6958335583237</v>
      </c>
      <c r="BD57" s="56" t="n">
        <f aca="false">IF($A57&gt;=crown_start,(BB57*crown_charter+BC57*crown_comp)*crown_payout,0)</f>
        <v>6.07580883846296</v>
      </c>
      <c r="BE57" s="66" t="n">
        <f aca="false">IF(BB57+BC57&gt;0,(BB57*crown_charter+BC57*crown_comp)/(BA57),0)</f>
        <v>0.194739863398299</v>
      </c>
    </row>
    <row r="58" customFormat="false" ht="14.25" hidden="false" customHeight="false" outlineLevel="0" collapsed="false">
      <c r="A58" s="61" t="n">
        <v>1898</v>
      </c>
      <c r="B58" s="68" t="n">
        <f aca="false">champ_scale*(1+Labour!AP58)*(1+Partners!BX58)*(1-IF(union_resp=2,tariff_cut*Labour!S58,0))</f>
        <v>1.18951353305042</v>
      </c>
      <c r="C58" s="48" t="n">
        <v>1780</v>
      </c>
      <c r="D58" s="48" t="n">
        <v>460</v>
      </c>
      <c r="E58" s="48" t="n">
        <v>4100</v>
      </c>
      <c r="F58" s="50" t="n">
        <f aca="false">E58*B58</f>
        <v>4877.00548550671</v>
      </c>
      <c r="G58" s="50" t="n">
        <f aca="false">F58/Economy!B58*1000000</f>
        <v>668.642474595692</v>
      </c>
      <c r="H58" s="48" t="n">
        <v>340</v>
      </c>
      <c r="I58" s="70" t="n">
        <f aca="false">IF(H58&gt;0,G58/H58,0)</f>
        <v>1.96659551351674</v>
      </c>
      <c r="J58" s="71" t="n">
        <v>0.352</v>
      </c>
      <c r="K58" s="56" t="n">
        <f aca="false">Resources!K58*J58*B58</f>
        <v>7.53675774540745</v>
      </c>
      <c r="L58" s="48" t="n">
        <v>0</v>
      </c>
      <c r="M58" s="62" t="n">
        <v>0</v>
      </c>
      <c r="N58" s="48" t="n">
        <v>13</v>
      </c>
      <c r="O58" s="71" t="n">
        <v>0.555</v>
      </c>
      <c r="P58" s="56" t="n">
        <f aca="false">(IF(Gulf!E58=1,0,L58*M58)+N58)*O58*B58</f>
        <v>8.58234014095877</v>
      </c>
      <c r="Q58" s="56" t="n">
        <f aca="false">P58*oil_book</f>
        <v>60.0763809867114</v>
      </c>
      <c r="R58" s="71" t="n">
        <v>1.21</v>
      </c>
      <c r="S58" s="48" t="n">
        <v>16</v>
      </c>
      <c r="T58" s="56" t="n">
        <f aca="false">R58*S58*B58</f>
        <v>23.0289819998561</v>
      </c>
      <c r="U58" s="48" t="n">
        <v>0</v>
      </c>
      <c r="V58" s="48" t="n">
        <v>0</v>
      </c>
      <c r="W58" s="56" t="n">
        <f aca="false">U58/1000*V58*B58</f>
        <v>0</v>
      </c>
      <c r="X58" s="48" t="n">
        <v>1380</v>
      </c>
      <c r="Y58" s="62" t="n">
        <v>0.041</v>
      </c>
      <c r="Z58" s="56" t="n">
        <f aca="false">X58*Y58*chem_va*B58</f>
        <v>30.2862040649967</v>
      </c>
      <c r="AA58" s="62" t="n">
        <v>0.018</v>
      </c>
      <c r="AB58" s="56" t="n">
        <f aca="false">X58*AA58*roy_rate*B58*(1-IF(union_resp=2,lic_cut*Labour!S58,0))</f>
        <v>0.886425484829172</v>
      </c>
      <c r="AC58" s="48" t="n">
        <v>340</v>
      </c>
      <c r="AD58" s="62" t="n">
        <v>0.216</v>
      </c>
      <c r="AE58" s="62" t="n">
        <v>0.306</v>
      </c>
      <c r="AF58" s="56" t="n">
        <f aca="false">AC58*AD58*elec_va*B58</f>
        <v>39.3110432402502</v>
      </c>
      <c r="AG58" s="56" t="n">
        <f aca="false">MAX(0,AE58-AD58)*AC58*roy_rate*B58*(1-IF(union_resp=2,lic_cut*Labour!S58,0))</f>
        <v>1.09197342334028</v>
      </c>
      <c r="AH58" s="55" t="n">
        <v>29</v>
      </c>
      <c r="AI58" s="56" t="n">
        <f aca="false">AH58*B58</f>
        <v>34.4958924584621</v>
      </c>
      <c r="AJ58" s="55" t="n">
        <v>27</v>
      </c>
      <c r="AK58" s="56" t="n">
        <f aca="false">AJ58*B58</f>
        <v>32.1168653923613</v>
      </c>
      <c r="AL58" s="48" t="n">
        <v>72</v>
      </c>
      <c r="AM58" s="56" t="n">
        <f aca="false">AL58*uw_fee*B58</f>
        <v>2.14112435949075</v>
      </c>
      <c r="AN58" s="55" t="n">
        <v>0</v>
      </c>
      <c r="AO58" s="55" t="n">
        <v>0</v>
      </c>
      <c r="AP58" s="56" t="n">
        <f aca="false">K58+T58+W58+Z58+AF58+AI58+AK58+AM58+AN58+AO58</f>
        <v>168.916869260825</v>
      </c>
      <c r="AQ58" s="56" t="n">
        <f aca="false">AP58*(1-1/champ_prem+champ_spill)</f>
        <v>117.303381431128</v>
      </c>
      <c r="AR58" s="66" t="n">
        <f aca="false">AP58/Economy!O58</f>
        <v>0.0502877182641077</v>
      </c>
      <c r="AS58" s="55" t="n">
        <v>216</v>
      </c>
      <c r="AT58" s="55" t="n">
        <v>61</v>
      </c>
      <c r="AU58" s="55" t="n">
        <v>33</v>
      </c>
      <c r="AV58" s="55" t="n">
        <v>0</v>
      </c>
      <c r="AW58" s="55" t="n">
        <v>5</v>
      </c>
      <c r="AX58" s="55" t="n">
        <v>8</v>
      </c>
      <c r="AY58" s="56" t="n">
        <f aca="false">Q58+(AS58+AT58+AU58+AV58+AW58+AX58)*B58</f>
        <v>444.289252161996</v>
      </c>
      <c r="AZ58" s="56" t="n">
        <f aca="false">P58+(AS58*ret_rail+AT58*ret_tel+AU58*ret_elec+AV58*ret_auto+AW58*ret_chem+AX58*ret_steel)*B58*IF(OR($A58=1931,$A58=1932),abroad_slump,1)+AB58+AG58</f>
        <v>34.6959686347212</v>
      </c>
      <c r="BA58" s="56" t="n">
        <f aca="false">AP58*champ_profit+AZ58</f>
        <v>68.4793424868861</v>
      </c>
      <c r="BB58" s="56" t="n">
        <f aca="false">(K58+AI58+AK58)*champ_profit+P58+(AS58*ret_rail+AT58*ret_tel+AU58*ret_elec)*B58*IF(OR($A58=1931,$A58=1932),abroad_slump,1)</f>
        <v>46.2627982301035</v>
      </c>
      <c r="BC58" s="56" t="n">
        <f aca="false">(T58+W58+Z58+AF58+AN58+AO58)*champ_profit+(AV58*ret_auto+AW58*ret_chem+AX58*ret_steel)*B58*IF(OR($A58=1931,$A58=1932),abroad_slump,1)+AB58+AG58</f>
        <v>21.7883193848845</v>
      </c>
      <c r="BD58" s="56" t="n">
        <f aca="false">IF($A58&gt;=crown_start,(BB58*crown_charter+BC58*crown_comp)*crown_payout,0)</f>
        <v>6.65438255415831</v>
      </c>
      <c r="BE58" s="66" t="n">
        <f aca="false">IF(BB58+BC58&gt;0,(BB58*crown_charter+BC58*crown_comp)/(BA58),0)</f>
        <v>0.194347150907082</v>
      </c>
    </row>
    <row r="59" customFormat="false" ht="14.25" hidden="false" customHeight="false" outlineLevel="0" collapsed="false">
      <c r="A59" s="61" t="n">
        <v>1899</v>
      </c>
      <c r="B59" s="68" t="n">
        <f aca="false">champ_scale*(1+Labour!AP59)*(1+Partners!BX59)*(1-IF(union_resp=2,tariff_cut*Labour!S59,0))</f>
        <v>1.20348163884701</v>
      </c>
      <c r="C59" s="48" t="n">
        <v>1890</v>
      </c>
      <c r="D59" s="48" t="n">
        <v>480</v>
      </c>
      <c r="E59" s="48" t="n">
        <v>4300</v>
      </c>
      <c r="F59" s="50" t="n">
        <f aca="false">E59*B59</f>
        <v>5174.97104704216</v>
      </c>
      <c r="G59" s="50" t="n">
        <f aca="false">F59/Economy!B59*1000000</f>
        <v>679.486081681538</v>
      </c>
      <c r="H59" s="48" t="n">
        <v>332</v>
      </c>
      <c r="I59" s="70" t="n">
        <f aca="false">IF(H59&gt;0,G59/H59,0)</f>
        <v>2.04664482434198</v>
      </c>
      <c r="J59" s="71" t="n">
        <v>0.359</v>
      </c>
      <c r="K59" s="56" t="n">
        <f aca="false">Resources!K59*J59*B59</f>
        <v>9.28907302944067</v>
      </c>
      <c r="L59" s="48" t="n">
        <v>0</v>
      </c>
      <c r="M59" s="62" t="n">
        <v>0</v>
      </c>
      <c r="N59" s="48" t="n">
        <v>14</v>
      </c>
      <c r="O59" s="71" t="n">
        <v>0.552</v>
      </c>
      <c r="P59" s="56" t="n">
        <f aca="false">(IF(Gulf!E59=1,0,L59*M59)+N59)*O59*B59</f>
        <v>9.30050610500972</v>
      </c>
      <c r="Q59" s="56" t="n">
        <f aca="false">P59*oil_book</f>
        <v>65.103542735068</v>
      </c>
      <c r="R59" s="71" t="n">
        <v>1.305</v>
      </c>
      <c r="S59" s="48" t="n">
        <v>16</v>
      </c>
      <c r="T59" s="56" t="n">
        <f aca="false">R59*S59*B59</f>
        <v>25.1286966191256</v>
      </c>
      <c r="U59" s="48" t="n">
        <v>0</v>
      </c>
      <c r="V59" s="48" t="n">
        <v>0</v>
      </c>
      <c r="W59" s="56" t="n">
        <f aca="false">U59/1000*V59*B59</f>
        <v>0</v>
      </c>
      <c r="X59" s="48" t="n">
        <v>1440</v>
      </c>
      <c r="Y59" s="62" t="n">
        <v>0.043</v>
      </c>
      <c r="Z59" s="56" t="n">
        <f aca="false">X59*Y59*chem_va*B59</f>
        <v>33.5338123848332</v>
      </c>
      <c r="AA59" s="62" t="n">
        <v>0.019</v>
      </c>
      <c r="AB59" s="56" t="n">
        <f aca="false">X59*AA59*roy_rate*B59*(1-IF(union_resp=2,lic_cut*Labour!S59,0))</f>
        <v>0.987817729165628</v>
      </c>
      <c r="AC59" s="48" t="n">
        <v>370</v>
      </c>
      <c r="AD59" s="62" t="n">
        <v>0.218</v>
      </c>
      <c r="AE59" s="62" t="n">
        <v>0.313</v>
      </c>
      <c r="AF59" s="56" t="n">
        <f aca="false">AC59*AD59*elec_va*B59</f>
        <v>43.68277304523</v>
      </c>
      <c r="AG59" s="56" t="n">
        <f aca="false">MAX(0,AE59-AD59)*AC59*roy_rate*B59*(1-IF(union_resp=2,lic_cut*Labour!S59,0))</f>
        <v>1.26907138816418</v>
      </c>
      <c r="AH59" s="55" t="n">
        <v>30</v>
      </c>
      <c r="AI59" s="56" t="n">
        <f aca="false">AH59*B59</f>
        <v>36.1044491654104</v>
      </c>
      <c r="AJ59" s="55" t="n">
        <v>28</v>
      </c>
      <c r="AK59" s="56" t="n">
        <f aca="false">AJ59*B59</f>
        <v>33.6974858877164</v>
      </c>
      <c r="AL59" s="48" t="n">
        <v>76</v>
      </c>
      <c r="AM59" s="56" t="n">
        <f aca="false">AL59*uw_fee*B59</f>
        <v>2.28661511380932</v>
      </c>
      <c r="AN59" s="55" t="n">
        <v>0</v>
      </c>
      <c r="AO59" s="55" t="n">
        <v>0</v>
      </c>
      <c r="AP59" s="56" t="n">
        <f aca="false">K59+T59+W59+Z59+AF59+AI59+AK59+AM59+AN59+AO59</f>
        <v>183.722905245566</v>
      </c>
      <c r="AQ59" s="56" t="n">
        <f aca="false">AP59*(1-1/champ_prem+champ_spill)</f>
        <v>127.585350864976</v>
      </c>
      <c r="AR59" s="66" t="n">
        <f aca="false">AP59/Economy!O59</f>
        <v>0.0498150828902671</v>
      </c>
      <c r="AS59" s="55" t="n">
        <v>233</v>
      </c>
      <c r="AT59" s="55" t="n">
        <v>66</v>
      </c>
      <c r="AU59" s="55" t="n">
        <v>36</v>
      </c>
      <c r="AV59" s="55" t="n">
        <v>0</v>
      </c>
      <c r="AW59" s="55" t="n">
        <v>5</v>
      </c>
      <c r="AX59" s="55" t="n">
        <v>9</v>
      </c>
      <c r="AY59" s="56" t="n">
        <f aca="false">Q59+(AS59+AT59+AU59+AV59+AW59+AX59)*B59</f>
        <v>485.118634692675</v>
      </c>
      <c r="AZ59" s="56" t="n">
        <f aca="false">P59+(AS59*ret_rail+AT59*ret_tel+AU59*ret_elec+AV59*ret_auto+AW59*ret_chem+AX59*ret_steel)*B59*IF(OR($A59=1931,$A59=1932),abroad_slump,1)+AB59+AG59</f>
        <v>37.9256779294776</v>
      </c>
      <c r="BA59" s="56" t="n">
        <f aca="false">AP59*champ_profit+AZ59</f>
        <v>74.6702589785907</v>
      </c>
      <c r="BB59" s="56" t="n">
        <f aca="false">(K59+AI59+AK59)*champ_profit+P59+(AS59*ret_rail+AT59*ret_tel+AU59*ret_elec)*B59*IF(OR($A59=1931,$A59=1932),abroad_slump,1)</f>
        <v>50.1150213603757</v>
      </c>
      <c r="BC59" s="56" t="n">
        <f aca="false">(T59+W59+Z59+AF59+AN59+AO59)*champ_profit+(AV59*ret_auto+AW59*ret_chem+AX59*ret_steel)*B59*IF(OR($A59=1931,$A59=1932),abroad_slump,1)+AB59+AG59</f>
        <v>24.0979145954532</v>
      </c>
      <c r="BD59" s="56" t="n">
        <f aca="false">IF($A59&gt;=crown_start,(BB59*crown_charter+BC59*crown_comp)*crown_payout,0)</f>
        <v>7.22829425386508</v>
      </c>
      <c r="BE59" s="66" t="n">
        <f aca="false">IF(BB59+BC59&gt;0,(BB59*crown_charter+BC59*crown_comp)/(BA59),0)</f>
        <v>0.193605710030752</v>
      </c>
    </row>
    <row r="60" customFormat="false" ht="14.25" hidden="false" customHeight="false" outlineLevel="0" collapsed="false">
      <c r="A60" s="61" t="n">
        <v>1900</v>
      </c>
      <c r="B60" s="68" t="n">
        <f aca="false">champ_scale*(1+Labour!AP60)*(1+Partners!BX60)*(1-IF(union_resp=2,tariff_cut*Labour!S60,0))</f>
        <v>1.21720793333994</v>
      </c>
      <c r="C60" s="48" t="n">
        <v>2000</v>
      </c>
      <c r="D60" s="48" t="n">
        <v>500</v>
      </c>
      <c r="E60" s="48" t="n">
        <v>4500</v>
      </c>
      <c r="F60" s="50" t="n">
        <f aca="false">E60*B60</f>
        <v>5477.43570002974</v>
      </c>
      <c r="G60" s="50" t="n">
        <f aca="false">F60/Economy!B60*1000000</f>
        <v>687.01406479922</v>
      </c>
      <c r="H60" s="48" t="n">
        <v>324</v>
      </c>
      <c r="I60" s="70" t="n">
        <f aca="false">IF(H60&gt;0,G60/H60,0)</f>
        <v>2.12041378024451</v>
      </c>
      <c r="J60" s="71" t="n">
        <v>0.365</v>
      </c>
      <c r="K60" s="56" t="n">
        <f aca="false">Resources!K60*J60*B60</f>
        <v>11.107022391727</v>
      </c>
      <c r="L60" s="48" t="n">
        <v>0</v>
      </c>
      <c r="M60" s="62" t="n">
        <v>0</v>
      </c>
      <c r="N60" s="48" t="n">
        <v>15</v>
      </c>
      <c r="O60" s="71" t="n">
        <v>0.55</v>
      </c>
      <c r="P60" s="56" t="n">
        <f aca="false">(IF(Gulf!E60=1,0,L60*M60)+N60)*O60*B60</f>
        <v>10.0419654500545</v>
      </c>
      <c r="Q60" s="56" t="n">
        <f aca="false">P60*oil_book</f>
        <v>70.2937581503817</v>
      </c>
      <c r="R60" s="71" t="n">
        <v>1.4</v>
      </c>
      <c r="S60" s="48" t="n">
        <v>16</v>
      </c>
      <c r="T60" s="56" t="n">
        <f aca="false">R60*S60*B60</f>
        <v>27.2654577068147</v>
      </c>
      <c r="U60" s="48" t="n">
        <v>0.5</v>
      </c>
      <c r="V60" s="48" t="n">
        <v>500</v>
      </c>
      <c r="W60" s="56" t="n">
        <f aca="false">U60/1000*V60*B60</f>
        <v>0.304301983334986</v>
      </c>
      <c r="X60" s="48" t="n">
        <v>1500</v>
      </c>
      <c r="Y60" s="62" t="n">
        <v>0.045</v>
      </c>
      <c r="Z60" s="56" t="n">
        <f aca="false">X60*Y60*chem_va*B60</f>
        <v>36.9726909752008</v>
      </c>
      <c r="AA60" s="62" t="n">
        <v>0.02</v>
      </c>
      <c r="AB60" s="56" t="n">
        <f aca="false">X60*AA60*roy_rate*B60*(1-IF(union_resp=2,lic_cut*Labour!S60,0))</f>
        <v>1.09548714000595</v>
      </c>
      <c r="AC60" s="48" t="n">
        <v>400</v>
      </c>
      <c r="AD60" s="62" t="n">
        <v>0.22</v>
      </c>
      <c r="AE60" s="62" t="n">
        <v>0.32</v>
      </c>
      <c r="AF60" s="56" t="n">
        <f aca="false">AC60*AD60*elec_va*B60</f>
        <v>48.2014341602617</v>
      </c>
      <c r="AG60" s="56" t="n">
        <f aca="false">MAX(0,AE60-AD60)*AC60*roy_rate*B60*(1-IF(union_resp=2,lic_cut*Labour!S60,0))</f>
        <v>1.46064952000793</v>
      </c>
      <c r="AH60" s="55" t="n">
        <v>32</v>
      </c>
      <c r="AI60" s="56" t="n">
        <f aca="false">AH60*B60</f>
        <v>38.9506538668782</v>
      </c>
      <c r="AJ60" s="55" t="n">
        <v>30</v>
      </c>
      <c r="AK60" s="56" t="n">
        <f aca="false">AJ60*B60</f>
        <v>36.5162380001983</v>
      </c>
      <c r="AL60" s="48" t="n">
        <v>80</v>
      </c>
      <c r="AM60" s="56" t="n">
        <f aca="false">AL60*uw_fee*B60</f>
        <v>2.43441586667988</v>
      </c>
      <c r="AN60" s="55" t="n">
        <v>0</v>
      </c>
      <c r="AO60" s="55" t="n">
        <v>1</v>
      </c>
      <c r="AP60" s="56" t="n">
        <f aca="false">K60+T60+W60+Z60+AF60+AI60+AK60+AM60+AN60+AO60</f>
        <v>202.752214951095</v>
      </c>
      <c r="AQ60" s="56" t="n">
        <f aca="false">AP60*(1-1/champ_prem+champ_spill)</f>
        <v>140.800149271594</v>
      </c>
      <c r="AR60" s="66" t="n">
        <f aca="false">AP60/Economy!O60</f>
        <v>0.0499960545736638</v>
      </c>
      <c r="AS60" s="55" t="n">
        <v>250</v>
      </c>
      <c r="AT60" s="55" t="n">
        <v>70</v>
      </c>
      <c r="AU60" s="55" t="n">
        <v>40</v>
      </c>
      <c r="AV60" s="55" t="n">
        <v>0</v>
      </c>
      <c r="AW60" s="55" t="n">
        <v>5</v>
      </c>
      <c r="AX60" s="55" t="n">
        <v>10</v>
      </c>
      <c r="AY60" s="56" t="n">
        <f aca="false">Q60+(AS60+AT60+AU60+AV60+AW60+AX60)*B60</f>
        <v>526.74673315286</v>
      </c>
      <c r="AZ60" s="56" t="n">
        <f aca="false">P60+(AS60*ret_rail+AT60*ret_tel+AU60*ret_elec+AV60*ret_auto+AW60*ret_chem+AX60*ret_steel)*B60*IF(OR($A60=1931,$A60=1932),abroad_slump,1)+AB60+AG60</f>
        <v>41.2024885435571</v>
      </c>
      <c r="BA60" s="56" t="n">
        <f aca="false">AP60*champ_profit+AZ60</f>
        <v>81.7529315337762</v>
      </c>
      <c r="BB60" s="56" t="n">
        <f aca="false">(K60+AI60+AK60)*champ_profit+P60+(AS60*ret_rail+AT60*ret_tel+AU60*ret_elec)*B60*IF(OR($A60=1931,$A60=1932),abroad_slump,1)</f>
        <v>54.5004852152959</v>
      </c>
      <c r="BC60" s="56" t="n">
        <f aca="false">(T60+W60+Z60+AF60+AN60+AO60)*champ_profit+(AV60*ret_auto+AW60*ret_chem+AX60*ret_steel)*B60*IF(OR($A60=1931,$A60=1932),abroad_slump,1)+AB60+AG60</f>
        <v>26.7655631451442</v>
      </c>
      <c r="BD60" s="56" t="n">
        <f aca="false">IF($A60&gt;=crown_start,(BB60*crown_charter+BC60*crown_comp)*crown_payout,0)</f>
        <v>7.88318317771776</v>
      </c>
      <c r="BE60" s="66" t="n">
        <f aca="false">IF(BB60+BC60&gt;0,(BB60*crown_charter+BC60*crown_comp)/(BA60),0)</f>
        <v>0.192853834836756</v>
      </c>
    </row>
    <row r="61" customFormat="false" ht="14.25" hidden="false" customHeight="false" outlineLevel="0" collapsed="false">
      <c r="A61" s="61" t="n">
        <v>1901</v>
      </c>
      <c r="B61" s="68" t="n">
        <f aca="false">champ_scale*(1+Labour!AP61)*(1+Partners!BX61)*(1-IF(union_resp=2,tariff_cut*Labour!S61,0))</f>
        <v>1.23070602987535</v>
      </c>
      <c r="C61" s="48" t="n">
        <v>2190</v>
      </c>
      <c r="D61" s="48" t="n">
        <v>520</v>
      </c>
      <c r="E61" s="48" t="n">
        <v>4770</v>
      </c>
      <c r="F61" s="50" t="n">
        <f aca="false">E61*B61</f>
        <v>5870.4677625054</v>
      </c>
      <c r="G61" s="50" t="n">
        <f aca="false">F61/Economy!B61*1000000</f>
        <v>700.888201466678</v>
      </c>
      <c r="H61" s="48" t="n">
        <v>326</v>
      </c>
      <c r="I61" s="70" t="n">
        <f aca="false">IF(H61&gt;0,G61/H61,0)</f>
        <v>2.14996380817999</v>
      </c>
      <c r="J61" s="71" t="n">
        <v>0.372</v>
      </c>
      <c r="K61" s="56" t="n">
        <f aca="false">Resources!K61*J61*B61</f>
        <v>13.7346792934089</v>
      </c>
      <c r="L61" s="48" t="n">
        <v>4</v>
      </c>
      <c r="M61" s="62" t="n">
        <v>0.4</v>
      </c>
      <c r="N61" s="48" t="n">
        <v>17</v>
      </c>
      <c r="O61" s="71" t="n">
        <v>0.554</v>
      </c>
      <c r="P61" s="56" t="n">
        <f aca="false">(IF(Gulf!E61=1,0,L61*M61)+N61)*O61*B61</f>
        <v>12.6816872142475</v>
      </c>
      <c r="Q61" s="56" t="n">
        <f aca="false">P61*oil_book</f>
        <v>88.7718104997326</v>
      </c>
      <c r="R61" s="71" t="n">
        <v>1.58</v>
      </c>
      <c r="S61" s="48" t="n">
        <v>16</v>
      </c>
      <c r="T61" s="56" t="n">
        <f aca="false">R61*S61*B61</f>
        <v>31.1122484352488</v>
      </c>
      <c r="U61" s="48" t="n">
        <v>1.2</v>
      </c>
      <c r="V61" s="48" t="n">
        <v>494</v>
      </c>
      <c r="W61" s="56" t="n">
        <f aca="false">U61/1000*V61*B61</f>
        <v>0.729562534510105</v>
      </c>
      <c r="X61" s="48" t="n">
        <v>1577</v>
      </c>
      <c r="Y61" s="62" t="n">
        <v>0.048</v>
      </c>
      <c r="Z61" s="56" t="n">
        <f aca="false">X61*Y61*chem_va*B61</f>
        <v>41.9217856368499</v>
      </c>
      <c r="AA61" s="62" t="n">
        <v>0.022</v>
      </c>
      <c r="AB61" s="56" t="n">
        <f aca="false">X61*AA61*roy_rate*B61*(1-IF(union_resp=2,lic_cut*Labour!S61,0))</f>
        <v>1.28094345001486</v>
      </c>
      <c r="AC61" s="48" t="n">
        <v>446</v>
      </c>
      <c r="AD61" s="62" t="n">
        <v>0.22</v>
      </c>
      <c r="AE61" s="62" t="n">
        <v>0.325</v>
      </c>
      <c r="AF61" s="56" t="n">
        <f aca="false">AC61*AD61*elec_va*B61</f>
        <v>54.340594043116</v>
      </c>
      <c r="AG61" s="56" t="n">
        <f aca="false">MAX(0,AE61-AD61)*AC61*roy_rate*B61*(1-IF(union_resp=2,lic_cut*Labour!S61,0))</f>
        <v>1.72901890137187</v>
      </c>
      <c r="AH61" s="55" t="n">
        <v>36</v>
      </c>
      <c r="AI61" s="56" t="n">
        <f aca="false">AH61*B61</f>
        <v>44.3054170755125</v>
      </c>
      <c r="AJ61" s="55" t="n">
        <v>33</v>
      </c>
      <c r="AK61" s="56" t="n">
        <f aca="false">AJ61*B61</f>
        <v>40.6132989858864</v>
      </c>
      <c r="AL61" s="48" t="n">
        <v>122</v>
      </c>
      <c r="AM61" s="56" t="n">
        <f aca="false">AL61*uw_fee*B61</f>
        <v>3.75365339111981</v>
      </c>
      <c r="AN61" s="55" t="n">
        <v>0</v>
      </c>
      <c r="AO61" s="55" t="n">
        <v>2</v>
      </c>
      <c r="AP61" s="56" t="n">
        <f aca="false">K61+T61+W61+Z61+AF61+AI61+AK61+AM61+AN61+AO61</f>
        <v>232.511239395652</v>
      </c>
      <c r="AQ61" s="56" t="n">
        <f aca="false">AP61*(1-1/champ_prem+champ_spill)</f>
        <v>161.466138469203</v>
      </c>
      <c r="AR61" s="66" t="n">
        <f aca="false">AP61/Economy!O61</f>
        <v>0.0524253544045602</v>
      </c>
      <c r="AS61" s="55" t="n">
        <v>290</v>
      </c>
      <c r="AT61" s="55" t="n">
        <v>78</v>
      </c>
      <c r="AU61" s="55" t="n">
        <v>56</v>
      </c>
      <c r="AV61" s="55" t="n">
        <v>0</v>
      </c>
      <c r="AW61" s="55" t="n">
        <v>8</v>
      </c>
      <c r="AX61" s="55" t="n">
        <v>490</v>
      </c>
      <c r="AY61" s="56" t="n">
        <f aca="false">Q61+(AS61+AT61+AU61+AV61+AW61+AX61)*B61</f>
        <v>1223.4827700448</v>
      </c>
      <c r="AZ61" s="56" t="n">
        <f aca="false">P61+(AS61*ret_rail+AT61*ret_tel+AU61*ret_elec+AV61*ret_auto+AW61*ret_chem+AX61*ret_steel)*B61*IF(OR($A61=1931,$A61=1932),abroad_slump,1)+AB61+AG61</f>
        <v>85.3249967359813</v>
      </c>
      <c r="BA61" s="56" t="n">
        <f aca="false">AP61*champ_profit+AZ61</f>
        <v>131.827244615112</v>
      </c>
      <c r="BB61" s="56" t="n">
        <f aca="false">(K61+AI61+AK61)*champ_profit+P61+(AS61*ret_rail+AT61*ret_tel+AU61*ret_elec)*B61*IF(OR($A61=1931,$A61=1932),abroad_slump,1)</f>
        <v>64.6814783885407</v>
      </c>
      <c r="BC61" s="56" t="n">
        <f aca="false">(T61+W61+Z61+AF61+AN61+AO61)*champ_profit+(AV61*ret_auto+AW61*ret_chem+AX61*ret_steel)*B61*IF(OR($A61=1931,$A61=1932),abroad_slump,1)+AB61+AG61</f>
        <v>66.3950355483472</v>
      </c>
      <c r="BD61" s="56" t="n">
        <f aca="false">IF($A61&gt;=crown_start,(BB61*crown_charter+BC61*crown_comp)*crown_payout,0)</f>
        <v>10.7409862205015</v>
      </c>
      <c r="BE61" s="66" t="n">
        <f aca="false">IF(BB61+BC61&gt;0,(BB61*crown_charter+BC61*crown_comp)/(BA61),0)</f>
        <v>0.162955483926882</v>
      </c>
    </row>
    <row r="62" customFormat="false" ht="14.25" hidden="false" customHeight="false" outlineLevel="0" collapsed="false">
      <c r="A62" s="61" t="n">
        <v>1902</v>
      </c>
      <c r="B62" s="68" t="n">
        <f aca="false">champ_scale*(1+Labour!AP62)*(1+Partners!BX62)*(1-IF(union_resp=2,tariff_cut*Labour!S62,0))</f>
        <v>1.24350781875257</v>
      </c>
      <c r="C62" s="48" t="n">
        <v>2380</v>
      </c>
      <c r="D62" s="48" t="n">
        <v>550</v>
      </c>
      <c r="E62" s="48" t="n">
        <v>5040</v>
      </c>
      <c r="F62" s="50" t="n">
        <f aca="false">E62*B62</f>
        <v>6267.27940651296</v>
      </c>
      <c r="G62" s="50" t="n">
        <f aca="false">F62/Economy!B62*1000000</f>
        <v>711.109816375359</v>
      </c>
      <c r="H62" s="48" t="n">
        <v>328</v>
      </c>
      <c r="I62" s="70" t="n">
        <f aca="false">IF(H62&gt;0,G62/H62,0)</f>
        <v>2.16801773285171</v>
      </c>
      <c r="J62" s="71" t="n">
        <v>0.378</v>
      </c>
      <c r="K62" s="56" t="n">
        <f aca="false">Resources!K62*J62*B62</f>
        <v>16.4516084420965</v>
      </c>
      <c r="L62" s="48" t="n">
        <v>12</v>
      </c>
      <c r="M62" s="62" t="n">
        <v>0.411</v>
      </c>
      <c r="N62" s="48" t="n">
        <v>18</v>
      </c>
      <c r="O62" s="71" t="n">
        <v>0.558</v>
      </c>
      <c r="P62" s="56" t="n">
        <f aca="false">(IF(Gulf!E62=1,0,L62*M62)+N62)*O62*B62</f>
        <v>15.9119956851957</v>
      </c>
      <c r="Q62" s="56" t="n">
        <f aca="false">P62*oil_book</f>
        <v>111.38396979637</v>
      </c>
      <c r="R62" s="71" t="n">
        <v>1.76</v>
      </c>
      <c r="S62" s="48" t="n">
        <v>16</v>
      </c>
      <c r="T62" s="56" t="n">
        <f aca="false">R62*S62*B62</f>
        <v>35.0171801760724</v>
      </c>
      <c r="U62" s="48" t="n">
        <v>1.9</v>
      </c>
      <c r="V62" s="48" t="n">
        <v>489</v>
      </c>
      <c r="W62" s="56" t="n">
        <f aca="false">U62/1000*V62*B62</f>
        <v>1.15534311440301</v>
      </c>
      <c r="X62" s="48" t="n">
        <v>1654</v>
      </c>
      <c r="Y62" s="62" t="n">
        <v>0.05</v>
      </c>
      <c r="Z62" s="56" t="n">
        <f aca="false">X62*Y62*chem_va*B62</f>
        <v>46.2771434748769</v>
      </c>
      <c r="AA62" s="62" t="n">
        <v>0.025</v>
      </c>
      <c r="AB62" s="56" t="n">
        <f aca="false">X62*AA62*roy_rate*B62*(1-IF(union_resp=2,lic_cut*Labour!S62,0))</f>
        <v>1.54257144916256</v>
      </c>
      <c r="AC62" s="48" t="n">
        <v>492</v>
      </c>
      <c r="AD62" s="62" t="n">
        <v>0.22</v>
      </c>
      <c r="AE62" s="62" t="n">
        <v>0.329</v>
      </c>
      <c r="AF62" s="56" t="n">
        <f aca="false">AC62*AD62*elec_va*B62</f>
        <v>60.5687788358002</v>
      </c>
      <c r="AG62" s="56" t="n">
        <f aca="false">MAX(0,AE62-AD62)*AC62*roy_rate*B62*(1-IF(union_resp=2,lic_cut*Labour!S62,0))</f>
        <v>2.00060511912189</v>
      </c>
      <c r="AH62" s="55" t="n">
        <v>41</v>
      </c>
      <c r="AI62" s="56" t="n">
        <f aca="false">AH62*B62</f>
        <v>50.9838205688554</v>
      </c>
      <c r="AJ62" s="55" t="n">
        <v>36</v>
      </c>
      <c r="AK62" s="56" t="n">
        <f aca="false">AJ62*B62</f>
        <v>44.7662814750925</v>
      </c>
      <c r="AL62" s="48" t="n">
        <v>165</v>
      </c>
      <c r="AM62" s="56" t="n">
        <f aca="false">AL62*uw_fee*B62</f>
        <v>5.12946975235435</v>
      </c>
      <c r="AN62" s="55" t="n">
        <v>0</v>
      </c>
      <c r="AO62" s="55" t="n">
        <v>3</v>
      </c>
      <c r="AP62" s="56" t="n">
        <f aca="false">K62+T62+W62+Z62+AF62+AI62+AK62+AM62+AN62+AO62</f>
        <v>263.349625839551</v>
      </c>
      <c r="AQ62" s="56" t="n">
        <f aca="false">AP62*(1-1/champ_prem+champ_spill)</f>
        <v>182.881684610799</v>
      </c>
      <c r="AR62" s="66" t="n">
        <f aca="false">AP62/Economy!O62</f>
        <v>0.0542206685016466</v>
      </c>
      <c r="AS62" s="55" t="n">
        <v>330</v>
      </c>
      <c r="AT62" s="55" t="n">
        <v>87</v>
      </c>
      <c r="AU62" s="55" t="n">
        <v>72</v>
      </c>
      <c r="AV62" s="55" t="n">
        <v>0</v>
      </c>
      <c r="AW62" s="55" t="n">
        <v>10</v>
      </c>
      <c r="AX62" s="55" t="n">
        <v>499</v>
      </c>
      <c r="AY62" s="56" t="n">
        <f aca="false">Q62+(AS62+AT62+AU62+AV62+AW62+AX62)*B62</f>
        <v>1352.40477291144</v>
      </c>
      <c r="AZ62" s="56" t="n">
        <f aca="false">P62+(AS62*ret_rail+AT62*ret_tel+AU62*ret_elec+AV62*ret_auto+AW62*ret_chem+AX62*ret_steel)*B62*IF(OR($A62=1931,$A62=1932),abroad_slump,1)+AB62+AG62</f>
        <v>95.7816821685129</v>
      </c>
      <c r="BA62" s="56" t="n">
        <f aca="false">AP62*champ_profit+AZ62</f>
        <v>148.451607336423</v>
      </c>
      <c r="BB62" s="56" t="n">
        <f aca="false">(K62+AI62+AK62)*champ_profit+P62+(AS62*ret_rail+AT62*ret_tel+AU62*ret_elec)*B62*IF(OR($A62=1931,$A62=1932),abroad_slump,1)</f>
        <v>75.9560142214824</v>
      </c>
      <c r="BC62" s="56" t="n">
        <f aca="false">(T62+W62+Z62+AF62+AN62+AO62)*champ_profit+(AV62*ret_auto+AW62*ret_chem+AX62*ret_steel)*B62*IF(OR($A62=1931,$A62=1932),abroad_slump,1)+AB62+AG62</f>
        <v>71.46969916447</v>
      </c>
      <c r="BD62" s="56" t="n">
        <f aca="false">IF($A62&gt;=crown_start,(BB62*crown_charter+BC62*crown_comp)*crown_payout,0)</f>
        <v>12.3532897442641</v>
      </c>
      <c r="BE62" s="66" t="n">
        <f aca="false">IF(BB62+BC62&gt;0,(BB62*crown_charter+BC62*crown_comp)/(BA62),0)</f>
        <v>0.16642850779337</v>
      </c>
    </row>
    <row r="63" customFormat="false" ht="14.25" hidden="false" customHeight="false" outlineLevel="0" collapsed="false">
      <c r="A63" s="61" t="n">
        <v>1903</v>
      </c>
      <c r="B63" s="68" t="n">
        <f aca="false">champ_scale*(1+Labour!AP63)*(1+Partners!BX63)*(1-IF(union_resp=2,tariff_cut*Labour!S63,0))</f>
        <v>1.25587181374003</v>
      </c>
      <c r="C63" s="48" t="n">
        <v>2580</v>
      </c>
      <c r="D63" s="48" t="n">
        <v>570</v>
      </c>
      <c r="E63" s="48" t="n">
        <v>5310</v>
      </c>
      <c r="F63" s="50" t="n">
        <f aca="false">E63*B63</f>
        <v>6668.67933095954</v>
      </c>
      <c r="G63" s="50" t="n">
        <f aca="false">F63/Economy!B63*1000000</f>
        <v>718.170131882947</v>
      </c>
      <c r="H63" s="48" t="n">
        <v>330</v>
      </c>
      <c r="I63" s="70" t="n">
        <f aca="false">IF(H63&gt;0,G63/H63,0)</f>
        <v>2.17627312691802</v>
      </c>
      <c r="J63" s="71" t="n">
        <v>0.385</v>
      </c>
      <c r="K63" s="56" t="n">
        <f aca="false">Resources!K63*J63*B63</f>
        <v>19.3404259315964</v>
      </c>
      <c r="L63" s="48" t="n">
        <v>20</v>
      </c>
      <c r="M63" s="62" t="n">
        <v>0.422</v>
      </c>
      <c r="N63" s="48" t="n">
        <v>20</v>
      </c>
      <c r="O63" s="71" t="n">
        <v>0.562</v>
      </c>
      <c r="P63" s="56" t="n">
        <f aca="false">(IF(Gulf!E63=1,0,L63*M63)+N63)*O63*B63</f>
        <v>20.0729508431147</v>
      </c>
      <c r="Q63" s="56" t="n">
        <f aca="false">P63*oil_book</f>
        <v>140.510655901803</v>
      </c>
      <c r="R63" s="71" t="n">
        <v>1.94</v>
      </c>
      <c r="S63" s="48" t="n">
        <v>16</v>
      </c>
      <c r="T63" s="56" t="n">
        <f aca="false">R63*S63*B63</f>
        <v>38.9822610984904</v>
      </c>
      <c r="U63" s="48" t="n">
        <v>2.6</v>
      </c>
      <c r="V63" s="48" t="n">
        <v>483</v>
      </c>
      <c r="W63" s="56" t="n">
        <f aca="false">U63/1000*V63*B63</f>
        <v>1.57712382369473</v>
      </c>
      <c r="X63" s="48" t="n">
        <v>1731</v>
      </c>
      <c r="Y63" s="62" t="n">
        <v>0.053</v>
      </c>
      <c r="Z63" s="56" t="n">
        <f aca="false">X63*Y63*chem_va*B63</f>
        <v>51.8478515135781</v>
      </c>
      <c r="AA63" s="62" t="n">
        <v>0.027</v>
      </c>
      <c r="AB63" s="56" t="n">
        <f aca="false">X63*AA63*roy_rate*B63*(1-IF(union_resp=2,lic_cut*Labour!S63,0))</f>
        <v>1.76087042876303</v>
      </c>
      <c r="AC63" s="48" t="n">
        <v>538</v>
      </c>
      <c r="AD63" s="62" t="n">
        <v>0.22</v>
      </c>
      <c r="AE63" s="62" t="n">
        <v>0.334</v>
      </c>
      <c r="AF63" s="56" t="n">
        <f aca="false">AC63*AD63*elec_va*B63</f>
        <v>66.8902445434213</v>
      </c>
      <c r="AG63" s="56" t="n">
        <f aca="false">MAX(0,AE63-AD63)*AC63*roy_rate*B63*(1-IF(union_resp=2,lic_cut*Labour!S63,0))</f>
        <v>2.3107539024091</v>
      </c>
      <c r="AH63" s="55" t="n">
        <v>45</v>
      </c>
      <c r="AI63" s="56" t="n">
        <f aca="false">AH63*B63</f>
        <v>56.5142316183012</v>
      </c>
      <c r="AJ63" s="55" t="n">
        <v>39</v>
      </c>
      <c r="AK63" s="56" t="n">
        <f aca="false">AJ63*B63</f>
        <v>48.9790007358611</v>
      </c>
      <c r="AL63" s="48" t="n">
        <v>208</v>
      </c>
      <c r="AM63" s="56" t="n">
        <f aca="false">AL63*uw_fee*B63</f>
        <v>6.53053343144814</v>
      </c>
      <c r="AN63" s="55" t="n">
        <v>0</v>
      </c>
      <c r="AO63" s="55" t="n">
        <v>4</v>
      </c>
      <c r="AP63" s="56" t="n">
        <f aca="false">K63+T63+W63+Z63+AF63+AI63+AK63+AM63+AN63+AO63</f>
        <v>294.661672696391</v>
      </c>
      <c r="AQ63" s="56" t="n">
        <f aca="false">AP63*(1-1/champ_prem+champ_spill)</f>
        <v>204.626161594716</v>
      </c>
      <c r="AR63" s="66" t="n">
        <f aca="false">AP63/Economy!O63</f>
        <v>0.0553413772875862</v>
      </c>
      <c r="AS63" s="55" t="n">
        <v>370</v>
      </c>
      <c r="AT63" s="55" t="n">
        <v>95</v>
      </c>
      <c r="AU63" s="55" t="n">
        <v>88</v>
      </c>
      <c r="AV63" s="55" t="n">
        <v>0</v>
      </c>
      <c r="AW63" s="55" t="n">
        <v>13</v>
      </c>
      <c r="AX63" s="55" t="n">
        <v>508</v>
      </c>
      <c r="AY63" s="56" t="n">
        <f aca="false">Q63+(AS63+AT63+AU63+AV63+AW63+AX63)*B63</f>
        <v>1489.31698385859</v>
      </c>
      <c r="AZ63" s="56" t="n">
        <f aca="false">P63+(AS63*ret_rail+AT63*ret_tel+AU63*ret_elec+AV63*ret_auto+AW63*ret_chem+AX63*ret_steel)*B63*IF(OR($A63=1931,$A63=1932),abroad_slump,1)+AB63+AG63</f>
        <v>107.283289243877</v>
      </c>
      <c r="BA63" s="56" t="n">
        <f aca="false">AP63*champ_profit+AZ63</f>
        <v>166.215623783155</v>
      </c>
      <c r="BB63" s="56" t="n">
        <f aca="false">(K63+AI63+AK63)*champ_profit+P63+(AS63*ret_rail+AT63*ret_tel+AU63*ret_elec)*B63*IF(OR($A63=1931,$A63=1932),abroad_slump,1)</f>
        <v>87.9402636576258</v>
      </c>
      <c r="BC63" s="56" t="n">
        <f aca="false">(T63+W63+Z63+AF63+AN63+AO63)*champ_profit+(AV63*ret_auto+AW63*ret_chem+AX63*ret_steel)*B63*IF(OR($A63=1931,$A63=1932),abroad_slump,1)+AB63+AG63</f>
        <v>76.9692534392395</v>
      </c>
      <c r="BD63" s="56" t="n">
        <f aca="false">IF($A63&gt;=crown_start,(BB63*crown_charter+BC63*crown_comp)*crown_payout,0)</f>
        <v>14.0713030947728</v>
      </c>
      <c r="BE63" s="66" t="n">
        <f aca="false">IF(BB63+BC63&gt;0,(BB63*crown_charter+BC63*crown_comp)/(BA63),0)</f>
        <v>0.169313843963673</v>
      </c>
    </row>
    <row r="64" customFormat="false" ht="14.25" hidden="false" customHeight="false" outlineLevel="0" collapsed="false">
      <c r="A64" s="61" t="n">
        <v>1904</v>
      </c>
      <c r="B64" s="68" t="n">
        <f aca="false">champ_scale*(1+Labour!AP64)*(1+Partners!BX64)*(1-IF(union_resp=2,tariff_cut*Labour!S64,0))</f>
        <v>1.26062992001407</v>
      </c>
      <c r="C64" s="48" t="n">
        <v>2770</v>
      </c>
      <c r="D64" s="48" t="n">
        <v>590</v>
      </c>
      <c r="E64" s="48" t="n">
        <v>5580</v>
      </c>
      <c r="F64" s="50" t="n">
        <f aca="false">E64*B64</f>
        <v>7034.31495367851</v>
      </c>
      <c r="G64" s="50" t="n">
        <f aca="false">F64/Economy!B64*1000000</f>
        <v>718.686796925936</v>
      </c>
      <c r="H64" s="48" t="n">
        <v>332</v>
      </c>
      <c r="I64" s="70" t="n">
        <f aca="false">IF(H64&gt;0,G64/H64,0)</f>
        <v>2.1647192678492</v>
      </c>
      <c r="J64" s="71" t="n">
        <v>0.391</v>
      </c>
      <c r="K64" s="56" t="n">
        <f aca="false">Resources!K64*J64*B64</f>
        <v>22.1807834426475</v>
      </c>
      <c r="L64" s="48" t="n">
        <v>35</v>
      </c>
      <c r="M64" s="62" t="n">
        <v>0.433</v>
      </c>
      <c r="N64" s="48" t="n">
        <v>21</v>
      </c>
      <c r="O64" s="71" t="n">
        <v>0.565</v>
      </c>
      <c r="P64" s="56" t="n">
        <f aca="false">(IF(Gulf!E64=1,0,L64*M64)+N64)*O64*B64</f>
        <v>25.7516122383314</v>
      </c>
      <c r="Q64" s="56" t="n">
        <f aca="false">P64*oil_book</f>
        <v>180.26128566832</v>
      </c>
      <c r="R64" s="71" t="n">
        <v>2.12</v>
      </c>
      <c r="S64" s="48" t="n">
        <v>17</v>
      </c>
      <c r="T64" s="56" t="n">
        <f aca="false">R64*S64*B64</f>
        <v>45.433102317307</v>
      </c>
      <c r="U64" s="48" t="n">
        <v>3.3</v>
      </c>
      <c r="V64" s="48" t="n">
        <v>478</v>
      </c>
      <c r="W64" s="56" t="n">
        <f aca="false">U64/1000*V64*B64</f>
        <v>1.98851763583019</v>
      </c>
      <c r="X64" s="48" t="n">
        <v>1808</v>
      </c>
      <c r="Y64" s="62" t="n">
        <v>0.056</v>
      </c>
      <c r="Z64" s="56" t="n">
        <f aca="false">X64*Y64*chem_va*B64</f>
        <v>57.436316163713</v>
      </c>
      <c r="AA64" s="62" t="n">
        <v>0.029</v>
      </c>
      <c r="AB64" s="56" t="n">
        <f aca="false">X64*AA64*roy_rate*B64*(1-IF(union_resp=2,lic_cut*Labour!S64,0))</f>
        <v>1.89793813445739</v>
      </c>
      <c r="AC64" s="48" t="n">
        <v>585</v>
      </c>
      <c r="AD64" s="62" t="n">
        <v>0.22</v>
      </c>
      <c r="AE64" s="62" t="n">
        <v>0.338</v>
      </c>
      <c r="AF64" s="56" t="n">
        <f aca="false">AC64*AD64*elec_va*B64</f>
        <v>73.0093818176148</v>
      </c>
      <c r="AG64" s="56" t="n">
        <f aca="false">MAX(0,AE64-AD64)*AC64*roy_rate*B64*(1-IF(union_resp=2,lic_cut*Labour!S64,0))</f>
        <v>2.49875399415612</v>
      </c>
      <c r="AH64" s="55" t="n">
        <v>50</v>
      </c>
      <c r="AI64" s="56" t="n">
        <f aca="false">AH64*B64</f>
        <v>63.0314960007035</v>
      </c>
      <c r="AJ64" s="55" t="n">
        <v>42</v>
      </c>
      <c r="AK64" s="56" t="n">
        <f aca="false">AJ64*B64</f>
        <v>52.9464566405909</v>
      </c>
      <c r="AL64" s="48" t="n">
        <v>250</v>
      </c>
      <c r="AM64" s="56" t="n">
        <f aca="false">AL64*uw_fee*B64</f>
        <v>7.87893700008793</v>
      </c>
      <c r="AN64" s="55" t="n">
        <v>0</v>
      </c>
      <c r="AO64" s="55" t="n">
        <v>5</v>
      </c>
      <c r="AP64" s="56" t="n">
        <f aca="false">K64+T64+W64+Z64+AF64+AI64+AK64+AM64+AN64+AO64</f>
        <v>328.904991018495</v>
      </c>
      <c r="AQ64" s="56" t="n">
        <f aca="false">AP64*(1-1/champ_prem+champ_spill)</f>
        <v>228.406243762844</v>
      </c>
      <c r="AR64" s="66" t="n">
        <f aca="false">AP64/Economy!O64</f>
        <v>0.0563690561840728</v>
      </c>
      <c r="AS64" s="55" t="n">
        <v>410</v>
      </c>
      <c r="AT64" s="55" t="n">
        <v>104</v>
      </c>
      <c r="AU64" s="55" t="n">
        <v>105</v>
      </c>
      <c r="AV64" s="55" t="n">
        <v>0</v>
      </c>
      <c r="AW64" s="55" t="n">
        <v>16</v>
      </c>
      <c r="AX64" s="55" t="n">
        <v>518</v>
      </c>
      <c r="AY64" s="56" t="n">
        <f aca="false">Q64+(AS64+AT64+AU64+AV64+AW64+AX64)*B64</f>
        <v>1633.76758344454</v>
      </c>
      <c r="AZ64" s="56" t="n">
        <f aca="false">P64+(AS64*ret_rail+AT64*ret_tel+AU64*ret_elec+AV64*ret_auto+AW64*ret_chem+AX64*ret_steel)*B64*IF(OR($A64=1931,$A64=1932),abroad_slump,1)+AB64+AG64</f>
        <v>119.968186167947</v>
      </c>
      <c r="BA64" s="56" t="n">
        <f aca="false">AP64*champ_profit+AZ64</f>
        <v>185.749184371646</v>
      </c>
      <c r="BB64" s="56" t="n">
        <f aca="false">(K64+AI64+AK64)*champ_profit+P64+(AS64*ret_rail+AT64*ret_tel+AU64*ret_elec)*B64*IF(OR($A64=1931,$A64=1932),abroad_slump,1)</f>
        <v>101.602453895658</v>
      </c>
      <c r="BC64" s="56" t="n">
        <f aca="false">(T64+W64+Z64+AF64+AN64+AO64)*champ_profit+(AV64*ret_auto+AW64*ret_chem+AX64*ret_steel)*B64*IF(OR($A64=1931,$A64=1932),abroad_slump,1)+AB64+AG64</f>
        <v>82.5709430759708</v>
      </c>
      <c r="BD64" s="56" t="n">
        <f aca="false">IF($A64&gt;=crown_start,(BB64*crown_charter+BC64*crown_comp)*crown_payout,0)</f>
        <v>16.0031444599961</v>
      </c>
      <c r="BE64" s="66" t="n">
        <f aca="false">IF(BB64+BC64&gt;0,(BB64*crown_charter+BC64*crown_comp)/(BA64),0)</f>
        <v>0.172309176098206</v>
      </c>
    </row>
    <row r="65" customFormat="false" ht="14.25" hidden="false" customHeight="false" outlineLevel="0" collapsed="false">
      <c r="A65" s="61" t="n">
        <v>1905</v>
      </c>
      <c r="B65" s="68" t="n">
        <f aca="false">champ_scale*(1+Labour!AP65)*(1+Partners!BX65)*(1-IF(union_resp=2,tariff_cut*Labour!S65,0))</f>
        <v>1.26507616649967</v>
      </c>
      <c r="C65" s="48" t="n">
        <v>2960</v>
      </c>
      <c r="D65" s="48" t="n">
        <v>620</v>
      </c>
      <c r="E65" s="48" t="n">
        <v>5850</v>
      </c>
      <c r="F65" s="50" t="n">
        <f aca="false">E65*B65</f>
        <v>7400.69557402307</v>
      </c>
      <c r="G65" s="50" t="n">
        <f aca="false">F65/Economy!B65*1000000</f>
        <v>717.361590364486</v>
      </c>
      <c r="H65" s="48" t="n">
        <v>334</v>
      </c>
      <c r="I65" s="70" t="n">
        <f aca="false">IF(H65&gt;0,G65/H65,0)</f>
        <v>2.14778919270804</v>
      </c>
      <c r="J65" s="71" t="n">
        <v>0.398</v>
      </c>
      <c r="K65" s="56" t="n">
        <f aca="false">Resources!K65*J65*B65</f>
        <v>25.1750157133435</v>
      </c>
      <c r="L65" s="48" t="n">
        <v>50</v>
      </c>
      <c r="M65" s="62" t="n">
        <v>0.444</v>
      </c>
      <c r="N65" s="48" t="n">
        <v>23</v>
      </c>
      <c r="O65" s="71" t="n">
        <v>0.569</v>
      </c>
      <c r="P65" s="56" t="n">
        <f aca="false">(IF(Gulf!E65=1,0,L65*M65)+N65)*O65*B65</f>
        <v>32.5362409109717</v>
      </c>
      <c r="Q65" s="56" t="n">
        <f aca="false">P65*oil_book</f>
        <v>227.753686376802</v>
      </c>
      <c r="R65" s="71" t="n">
        <v>2.3</v>
      </c>
      <c r="S65" s="48" t="n">
        <v>17</v>
      </c>
      <c r="T65" s="56" t="n">
        <f aca="false">R65*S65*B65</f>
        <v>49.4644781101371</v>
      </c>
      <c r="U65" s="48" t="n">
        <v>4</v>
      </c>
      <c r="V65" s="48" t="n">
        <v>472</v>
      </c>
      <c r="W65" s="56" t="n">
        <f aca="false">U65/1000*V65*B65</f>
        <v>2.38846380235138</v>
      </c>
      <c r="X65" s="48" t="n">
        <v>1885</v>
      </c>
      <c r="Y65" s="62" t="n">
        <v>0.058</v>
      </c>
      <c r="Z65" s="56" t="n">
        <f aca="false">X65*Y65*chem_va*B65</f>
        <v>62.2398497775341</v>
      </c>
      <c r="AA65" s="62" t="n">
        <v>0.032</v>
      </c>
      <c r="AB65" s="56" t="n">
        <f aca="false">X65*AA65*roy_rate*B65*(1-IF(union_resp=2,lic_cut*Labour!S65,0))</f>
        <v>2.09305767396371</v>
      </c>
      <c r="AC65" s="48" t="n">
        <v>631</v>
      </c>
      <c r="AD65" s="62" t="n">
        <v>0.22</v>
      </c>
      <c r="AE65" s="62" t="n">
        <v>0.343</v>
      </c>
      <c r="AF65" s="56" t="n">
        <f aca="false">AC65*AD65*elec_va*B65</f>
        <v>79.0280430450679</v>
      </c>
      <c r="AG65" s="56" t="n">
        <f aca="false">MAX(0,AE65-AD65)*AC65*roy_rate*B65*(1-IF(union_resp=2,lic_cut*Labour!S65,0))</f>
        <v>2.6931114928605</v>
      </c>
      <c r="AH65" s="55" t="n">
        <v>54</v>
      </c>
      <c r="AI65" s="56" t="n">
        <f aca="false">AH65*B65</f>
        <v>68.3141129909822</v>
      </c>
      <c r="AJ65" s="55" t="n">
        <v>45</v>
      </c>
      <c r="AK65" s="56" t="n">
        <f aca="false">AJ65*B65</f>
        <v>56.9284274924852</v>
      </c>
      <c r="AL65" s="48" t="n">
        <v>300</v>
      </c>
      <c r="AM65" s="56" t="n">
        <f aca="false">AL65*uw_fee*B65</f>
        <v>9.48807124874753</v>
      </c>
      <c r="AN65" s="55" t="n">
        <v>0</v>
      </c>
      <c r="AO65" s="55" t="n">
        <v>6</v>
      </c>
      <c r="AP65" s="56" t="n">
        <f aca="false">K65+T65+W65+Z65+AF65+AI65+AK65+AM65+AN65+AO65</f>
        <v>359.026462180649</v>
      </c>
      <c r="AQ65" s="56" t="n">
        <f aca="false">AP65*(1-1/champ_prem+champ_spill)</f>
        <v>249.323932069895</v>
      </c>
      <c r="AR65" s="66" t="n">
        <f aca="false">AP65/Economy!O65</f>
        <v>0.0563115578417746</v>
      </c>
      <c r="AS65" s="55" t="n">
        <v>450</v>
      </c>
      <c r="AT65" s="55" t="n">
        <v>112</v>
      </c>
      <c r="AU65" s="55" t="n">
        <v>121</v>
      </c>
      <c r="AV65" s="55" t="n">
        <v>0</v>
      </c>
      <c r="AW65" s="55" t="n">
        <v>18</v>
      </c>
      <c r="AX65" s="55" t="n">
        <v>527</v>
      </c>
      <c r="AY65" s="56" t="n">
        <f aca="false">Q65+(AS65+AT65+AU65+AV65+AW65+AX65)*B65</f>
        <v>1781.2672188384</v>
      </c>
      <c r="AZ65" s="56" t="n">
        <f aca="false">P65+(AS65*ret_rail+AT65*ret_tel+AU65*ret_elec+AV65*ret_auto+AW65*ret_chem+AX65*ret_steel)*B65*IF(OR($A65=1931,$A65=1932),abroad_slump,1)+AB65+AG65</f>
        <v>133.404944923446</v>
      </c>
      <c r="BA65" s="56" t="n">
        <f aca="false">AP65*champ_profit+AZ65</f>
        <v>205.210237359576</v>
      </c>
      <c r="BB65" s="56" t="n">
        <f aca="false">(K65+AI65+AK65)*champ_profit+P65+(AS65*ret_rail+AT65*ret_tel+AU65*ret_elec)*B65*IF(OR($A65=1931,$A65=1932),abroad_slump,1)</f>
        <v>115.968014091625</v>
      </c>
      <c r="BC65" s="56" t="n">
        <f aca="false">(T65+W65+Z65+AF65+AN65+AO65)*champ_profit+(AV65*ret_auto+AW65*ret_chem+AX65*ret_steel)*B65*IF(OR($A65=1931,$A65=1932),abroad_slump,1)+AB65+AG65</f>
        <v>87.3446090182012</v>
      </c>
      <c r="BD65" s="56" t="n">
        <f aca="false">IF($A65&gt;=crown_start,(BB65*crown_charter+BC65*crown_comp)*crown_payout,0)</f>
        <v>17.9897861221812</v>
      </c>
      <c r="BE65" s="66" t="n">
        <f aca="false">IF(BB65+BC65&gt;0,(BB65*crown_charter+BC65*crown_comp)/(BA65),0)</f>
        <v>0.175330298855012</v>
      </c>
    </row>
    <row r="66" customFormat="false" ht="14.25" hidden="false" customHeight="false" outlineLevel="0" collapsed="false">
      <c r="A66" s="61" t="n">
        <v>1906</v>
      </c>
      <c r="B66" s="68" t="n">
        <f aca="false">champ_scale*(1+Labour!AP66)*(1+Partners!BX66)*(1-IF(union_resp=2,tariff_cut*Labour!S66,0))</f>
        <v>1.26925599631895</v>
      </c>
      <c r="C66" s="48" t="n">
        <v>3150</v>
      </c>
      <c r="D66" s="48" t="n">
        <v>640</v>
      </c>
      <c r="E66" s="48" t="n">
        <v>6120</v>
      </c>
      <c r="F66" s="50" t="n">
        <f aca="false">E66*B66</f>
        <v>7767.846697472</v>
      </c>
      <c r="G66" s="50" t="n">
        <f aca="false">F66/Economy!B66*1000000</f>
        <v>714.616419347561</v>
      </c>
      <c r="H66" s="48" t="n">
        <v>336</v>
      </c>
      <c r="I66" s="70" t="n">
        <f aca="false">IF(H66&gt;0,G66/H66,0)</f>
        <v>2.12683458139155</v>
      </c>
      <c r="J66" s="71" t="n">
        <v>0.404</v>
      </c>
      <c r="K66" s="56" t="n">
        <f aca="false">Resources!K66*J66*B66</f>
        <v>28.2028682382072</v>
      </c>
      <c r="L66" s="48" t="n">
        <v>58</v>
      </c>
      <c r="M66" s="62" t="n">
        <v>0.456</v>
      </c>
      <c r="N66" s="48" t="n">
        <v>24</v>
      </c>
      <c r="O66" s="71" t="n">
        <v>0.573</v>
      </c>
      <c r="P66" s="56" t="n">
        <f aca="false">(IF(Gulf!E66=1,0,L66*M66)+N66)*O66*B66</f>
        <v>36.6900073858171</v>
      </c>
      <c r="Q66" s="56" t="n">
        <f aca="false">P66*oil_book</f>
        <v>256.83005170072</v>
      </c>
      <c r="R66" s="71" t="n">
        <v>2.512</v>
      </c>
      <c r="S66" s="48" t="n">
        <v>17</v>
      </c>
      <c r="T66" s="56" t="n">
        <f aca="false">R66*S66*B66</f>
        <v>54.2023080668046</v>
      </c>
      <c r="U66" s="48" t="n">
        <v>10.5</v>
      </c>
      <c r="V66" s="48" t="n">
        <v>467</v>
      </c>
      <c r="W66" s="56" t="n">
        <f aca="false">U66/1000*V66*B66</f>
        <v>6.22379677794999</v>
      </c>
      <c r="X66" s="48" t="n">
        <v>1962</v>
      </c>
      <c r="Y66" s="62" t="n">
        <v>0.061</v>
      </c>
      <c r="Z66" s="56" t="n">
        <f aca="false">X66*Y66*chem_va*B66</f>
        <v>68.3581932681503</v>
      </c>
      <c r="AA66" s="62" t="n">
        <v>0.034</v>
      </c>
      <c r="AB66" s="56" t="n">
        <f aca="false">X66*AA66*roy_rate*B66*(1-IF(union_resp=2,lic_cut*Labour!S66,0))</f>
        <v>2.21350340106391</v>
      </c>
      <c r="AC66" s="48" t="n">
        <v>677</v>
      </c>
      <c r="AD66" s="62" t="n">
        <v>0.22</v>
      </c>
      <c r="AE66" s="62" t="n">
        <v>0.348</v>
      </c>
      <c r="AF66" s="56" t="n">
        <f aca="false">AC66*AD66*elec_va*B66</f>
        <v>85.0693446412853</v>
      </c>
      <c r="AG66" s="56" t="n">
        <f aca="false">MAX(0,AE66-AD66)*AC66*roy_rate*B66*(1-IF(union_resp=2,lic_cut*Labour!S66,0))</f>
        <v>2.87541750198768</v>
      </c>
      <c r="AH66" s="55" t="n">
        <v>59</v>
      </c>
      <c r="AI66" s="56" t="n">
        <f aca="false">AH66*B66</f>
        <v>74.8861037828183</v>
      </c>
      <c r="AJ66" s="55" t="n">
        <v>48</v>
      </c>
      <c r="AK66" s="56" t="n">
        <f aca="false">AJ66*B66</f>
        <v>60.9242878233098</v>
      </c>
      <c r="AL66" s="48" t="n">
        <v>120</v>
      </c>
      <c r="AM66" s="56" t="n">
        <f aca="false">AL66*uw_fee*B66</f>
        <v>3.80776798895686</v>
      </c>
      <c r="AN66" s="55" t="n">
        <v>0</v>
      </c>
      <c r="AO66" s="55" t="n">
        <v>6</v>
      </c>
      <c r="AP66" s="56" t="n">
        <f aca="false">K66+T66+W66+Z66+AF66+AI66+AK66+AM66+AN66+AO66</f>
        <v>387.674670587482</v>
      </c>
      <c r="AQ66" s="56" t="n">
        <f aca="false">AP66*(1-1/champ_prem+champ_spill)</f>
        <v>269.218521241307</v>
      </c>
      <c r="AR66" s="66" t="n">
        <f aca="false">AP66/Economy!O66</f>
        <v>0.054921559214445</v>
      </c>
      <c r="AS66" s="55" t="n">
        <v>506</v>
      </c>
      <c r="AT66" s="55" t="n">
        <v>121</v>
      </c>
      <c r="AU66" s="55" t="n">
        <v>137</v>
      </c>
      <c r="AV66" s="55" t="n">
        <v>0</v>
      </c>
      <c r="AW66" s="55" t="n">
        <v>21</v>
      </c>
      <c r="AX66" s="55" t="n">
        <v>536</v>
      </c>
      <c r="AY66" s="56" t="n">
        <f aca="false">Q66+(AS66+AT66+AU66+AV66+AW66+AX66)*B66</f>
        <v>1933.51722283806</v>
      </c>
      <c r="AZ66" s="56" t="n">
        <f aca="false">P66+(AS66*ret_rail+AT66*ret_tel+AU66*ret_elec+AV66*ret_auto+AW66*ret_chem+AX66*ret_steel)*B66*IF(OR($A66=1931,$A66=1932),abroad_slump,1)+AB66+AG66</f>
        <v>145.439065508238</v>
      </c>
      <c r="BA66" s="56" t="n">
        <f aca="false">AP66*champ_profit+AZ66</f>
        <v>222.973999625734</v>
      </c>
      <c r="BB66" s="56" t="n">
        <f aca="false">(K66+AI66+AK66)*champ_profit+P66+(AS66*ret_rail+AT66*ret_tel+AU66*ret_elec)*B66*IF(OR($A66=1931,$A66=1932),abroad_slump,1)</f>
        <v>129.134998621712</v>
      </c>
      <c r="BC66" s="56" t="n">
        <f aca="false">(T66+W66+Z66+AF66+AN66+AO66)*champ_profit+(AV66*ret_auto+AW66*ret_chem+AX66*ret_steel)*B66*IF(OR($A66=1931,$A66=1932),abroad_slump,1)+AB66+AG66</f>
        <v>93.077447406231</v>
      </c>
      <c r="BD66" s="56" t="n">
        <f aca="false">IF($A66&gt;=crown_start,(BB66*crown_charter+BC66*crown_comp)*crown_payout,0)</f>
        <v>19.8649727239632</v>
      </c>
      <c r="BE66" s="66" t="n">
        <f aca="false">IF(BB66+BC66&gt;0,(BB66*crown_charter+BC66*crown_comp)/(BA66),0)</f>
        <v>0.178181965227398</v>
      </c>
    </row>
    <row r="67" customFormat="false" ht="14.25" hidden="false" customHeight="false" outlineLevel="0" collapsed="false">
      <c r="A67" s="61" t="n">
        <v>1907</v>
      </c>
      <c r="B67" s="68" t="n">
        <f aca="false">champ_scale*(1+Labour!AP67)*(1+Partners!BX67)*(1-IF(union_resp=2,tariff_cut*Labour!S67,0))</f>
        <v>1.27326727915871</v>
      </c>
      <c r="C67" s="48" t="n">
        <v>3350</v>
      </c>
      <c r="D67" s="48" t="n">
        <v>660</v>
      </c>
      <c r="E67" s="48" t="n">
        <v>6380</v>
      </c>
      <c r="F67" s="50" t="n">
        <f aca="false">E67*B67</f>
        <v>8123.44524103257</v>
      </c>
      <c r="G67" s="50" t="n">
        <f aca="false">F67/Economy!B67*1000000</f>
        <v>709.733286072627</v>
      </c>
      <c r="H67" s="48" t="n">
        <v>337</v>
      </c>
      <c r="I67" s="70" t="n">
        <f aca="false">IF(H67&gt;0,G67/H67,0)</f>
        <v>2.10603348982975</v>
      </c>
      <c r="J67" s="71" t="n">
        <v>0.411</v>
      </c>
      <c r="K67" s="56" t="n">
        <f aca="false">Resources!K67*J67*B67</f>
        <v>31.3987711040538</v>
      </c>
      <c r="L67" s="48" t="n">
        <v>67</v>
      </c>
      <c r="M67" s="62" t="n">
        <v>0.467</v>
      </c>
      <c r="N67" s="48" t="n">
        <v>26</v>
      </c>
      <c r="O67" s="71" t="n">
        <v>0.577</v>
      </c>
      <c r="P67" s="56" t="n">
        <f aca="false">(IF(Gulf!E67=1,0,L67*M67)+N67)*O67*B67</f>
        <v>42.0888086828524</v>
      </c>
      <c r="Q67" s="56" t="n">
        <f aca="false">P67*oil_book</f>
        <v>294.621660779967</v>
      </c>
      <c r="R67" s="71" t="n">
        <v>2.725</v>
      </c>
      <c r="S67" s="48" t="n">
        <v>17</v>
      </c>
      <c r="T67" s="56" t="n">
        <f aca="false">R67*S67*B67</f>
        <v>58.9841067070273</v>
      </c>
      <c r="U67" s="48" t="n">
        <v>17</v>
      </c>
      <c r="V67" s="48" t="n">
        <v>461</v>
      </c>
      <c r="W67" s="56" t="n">
        <f aca="false">U67/1000*V67*B67</f>
        <v>9.97859566676681</v>
      </c>
      <c r="X67" s="48" t="n">
        <v>2038</v>
      </c>
      <c r="Y67" s="62" t="n">
        <v>0.064</v>
      </c>
      <c r="Z67" s="56" t="n">
        <f aca="false">X67*Y67*chem_va*B67</f>
        <v>74.733658989853</v>
      </c>
      <c r="AA67" s="62" t="n">
        <v>0.036</v>
      </c>
      <c r="AB67" s="56" t="n">
        <f aca="false">X67*AA67*roy_rate*B67*(1-IF(union_resp=2,lic_cut*Labour!S67,0))</f>
        <v>2.32208154718472</v>
      </c>
      <c r="AC67" s="48" t="n">
        <v>723</v>
      </c>
      <c r="AD67" s="62" t="n">
        <v>0.22</v>
      </c>
      <c r="AE67" s="62" t="n">
        <v>0.352</v>
      </c>
      <c r="AF67" s="56" t="n">
        <f aca="false">AC67*AD67*elec_va*B67</f>
        <v>91.136652040343</v>
      </c>
      <c r="AG67" s="56" t="n">
        <f aca="false">MAX(0,AE67-AD67)*AC67*roy_rate*B67*(1-IF(union_resp=2,lic_cut*Labour!S67,0))</f>
        <v>3.02052903905137</v>
      </c>
      <c r="AH67" s="55" t="n">
        <v>63</v>
      </c>
      <c r="AI67" s="56" t="n">
        <f aca="false">AH67*B67</f>
        <v>80.2158385869987</v>
      </c>
      <c r="AJ67" s="55" t="n">
        <v>52</v>
      </c>
      <c r="AK67" s="56" t="n">
        <f aca="false">AJ67*B67</f>
        <v>66.2098985162529</v>
      </c>
      <c r="AL67" s="48" t="n">
        <v>131</v>
      </c>
      <c r="AM67" s="56" t="n">
        <f aca="false">AL67*uw_fee*B67</f>
        <v>4.16995033924478</v>
      </c>
      <c r="AN67" s="55" t="n">
        <v>0</v>
      </c>
      <c r="AO67" s="55" t="n">
        <v>7</v>
      </c>
      <c r="AP67" s="56" t="n">
        <f aca="false">K67+T67+W67+Z67+AF67+AI67+AK67+AM67+AN67+AO67</f>
        <v>423.82747195054</v>
      </c>
      <c r="AQ67" s="56" t="n">
        <f aca="false">AP67*(1-1/champ_prem+champ_spill)</f>
        <v>294.324633298986</v>
      </c>
      <c r="AR67" s="66" t="n">
        <f aca="false">AP67/Economy!O67</f>
        <v>0.0551222635346807</v>
      </c>
      <c r="AS67" s="55" t="n">
        <v>562</v>
      </c>
      <c r="AT67" s="55" t="n">
        <v>129</v>
      </c>
      <c r="AU67" s="55" t="n">
        <v>153</v>
      </c>
      <c r="AV67" s="55" t="n">
        <v>0</v>
      </c>
      <c r="AW67" s="55" t="n">
        <v>24</v>
      </c>
      <c r="AX67" s="55" t="n">
        <v>545</v>
      </c>
      <c r="AY67" s="56" t="n">
        <f aca="false">Q67+(AS67+AT67+AU67+AV67+AW67+AX67)*B67</f>
        <v>2093.74832623122</v>
      </c>
      <c r="AZ67" s="56" t="n">
        <f aca="false">P67+(AS67*ret_rail+AT67*ret_tel+AU67*ret_elec+AV67*ret_auto+AW67*ret_chem+AX67*ret_steel)*B67*IF(OR($A67=1931,$A67=1932),abroad_slump,1)+AB67+AG67</f>
        <v>158.574920066852</v>
      </c>
      <c r="BA67" s="56" t="n">
        <f aca="false">AP67*champ_profit+AZ67</f>
        <v>243.34041445696</v>
      </c>
      <c r="BB67" s="56" t="n">
        <f aca="false">(K67+AI67+AK67)*champ_profit+P67+(AS67*ret_rail+AT67*ret_tel+AU67*ret_elec)*B67*IF(OR($A67=1931,$A67=1932),abroad_slump,1)</f>
        <v>143.49436132961</v>
      </c>
      <c r="BC67" s="56" t="n">
        <f aca="false">(T67+W67+Z67+AF67+AN67+AO67)*champ_profit+(AV67*ret_auto+AW67*ret_chem+AX67*ret_steel)*B67*IF(OR($A67=1931,$A67=1932),abroad_slump,1)+AB67+AG67</f>
        <v>99.012063059501</v>
      </c>
      <c r="BD67" s="56" t="n">
        <f aca="false">IF($A67&gt;=crown_start,(BB67*crown_charter+BC67*crown_comp)*crown_payout,0)</f>
        <v>21.8972776885813</v>
      </c>
      <c r="BE67" s="66" t="n">
        <f aca="false">IF(BB67+BC67&gt;0,(BB67*crown_charter+BC67*crown_comp)/(BA67),0)</f>
        <v>0.179972387549741</v>
      </c>
    </row>
    <row r="68" customFormat="false" ht="14.25" hidden="false" customHeight="false" outlineLevel="0" collapsed="false">
      <c r="A68" s="61" t="n">
        <v>1908</v>
      </c>
      <c r="B68" s="68" t="n">
        <f aca="false">champ_scale*(1+Labour!AP68)*(1+Partners!BX68)*(1-IF(union_resp=2,tariff_cut*Labour!S68,0))</f>
        <v>1.27632031269708</v>
      </c>
      <c r="C68" s="48" t="n">
        <v>3540</v>
      </c>
      <c r="D68" s="48" t="n">
        <v>680</v>
      </c>
      <c r="E68" s="48" t="n">
        <v>6650</v>
      </c>
      <c r="F68" s="50" t="n">
        <f aca="false">E68*B68</f>
        <v>8487.53007943561</v>
      </c>
      <c r="G68" s="50" t="n">
        <f aca="false">F68/Economy!B68*1000000</f>
        <v>706.955182551962</v>
      </c>
      <c r="H68" s="48" t="n">
        <v>339</v>
      </c>
      <c r="I68" s="70" t="n">
        <f aca="false">IF(H68&gt;0,G68/H68,0)</f>
        <v>2.0854135178524</v>
      </c>
      <c r="J68" s="71" t="n">
        <v>0.417</v>
      </c>
      <c r="K68" s="56" t="n">
        <f aca="false">Resources!K68*J68*B68</f>
        <v>34.5946620756545</v>
      </c>
      <c r="L68" s="48" t="n">
        <v>75</v>
      </c>
      <c r="M68" s="62" t="n">
        <v>0.478</v>
      </c>
      <c r="N68" s="48" t="n">
        <v>27</v>
      </c>
      <c r="O68" s="71" t="n">
        <v>0.581</v>
      </c>
      <c r="P68" s="56" t="n">
        <f aca="false">(IF(Gulf!E68=1,0,L68*M68)+N68)*O68*B68</f>
        <v>46.6059210903998</v>
      </c>
      <c r="Q68" s="56" t="n">
        <f aca="false">P68*oil_book</f>
        <v>326.241447632799</v>
      </c>
      <c r="R68" s="71" t="n">
        <v>2.938</v>
      </c>
      <c r="S68" s="48" t="n">
        <v>17</v>
      </c>
      <c r="T68" s="56" t="n">
        <f aca="false">R68*S68*B68</f>
        <v>63.7470943379686</v>
      </c>
      <c r="U68" s="48" t="n">
        <v>23.5</v>
      </c>
      <c r="V68" s="48" t="n">
        <v>456</v>
      </c>
      <c r="W68" s="56" t="n">
        <f aca="false">U68/1000*V68*B68</f>
        <v>13.677048470862</v>
      </c>
      <c r="X68" s="48" t="n">
        <v>2115</v>
      </c>
      <c r="Y68" s="62" t="n">
        <v>0.067</v>
      </c>
      <c r="Z68" s="56" t="n">
        <f aca="false">X68*Y68*chem_va*B68</f>
        <v>81.3874364598331</v>
      </c>
      <c r="AA68" s="62" t="n">
        <v>0.038</v>
      </c>
      <c r="AB68" s="56" t="n">
        <f aca="false">X68*AA68*roy_rate*B68*(1-IF(union_resp=2,lic_cut*Labour!S68,0))</f>
        <v>2.41790678324167</v>
      </c>
      <c r="AC68" s="48" t="n">
        <v>769</v>
      </c>
      <c r="AD68" s="62" t="n">
        <v>0.22</v>
      </c>
      <c r="AE68" s="62" t="n">
        <v>0.357</v>
      </c>
      <c r="AF68" s="56" t="n">
        <f aca="false">AC68*AD68*elec_va*B68</f>
        <v>97.1675417259417</v>
      </c>
      <c r="AG68" s="56" t="n">
        <f aca="false">MAX(0,AE68-AD68)*AC68*roy_rate*B68*(1-IF(union_resp=2,lic_cut*Labour!S68,0))</f>
        <v>3.16951267058429</v>
      </c>
      <c r="AH68" s="55" t="n">
        <v>68</v>
      </c>
      <c r="AI68" s="56" t="n">
        <f aca="false">AH68*B68</f>
        <v>86.7897812634017</v>
      </c>
      <c r="AJ68" s="55" t="n">
        <v>55</v>
      </c>
      <c r="AK68" s="56" t="n">
        <f aca="false">AJ68*B68</f>
        <v>70.1976171983396</v>
      </c>
      <c r="AL68" s="48" t="n">
        <v>143</v>
      </c>
      <c r="AM68" s="56" t="n">
        <f aca="false">AL68*uw_fee*B68</f>
        <v>4.56284511789208</v>
      </c>
      <c r="AN68" s="55" t="n">
        <v>0</v>
      </c>
      <c r="AO68" s="55" t="n">
        <v>8</v>
      </c>
      <c r="AP68" s="56" t="n">
        <f aca="false">K68+T68+W68+Z68+AF68+AI68+AK68+AM68+AN68+AO68</f>
        <v>460.124026649893</v>
      </c>
      <c r="AQ68" s="56" t="n">
        <f aca="false">AP68*(1-1/champ_prem+champ_spill)</f>
        <v>319.530574062426</v>
      </c>
      <c r="AR68" s="66" t="n">
        <f aca="false">AP68/Economy!O68</f>
        <v>0.0564517988485618</v>
      </c>
      <c r="AS68" s="55" t="n">
        <v>619</v>
      </c>
      <c r="AT68" s="55" t="n">
        <v>138</v>
      </c>
      <c r="AU68" s="55" t="n">
        <v>169</v>
      </c>
      <c r="AV68" s="55" t="n">
        <v>0</v>
      </c>
      <c r="AW68" s="55" t="n">
        <v>27</v>
      </c>
      <c r="AX68" s="55" t="n">
        <v>554</v>
      </c>
      <c r="AY68" s="56" t="n">
        <f aca="false">Q68+(AS68+AT68+AU68+AV68+AW68+AX68)*B68</f>
        <v>2249.6561588673</v>
      </c>
      <c r="AZ68" s="56" t="n">
        <f aca="false">P68+(AS68*ret_rail+AT68*ret_tel+AU68*ret_elec+AV68*ret_auto+AW68*ret_chem+AX68*ret_steel)*B68*IF(OR($A68=1931,$A68=1932),abroad_slump,1)+AB68+AG68</f>
        <v>170.967708843816</v>
      </c>
      <c r="BA68" s="56" t="n">
        <f aca="false">AP68*champ_profit+AZ68</f>
        <v>262.992514173795</v>
      </c>
      <c r="BB68" s="56" t="n">
        <f aca="false">(K68+AI68+AK68)*champ_profit+P68+(AS68*ret_rail+AT68*ret_tel+AU68*ret_elec)*B68*IF(OR($A68=1931,$A68=1932),abroad_slump,1)</f>
        <v>157.13653649028</v>
      </c>
      <c r="BC68" s="56" t="n">
        <f aca="false">(T68+W68+Z68+AF68+AN68+AO68)*champ_profit+(AV68*ret_auto+AW68*ret_chem+AX68*ret_steel)*B68*IF(OR($A68=1931,$A68=1932),abroad_slump,1)+AB68+AG68</f>
        <v>104.943408659937</v>
      </c>
      <c r="BD68" s="56" t="n">
        <f aca="false">IF($A68&gt;=crown_start,(BB68*crown_charter+BC68*crown_comp)*crown_payout,0)</f>
        <v>23.8398034076825</v>
      </c>
      <c r="BE68" s="66" t="n">
        <f aca="false">IF(BB68+BC68&gt;0,(BB68*crown_charter+BC68*crown_comp)/(BA68),0)</f>
        <v>0.181296440946819</v>
      </c>
    </row>
    <row r="69" customFormat="false" ht="14.25" hidden="false" customHeight="false" outlineLevel="0" collapsed="false">
      <c r="A69" s="61" t="n">
        <v>1909</v>
      </c>
      <c r="B69" s="68" t="n">
        <f aca="false">champ_scale*(1+Labour!AP69)*(1+Partners!BX69)*(1-IF(union_resp=2,tariff_cut*Labour!S69,0))</f>
        <v>1.27785285699697</v>
      </c>
      <c r="C69" s="48" t="n">
        <v>3730</v>
      </c>
      <c r="D69" s="48" t="n">
        <v>710</v>
      </c>
      <c r="E69" s="48" t="n">
        <v>6920</v>
      </c>
      <c r="F69" s="50" t="n">
        <f aca="false">E69*B69</f>
        <v>8842.74177041902</v>
      </c>
      <c r="G69" s="50" t="n">
        <f aca="false">F69/Economy!B69*1000000</f>
        <v>705.238014279228</v>
      </c>
      <c r="H69" s="48" t="n">
        <v>341</v>
      </c>
      <c r="I69" s="70" t="n">
        <f aca="false">IF(H69&gt;0,G69/H69,0)</f>
        <v>2.06814666944055</v>
      </c>
      <c r="J69" s="71" t="n">
        <v>0.424</v>
      </c>
      <c r="K69" s="56" t="n">
        <f aca="false">Resources!K69*J69*B69</f>
        <v>39.2811968240868</v>
      </c>
      <c r="L69" s="48" t="n">
        <v>82</v>
      </c>
      <c r="M69" s="62" t="n">
        <v>0.489</v>
      </c>
      <c r="N69" s="48" t="n">
        <v>29</v>
      </c>
      <c r="O69" s="71" t="n">
        <v>0.585</v>
      </c>
      <c r="P69" s="56" t="n">
        <f aca="false">(IF(Gulf!E69=1,0,L69*M69)+N69)*O69*B69</f>
        <v>51.6537898769743</v>
      </c>
      <c r="Q69" s="56" t="n">
        <f aca="false">P69*oil_book</f>
        <v>361.57652913882</v>
      </c>
      <c r="R69" s="71" t="n">
        <v>3.15</v>
      </c>
      <c r="S69" s="48" t="n">
        <v>17</v>
      </c>
      <c r="T69" s="56" t="n">
        <f aca="false">R69*S69*B69</f>
        <v>68.4290204921877</v>
      </c>
      <c r="U69" s="48" t="n">
        <v>30</v>
      </c>
      <c r="V69" s="48" t="n">
        <v>450</v>
      </c>
      <c r="W69" s="56" t="n">
        <f aca="false">U69/1000*V69*B69</f>
        <v>17.2510135694591</v>
      </c>
      <c r="X69" s="48" t="n">
        <v>2192</v>
      </c>
      <c r="Y69" s="62" t="n">
        <v>0.069</v>
      </c>
      <c r="Z69" s="56" t="n">
        <f aca="false">X69*Y69*chem_va*B69</f>
        <v>86.9727100117849</v>
      </c>
      <c r="AA69" s="62" t="n">
        <v>0.041</v>
      </c>
      <c r="AB69" s="56" t="n">
        <f aca="false">X69*AA69*roy_rate*B69*(1-IF(union_resp=2,lic_cut*Labour!S69,0))</f>
        <v>2.55936256376985</v>
      </c>
      <c r="AC69" s="48" t="n">
        <v>815</v>
      </c>
      <c r="AD69" s="62" t="n">
        <v>0.22</v>
      </c>
      <c r="AE69" s="62" t="n">
        <v>0.362</v>
      </c>
      <c r="AF69" s="56" t="n">
        <f aca="false">AC69*AD69*elec_va*B69</f>
        <v>103.1035577668</v>
      </c>
      <c r="AG69" s="56" t="n">
        <f aca="false">MAX(0,AE69-AD69)*AC69*roy_rate*B69*(1-IF(union_resp=2,lic_cut*Labour!S69,0))</f>
        <v>3.29574316255435</v>
      </c>
      <c r="AH69" s="55" t="n">
        <v>72</v>
      </c>
      <c r="AI69" s="56" t="n">
        <f aca="false">AH69*B69</f>
        <v>92.0054057037817</v>
      </c>
      <c r="AJ69" s="55" t="n">
        <v>58</v>
      </c>
      <c r="AK69" s="56" t="n">
        <f aca="false">AJ69*B69</f>
        <v>74.1154657058242</v>
      </c>
      <c r="AL69" s="48" t="n">
        <v>154</v>
      </c>
      <c r="AM69" s="56" t="n">
        <f aca="false">AL69*uw_fee*B69</f>
        <v>4.91973349943833</v>
      </c>
      <c r="AN69" s="55" t="n">
        <v>0</v>
      </c>
      <c r="AO69" s="55" t="n">
        <v>9</v>
      </c>
      <c r="AP69" s="56" t="n">
        <f aca="false">K69+T69+W69+Z69+AF69+AI69+AK69+AM69+AN69+AO69</f>
        <v>495.078103573363</v>
      </c>
      <c r="AQ69" s="56" t="n">
        <f aca="false">AP69*(1-1/champ_prem+champ_spill)</f>
        <v>343.804238592613</v>
      </c>
      <c r="AR69" s="66" t="n">
        <f aca="false">AP69/Economy!O69</f>
        <v>0.0526953565685925</v>
      </c>
      <c r="AS69" s="55" t="n">
        <v>675</v>
      </c>
      <c r="AT69" s="55" t="n">
        <v>146</v>
      </c>
      <c r="AU69" s="55" t="n">
        <v>185</v>
      </c>
      <c r="AV69" s="55" t="n">
        <v>0</v>
      </c>
      <c r="AW69" s="55" t="n">
        <v>29</v>
      </c>
      <c r="AX69" s="55" t="n">
        <v>563</v>
      </c>
      <c r="AY69" s="56" t="n">
        <f aca="false">Q69+(AS69+AT69+AU69+AV69+AW69+AX69)*B69</f>
        <v>2403.58539461998</v>
      </c>
      <c r="AZ69" s="56" t="n">
        <f aca="false">P69+(AS69*ret_rail+AT69*ret_tel+AU69*ret_elec+AV69*ret_auto+AW69*ret_chem+AX69*ret_steel)*B69*IF(OR($A69=1931,$A69=1932),abroad_slump,1)+AB69+AG69</f>
        <v>183.45407318892</v>
      </c>
      <c r="BA69" s="56" t="n">
        <f aca="false">AP69*champ_profit+AZ69</f>
        <v>282.469693903592</v>
      </c>
      <c r="BB69" s="56" t="n">
        <f aca="false">(K69+AI69+AK69)*champ_profit+P69+(AS69*ret_rail+AT69*ret_tel+AU69*ret_elec)*B69*IF(OR($A69=1931,$A69=1932),abroad_slump,1)</f>
        <v>171.066583657627</v>
      </c>
      <c r="BC69" s="56" t="n">
        <f aca="false">(T69+W69+Z69+AF69+AN69+AO69)*champ_profit+(AV69*ret_auto+AW69*ret_chem+AX69*ret_steel)*B69*IF(OR($A69=1931,$A69=1932),abroad_slump,1)+AB69+AG69</f>
        <v>110.419163546078</v>
      </c>
      <c r="BD69" s="56" t="n">
        <f aca="false">IF($A69&gt;=crown_start,(BB69*crown_charter+BC69*crown_comp)*crown_payout,0)</f>
        <v>25.8000894990465</v>
      </c>
      <c r="BE69" s="66" t="n">
        <f aca="false">IF(BB69+BC69&gt;0,(BB69*crown_charter+BC69*crown_comp)/(BA69),0)</f>
        <v>0.18267509793707</v>
      </c>
    </row>
    <row r="70" customFormat="false" ht="14.25" hidden="false" customHeight="false" outlineLevel="0" collapsed="false">
      <c r="A70" s="61" t="n">
        <v>1910</v>
      </c>
      <c r="B70" s="68" t="n">
        <f aca="false">champ_scale*(1+Labour!AP70)*(1+Partners!BX70)*(1-IF(union_resp=2,tariff_cut*Labour!S70,0))</f>
        <v>1.27750166223843</v>
      </c>
      <c r="C70" s="48" t="n">
        <v>3920</v>
      </c>
      <c r="D70" s="48" t="n">
        <v>730</v>
      </c>
      <c r="E70" s="48" t="n">
        <v>7190</v>
      </c>
      <c r="F70" s="50" t="n">
        <f aca="false">E70*B70</f>
        <v>9185.23695149432</v>
      </c>
      <c r="G70" s="50" t="n">
        <f aca="false">F70/Economy!B70*1000000</f>
        <v>701.804553403329</v>
      </c>
      <c r="H70" s="48" t="n">
        <v>343</v>
      </c>
      <c r="I70" s="70" t="n">
        <f aca="false">IF(H70&gt;0,G70/H70,0)</f>
        <v>2.04607741517005</v>
      </c>
      <c r="J70" s="71" t="n">
        <v>0.43</v>
      </c>
      <c r="K70" s="56" t="n">
        <f aca="false">Resources!K70*J70*B70</f>
        <v>43.9460571810021</v>
      </c>
      <c r="L70" s="48" t="n">
        <v>89</v>
      </c>
      <c r="M70" s="62" t="n">
        <v>0.5</v>
      </c>
      <c r="N70" s="48" t="n">
        <v>30</v>
      </c>
      <c r="O70" s="71" t="n">
        <v>0.588</v>
      </c>
      <c r="P70" s="56" t="n">
        <f aca="false">(IF(Gulf!E70=1,0,L70*M70)+N70)*O70*B70</f>
        <v>55.9622378160167</v>
      </c>
      <c r="Q70" s="56" t="n">
        <f aca="false">P70*oil_book</f>
        <v>391.735664712117</v>
      </c>
      <c r="R70" s="71" t="n">
        <v>3.362</v>
      </c>
      <c r="S70" s="48" t="n">
        <v>18</v>
      </c>
      <c r="T70" s="56" t="n">
        <f aca="false">R70*S70*B70</f>
        <v>77.3092905920209</v>
      </c>
      <c r="U70" s="48" t="n">
        <v>50</v>
      </c>
      <c r="V70" s="48" t="n">
        <v>412</v>
      </c>
      <c r="W70" s="56" t="n">
        <f aca="false">U70/1000*V70*B70</f>
        <v>26.3165342421117</v>
      </c>
      <c r="X70" s="48" t="n">
        <v>2269</v>
      </c>
      <c r="Y70" s="62" t="n">
        <v>0.072</v>
      </c>
      <c r="Z70" s="56" t="n">
        <f aca="false">X70*Y70*chem_va*B70</f>
        <v>93.9163012004557</v>
      </c>
      <c r="AA70" s="62" t="n">
        <v>0.043</v>
      </c>
      <c r="AB70" s="56" t="n">
        <f aca="false">X70*AA70*roy_rate*B70*(1-IF(union_resp=2,lic_cut*Labour!S70,0))</f>
        <v>2.61748209827196</v>
      </c>
      <c r="AC70" s="48" t="n">
        <v>862</v>
      </c>
      <c r="AD70" s="62" t="n">
        <v>0.22</v>
      </c>
      <c r="AE70" s="62" t="n">
        <v>0.366</v>
      </c>
      <c r="AF70" s="56" t="n">
        <f aca="false">AC70*AD70*elec_va*B70</f>
        <v>109.019436852103</v>
      </c>
      <c r="AG70" s="56" t="n">
        <f aca="false">MAX(0,AE70-AD70)*AC70*roy_rate*B70*(1-IF(union_resp=2,lic_cut*Labour!S70,0))</f>
        <v>3.37629892311665</v>
      </c>
      <c r="AH70" s="55" t="n">
        <v>77</v>
      </c>
      <c r="AI70" s="56" t="n">
        <f aca="false">AH70*B70</f>
        <v>98.3676279923592</v>
      </c>
      <c r="AJ70" s="55" t="n">
        <v>61</v>
      </c>
      <c r="AK70" s="56" t="n">
        <f aca="false">AJ70*B70</f>
        <v>77.9276013965443</v>
      </c>
      <c r="AL70" s="48" t="n">
        <v>166</v>
      </c>
      <c r="AM70" s="56" t="n">
        <f aca="false">AL70*uw_fee*B70</f>
        <v>5.30163189828949</v>
      </c>
      <c r="AN70" s="55" t="n">
        <v>0</v>
      </c>
      <c r="AO70" s="55" t="n">
        <v>10</v>
      </c>
      <c r="AP70" s="56" t="n">
        <f aca="false">K70+T70+W70+Z70+AF70+AI70+AK70+AM70+AN70+AO70</f>
        <v>542.104481354887</v>
      </c>
      <c r="AQ70" s="56" t="n">
        <f aca="false">AP70*(1-1/champ_prem+champ_spill)</f>
        <v>376.461445385338</v>
      </c>
      <c r="AR70" s="66" t="n">
        <f aca="false">AP70/Economy!O70</f>
        <v>0.0526861777699001</v>
      </c>
      <c r="AS70" s="55" t="n">
        <v>731</v>
      </c>
      <c r="AT70" s="55" t="n">
        <v>155</v>
      </c>
      <c r="AU70" s="55" t="n">
        <v>202</v>
      </c>
      <c r="AV70" s="55" t="n">
        <v>2</v>
      </c>
      <c r="AW70" s="55" t="n">
        <v>32</v>
      </c>
      <c r="AX70" s="55" t="n">
        <v>572</v>
      </c>
      <c r="AY70" s="56" t="n">
        <f aca="false">Q70+(AS70+AT70+AU70+AV70+AW70+AX70)*B70</f>
        <v>2555.82348054402</v>
      </c>
      <c r="AZ70" s="56" t="n">
        <f aca="false">P70+(AS70*ret_rail+AT70*ret_tel+AU70*ret_elec+AV70*ret_auto+AW70*ret_chem+AX70*ret_steel)*B70*IF(OR($A70=1931,$A70=1932),abroad_slump,1)+AB70+AG70</f>
        <v>195.569917690923</v>
      </c>
      <c r="BA70" s="56" t="n">
        <f aca="false">AP70*champ_profit+AZ70</f>
        <v>303.9908139619</v>
      </c>
      <c r="BB70" s="56" t="n">
        <f aca="false">(K70+AI70+AK70)*champ_profit+P70+(AS70*ret_rail+AT70*ret_tel+AU70*ret_elec)*B70*IF(OR($A70=1931,$A70=1932),abroad_slump,1)</f>
        <v>184.56833015356</v>
      </c>
      <c r="BC70" s="56" t="n">
        <f aca="false">(T70+W70+Z70+AF70+AN70+AO70)*champ_profit+(AV70*ret_auto+AW70*ret_chem+AX70*ret_steel)*B70*IF(OR($A70=1931,$A70=1932),abroad_slump,1)+AB70+AG70</f>
        <v>118.362157428683</v>
      </c>
      <c r="BD70" s="56" t="n">
        <f aca="false">IF($A70&gt;=crown_start,(BB70*crown_charter+BC70*crown_comp)*crown_payout,0)</f>
        <v>27.8055275663423</v>
      </c>
      <c r="BE70" s="66" t="n">
        <f aca="false">IF(BB70+BC70&gt;0,(BB70*crown_charter+BC70*crown_comp)/(BA70),0)</f>
        <v>0.182936630248486</v>
      </c>
    </row>
    <row r="71" customFormat="false" ht="14.25" hidden="false" customHeight="false" outlineLevel="0" collapsed="false">
      <c r="A71" s="61" t="n">
        <v>1911</v>
      </c>
      <c r="B71" s="68" t="n">
        <f aca="false">champ_scale*(1+Labour!AP71)*(1+Partners!BX71)*(1-IF(union_resp=2,tariff_cut*Labour!S71,0))</f>
        <v>1.2861366908185</v>
      </c>
      <c r="C71" s="48" t="n">
        <v>4120</v>
      </c>
      <c r="D71" s="48" t="n">
        <v>750</v>
      </c>
      <c r="E71" s="48" t="n">
        <v>7460</v>
      </c>
      <c r="F71" s="50" t="n">
        <f aca="false">E71*B71</f>
        <v>9594.57971350598</v>
      </c>
      <c r="G71" s="50" t="n">
        <f aca="false">F71/Economy!B71*1000000</f>
        <v>701.79325668054</v>
      </c>
      <c r="H71" s="48" t="n">
        <v>345</v>
      </c>
      <c r="I71" s="70" t="n">
        <f aca="false">IF(H71&gt;0,G71/H71,0)</f>
        <v>2.03418335269722</v>
      </c>
      <c r="J71" s="71" t="n">
        <v>0.437</v>
      </c>
      <c r="K71" s="56" t="n">
        <f aca="false">Resources!K71*J71*B71</f>
        <v>48.7121570760455</v>
      </c>
      <c r="L71" s="48" t="n">
        <v>96</v>
      </c>
      <c r="M71" s="62" t="n">
        <v>0.503</v>
      </c>
      <c r="N71" s="48" t="n">
        <v>32</v>
      </c>
      <c r="O71" s="71" t="n">
        <v>0.592</v>
      </c>
      <c r="P71" s="56" t="n">
        <f aca="false">(IF(Gulf!E71=1,0,L71*M71)+N71)*O71*B71</f>
        <v>61.1307148384017</v>
      </c>
      <c r="Q71" s="56" t="n">
        <f aca="false">P71*oil_book</f>
        <v>427.915003868812</v>
      </c>
      <c r="R71" s="71" t="n">
        <v>3.575</v>
      </c>
      <c r="S71" s="48" t="n">
        <v>18</v>
      </c>
      <c r="T71" s="56" t="n">
        <f aca="false">R71*S71*B71</f>
        <v>82.7628960541702</v>
      </c>
      <c r="U71" s="48" t="n">
        <v>70</v>
      </c>
      <c r="V71" s="48" t="n">
        <v>375</v>
      </c>
      <c r="W71" s="56" t="n">
        <f aca="false">U71/1000*V71*B71</f>
        <v>33.7610881339855</v>
      </c>
      <c r="X71" s="48" t="n">
        <v>2346</v>
      </c>
      <c r="Y71" s="62" t="n">
        <v>0.075</v>
      </c>
      <c r="Z71" s="56" t="n">
        <f aca="false">X71*Y71*chem_va*B71</f>
        <v>101.833087837281</v>
      </c>
      <c r="AA71" s="62" t="n">
        <v>0.045</v>
      </c>
      <c r="AB71" s="56" t="n">
        <f aca="false">X71*AA71*roy_rate*B71*(1-IF(union_resp=2,lic_cut*Labour!S71,0))</f>
        <v>2.85132645944388</v>
      </c>
      <c r="AC71" s="48" t="n">
        <v>908</v>
      </c>
      <c r="AD71" s="62" t="n">
        <v>0.22</v>
      </c>
      <c r="AE71" s="62" t="n">
        <v>0.371</v>
      </c>
      <c r="AF71" s="56" t="n">
        <f aca="false">AC71*AD71*elec_va*B71</f>
        <v>115.613399411056</v>
      </c>
      <c r="AG71" s="56" t="n">
        <f aca="false">MAX(0,AE71-AD71)*AC71*roy_rate*B71*(1-IF(union_resp=2,lic_cut*Labour!S71,0))</f>
        <v>3.70313221749959</v>
      </c>
      <c r="AH71" s="55" t="n">
        <v>81</v>
      </c>
      <c r="AI71" s="56" t="n">
        <f aca="false">AH71*B71</f>
        <v>104.177071956298</v>
      </c>
      <c r="AJ71" s="55" t="n">
        <v>64</v>
      </c>
      <c r="AK71" s="56" t="n">
        <f aca="false">AJ71*B71</f>
        <v>82.3127482123837</v>
      </c>
      <c r="AL71" s="48" t="n">
        <v>177</v>
      </c>
      <c r="AM71" s="56" t="n">
        <f aca="false">AL71*uw_fee*B71</f>
        <v>5.69115485687184</v>
      </c>
      <c r="AN71" s="55" t="n">
        <v>0</v>
      </c>
      <c r="AO71" s="55" t="n">
        <v>16</v>
      </c>
      <c r="AP71" s="56" t="n">
        <f aca="false">K71+T71+W71+Z71+AF71+AI71+AK71+AM71+AN71+AO71</f>
        <v>590.863603538093</v>
      </c>
      <c r="AQ71" s="56" t="n">
        <f aca="false">AP71*(1-1/champ_prem+champ_spill)</f>
        <v>410.321946901453</v>
      </c>
      <c r="AR71" s="66" t="n">
        <f aca="false">AP71/Economy!O71</f>
        <v>0.0526887205678854</v>
      </c>
      <c r="AS71" s="55" t="n">
        <v>788</v>
      </c>
      <c r="AT71" s="55" t="n">
        <v>163</v>
      </c>
      <c r="AU71" s="55" t="n">
        <v>218</v>
      </c>
      <c r="AV71" s="55" t="n">
        <v>6</v>
      </c>
      <c r="AW71" s="55" t="n">
        <v>35</v>
      </c>
      <c r="AX71" s="55" t="n">
        <v>582</v>
      </c>
      <c r="AY71" s="56" t="n">
        <f aca="false">Q71+(AS71+AT71+AU71+AV71+AW71+AX71)*B71</f>
        <v>2732.67195381556</v>
      </c>
      <c r="AZ71" s="56" t="n">
        <f aca="false">P71+(AS71*ret_rail+AT71*ret_tel+AU71*ret_elec+AV71*ret_auto+AW71*ret_chem+AX71*ret_steel)*B71*IF(OR($A71=1931,$A71=1932),abroad_slump,1)+AB71+AG71</f>
        <v>210.189118858035</v>
      </c>
      <c r="BA71" s="56" t="n">
        <f aca="false">AP71*champ_profit+AZ71</f>
        <v>328.361839565653</v>
      </c>
      <c r="BB71" s="56" t="n">
        <f aca="false">(K71+AI71+AK71)*champ_profit+P71+(AS71*ret_rail+AT71*ret_tel+AU71*ret_elec)*B71*IF(OR($A71=1931,$A71=1932),abroad_slump,1)</f>
        <v>199.435369867828</v>
      </c>
      <c r="BC71" s="56" t="n">
        <f aca="false">(T71+W71+Z71+AF71+AN71+AO71)*champ_profit+(AV71*ret_auto+AW71*ret_chem+AX71*ret_steel)*B71*IF(OR($A71=1931,$A71=1932),abroad_slump,1)+AB71+AG71</f>
        <v>127.788238726451</v>
      </c>
      <c r="BD71" s="56" t="n">
        <f aca="false">IF($A71&gt;=crown_start,(BB71*crown_charter+BC71*crown_comp)*crown_payout,0)</f>
        <v>30.0409507825365</v>
      </c>
      <c r="BE71" s="66" t="n">
        <f aca="false">IF(BB71+BC71&gt;0,(BB71*crown_charter+BC71*crown_comp)/(BA71),0)</f>
        <v>0.182974677095693</v>
      </c>
    </row>
    <row r="72" customFormat="false" ht="14.25" hidden="false" customHeight="false" outlineLevel="0" collapsed="false">
      <c r="A72" s="61" t="n">
        <v>1912</v>
      </c>
      <c r="B72" s="68" t="n">
        <f aca="false">champ_scale*(1+Labour!AP72)*(1+Partners!BX72)*(1-IF(union_resp=2,tariff_cut*Labour!S72,0))</f>
        <v>1.29487431906887</v>
      </c>
      <c r="C72" s="48" t="n">
        <v>4310</v>
      </c>
      <c r="D72" s="48" t="n">
        <v>780</v>
      </c>
      <c r="E72" s="48" t="n">
        <v>7730</v>
      </c>
      <c r="F72" s="50" t="n">
        <f aca="false">E72*B72</f>
        <v>10009.3784864023</v>
      </c>
      <c r="G72" s="50" t="n">
        <f aca="false">F72/Economy!B72*1000000</f>
        <v>700.670349860739</v>
      </c>
      <c r="H72" s="48" t="n">
        <v>347</v>
      </c>
      <c r="I72" s="70" t="n">
        <f aca="false">IF(H72&gt;0,G72/H72,0)</f>
        <v>2.0192229102615</v>
      </c>
      <c r="J72" s="71" t="n">
        <v>0.443</v>
      </c>
      <c r="K72" s="56" t="n">
        <f aca="false">Resources!K72*J72*B72</f>
        <v>53.5368247480229</v>
      </c>
      <c r="L72" s="48" t="n">
        <v>103</v>
      </c>
      <c r="M72" s="62" t="n">
        <v>0.505</v>
      </c>
      <c r="N72" s="48" t="n">
        <v>33</v>
      </c>
      <c r="O72" s="71" t="n">
        <v>0.596</v>
      </c>
      <c r="P72" s="56" t="n">
        <f aca="false">(IF(Gulf!E72=1,0,L72*M72)+N72)*O72*B72</f>
        <v>65.6099091804413</v>
      </c>
      <c r="Q72" s="56" t="n">
        <f aca="false">P72*oil_book</f>
        <v>459.269364263089</v>
      </c>
      <c r="R72" s="71" t="n">
        <v>3.788</v>
      </c>
      <c r="S72" s="48" t="n">
        <v>18</v>
      </c>
      <c r="T72" s="56" t="n">
        <f aca="false">R72*S72*B72</f>
        <v>88.2897105713916</v>
      </c>
      <c r="U72" s="48" t="n">
        <v>120</v>
      </c>
      <c r="V72" s="48" t="n">
        <v>338</v>
      </c>
      <c r="W72" s="56" t="n">
        <f aca="false">U72/1000*V72*B72</f>
        <v>52.5201023814333</v>
      </c>
      <c r="X72" s="48" t="n">
        <v>2423</v>
      </c>
      <c r="Y72" s="62" t="n">
        <v>0.077</v>
      </c>
      <c r="Z72" s="56" t="n">
        <f aca="false">X72*Y72*chem_va*B72</f>
        <v>108.713698462349</v>
      </c>
      <c r="AA72" s="62" t="n">
        <v>0.048</v>
      </c>
      <c r="AB72" s="56" t="n">
        <f aca="false">X72*AA72*roy_rate*B72*(1-IF(union_resp=2,lic_cut*Labour!S72,0))</f>
        <v>3.1625803189047</v>
      </c>
      <c r="AC72" s="48" t="n">
        <v>954</v>
      </c>
      <c r="AD72" s="62" t="n">
        <v>0.22</v>
      </c>
      <c r="AE72" s="62" t="n">
        <v>0.375</v>
      </c>
      <c r="AF72" s="56" t="n">
        <f aca="false">AC72*AD72*elec_va*B72</f>
        <v>122.295699938778</v>
      </c>
      <c r="AG72" s="56" t="n">
        <f aca="false">MAX(0,AE72-AD72)*AC72*roy_rate*B72*(1-IF(union_resp=2,lic_cut*Labour!S72,0))</f>
        <v>4.02093437677498</v>
      </c>
      <c r="AH72" s="55" t="n">
        <v>86</v>
      </c>
      <c r="AI72" s="56" t="n">
        <f aca="false">AH72*B72</f>
        <v>111.359191439923</v>
      </c>
      <c r="AJ72" s="55" t="n">
        <v>67</v>
      </c>
      <c r="AK72" s="56" t="n">
        <f aca="false">AJ72*B72</f>
        <v>86.7565793776141</v>
      </c>
      <c r="AL72" s="48" t="n">
        <v>189</v>
      </c>
      <c r="AM72" s="56" t="n">
        <f aca="false">AL72*uw_fee*B72</f>
        <v>6.1182811576004</v>
      </c>
      <c r="AN72" s="55" t="n">
        <v>15</v>
      </c>
      <c r="AO72" s="55" t="n">
        <v>22</v>
      </c>
      <c r="AP72" s="56" t="n">
        <f aca="false">K72+T72+W72+Z72+AF72+AI72+AK72+AM72+AN72+AO72</f>
        <v>666.590088077112</v>
      </c>
      <c r="AQ72" s="56" t="n">
        <f aca="false">AP72*(1-1/champ_prem+champ_spill)</f>
        <v>462.909783386883</v>
      </c>
      <c r="AR72" s="66" t="n">
        <f aca="false">AP72/Economy!O72</f>
        <v>0.0544999673588937</v>
      </c>
      <c r="AS72" s="55" t="n">
        <v>844</v>
      </c>
      <c r="AT72" s="55" t="n">
        <v>172</v>
      </c>
      <c r="AU72" s="55" t="n">
        <v>234</v>
      </c>
      <c r="AV72" s="55" t="n">
        <v>11</v>
      </c>
      <c r="AW72" s="55" t="n">
        <v>37</v>
      </c>
      <c r="AX72" s="55" t="n">
        <v>591</v>
      </c>
      <c r="AY72" s="56" t="n">
        <f aca="false">Q72+(AS72+AT72+AU72+AV72+AW72+AX72)*B72</f>
        <v>2905.28695298418</v>
      </c>
      <c r="AZ72" s="56" t="n">
        <f aca="false">P72+(AS72*ret_rail+AT72*ret_tel+AU72*ret_elec+AV72*ret_auto+AW72*ret_chem+AX72*ret_steel)*B72*IF(OR($A72=1931,$A72=1932),abroad_slump,1)+AB72+AG72</f>
        <v>224.293719207178</v>
      </c>
      <c r="BA72" s="56" t="n">
        <f aca="false">AP72*champ_profit+AZ72</f>
        <v>357.611736822601</v>
      </c>
      <c r="BB72" s="56" t="n">
        <f aca="false">(K72+AI72+AK72)*champ_profit+P72+(AS72*ret_rail+AT72*ret_tel+AU72*ret_elec)*B72*IF(OR($A72=1931,$A72=1932),abroad_slump,1)</f>
        <v>214.066004192592</v>
      </c>
      <c r="BC72" s="56" t="n">
        <f aca="false">(T72+W72+Z72+AF72+AN72+AO72)*champ_profit+(AV72*ret_auto+AW72*ret_chem+AX72*ret_steel)*B72*IF(OR($A72=1931,$A72=1932),abroad_slump,1)+AB72+AG72</f>
        <v>142.322076398489</v>
      </c>
      <c r="BD72" s="56" t="n">
        <f aca="false">IF($A72&gt;=crown_start,(BB72*crown_charter+BC72*crown_comp)*crown_payout,0)</f>
        <v>32.4511335800136</v>
      </c>
      <c r="BE72" s="66" t="n">
        <f aca="false">IF(BB72+BC72&gt;0,(BB72*crown_charter+BC72*crown_comp)/(BA72),0)</f>
        <v>0.181488079045412</v>
      </c>
    </row>
    <row r="73" customFormat="false" ht="14.25" hidden="false" customHeight="false" outlineLevel="0" collapsed="false">
      <c r="A73" s="61" t="n">
        <v>1913</v>
      </c>
      <c r="B73" s="68" t="n">
        <f aca="false">champ_scale*(1+Labour!AP73)*(1+Partners!BX73)*(1-IF(union_resp=2,tariff_cut*Labour!S73,0))</f>
        <v>1.30380912804264</v>
      </c>
      <c r="C73" s="48" t="n">
        <v>4500</v>
      </c>
      <c r="D73" s="48" t="n">
        <v>800</v>
      </c>
      <c r="E73" s="48" t="n">
        <v>8000</v>
      </c>
      <c r="F73" s="50" t="n">
        <f aca="false">E73*B73</f>
        <v>10430.4730243411</v>
      </c>
      <c r="G73" s="50" t="n">
        <f aca="false">F73/Economy!B73*1000000</f>
        <v>699.364959131584</v>
      </c>
      <c r="H73" s="48" t="n">
        <v>349</v>
      </c>
      <c r="I73" s="70" t="n">
        <f aca="false">IF(H73&gt;0,G73/H73,0)</f>
        <v>2.00391105768362</v>
      </c>
      <c r="J73" s="71" t="n">
        <v>0.45</v>
      </c>
      <c r="K73" s="56" t="n">
        <f aca="false">Resources!K73*J73*B73</f>
        <v>58.6714107619187</v>
      </c>
      <c r="L73" s="48" t="n">
        <v>110</v>
      </c>
      <c r="M73" s="62" t="n">
        <v>0.508</v>
      </c>
      <c r="N73" s="48" t="n">
        <v>35</v>
      </c>
      <c r="O73" s="71" t="n">
        <v>0.6</v>
      </c>
      <c r="P73" s="56" t="n">
        <f aca="false">(IF(Gulf!E73=1,0,L73*M73)+N73)*O73*B73</f>
        <v>71.094104133909</v>
      </c>
      <c r="Q73" s="56" t="n">
        <f aca="false">P73*oil_book</f>
        <v>497.658728937363</v>
      </c>
      <c r="R73" s="71" t="n">
        <v>4</v>
      </c>
      <c r="S73" s="48" t="n">
        <v>18</v>
      </c>
      <c r="T73" s="56" t="n">
        <f aca="false">R73*S73*B73</f>
        <v>93.8742572190699</v>
      </c>
      <c r="U73" s="48" t="n">
        <v>170</v>
      </c>
      <c r="V73" s="48" t="n">
        <v>300</v>
      </c>
      <c r="W73" s="56" t="n">
        <f aca="false">U73/1000*V73*B73</f>
        <v>66.4942655301745</v>
      </c>
      <c r="X73" s="48" t="n">
        <v>2500</v>
      </c>
      <c r="Y73" s="62" t="n">
        <v>0.08</v>
      </c>
      <c r="Z73" s="56" t="n">
        <f aca="false">X73*Y73*chem_va*B73</f>
        <v>117.342821523837</v>
      </c>
      <c r="AA73" s="62" t="n">
        <v>0.05</v>
      </c>
      <c r="AB73" s="56" t="n">
        <f aca="false">X73*AA73*roy_rate*B73*(1-IF(union_resp=2,lic_cut*Labour!S73,0))</f>
        <v>3.42249896111192</v>
      </c>
      <c r="AC73" s="48" t="n">
        <v>1000</v>
      </c>
      <c r="AD73" s="62" t="n">
        <v>0.22</v>
      </c>
      <c r="AE73" s="62" t="n">
        <v>0.38</v>
      </c>
      <c r="AF73" s="56" t="n">
        <f aca="false">AC73*AD73*elec_va*B73</f>
        <v>129.077103676221</v>
      </c>
      <c r="AG73" s="56" t="n">
        <f aca="false">MAX(0,AE73-AD73)*AC73*roy_rate*B73*(1-IF(union_resp=2,lic_cut*Labour!S73,0))</f>
        <v>4.38079867022326</v>
      </c>
      <c r="AH73" s="55" t="n">
        <v>90</v>
      </c>
      <c r="AI73" s="56" t="n">
        <f aca="false">AH73*B73</f>
        <v>117.342821523837</v>
      </c>
      <c r="AJ73" s="55" t="n">
        <v>70</v>
      </c>
      <c r="AK73" s="56" t="n">
        <f aca="false">AJ73*B73</f>
        <v>91.2666389629847</v>
      </c>
      <c r="AL73" s="48" t="n">
        <v>200</v>
      </c>
      <c r="AM73" s="56" t="n">
        <f aca="false">AL73*uw_fee*B73</f>
        <v>6.51904564021319</v>
      </c>
      <c r="AN73" s="55" t="n">
        <v>27</v>
      </c>
      <c r="AO73" s="55" t="n">
        <v>28</v>
      </c>
      <c r="AP73" s="56" t="n">
        <f aca="false">K73+T73+W73+Z73+AF73+AI73+AK73+AM73+AN73+AO73</f>
        <v>735.588364838257</v>
      </c>
      <c r="AQ73" s="56" t="n">
        <f aca="false">AP73*(1-1/champ_prem+champ_spill)</f>
        <v>510.825253359901</v>
      </c>
      <c r="AR73" s="66" t="n">
        <f aca="false">AP73/Economy!O73</f>
        <v>0.0552485077037471</v>
      </c>
      <c r="AS73" s="55" t="n">
        <v>900</v>
      </c>
      <c r="AT73" s="55" t="n">
        <v>180</v>
      </c>
      <c r="AU73" s="55" t="n">
        <v>250</v>
      </c>
      <c r="AV73" s="55" t="n">
        <v>15</v>
      </c>
      <c r="AW73" s="55" t="n">
        <v>40</v>
      </c>
      <c r="AX73" s="55" t="n">
        <v>600</v>
      </c>
      <c r="AY73" s="56" t="n">
        <f aca="false">Q73+(AS73+AT73+AU73+AV73+AW73+AX73)*B73</f>
        <v>3085.719848102</v>
      </c>
      <c r="AZ73" s="56" t="n">
        <f aca="false">P73+(AS73*ret_rail+AT73*ret_tel+AU73*ret_elec+AV73*ret_auto+AW73*ret_chem+AX73*ret_steel)*B73*IF(OR($A73=1931,$A73=1932),abroad_slump,1)+AB73+AG73</f>
        <v>239.396305427293</v>
      </c>
      <c r="BA73" s="56" t="n">
        <f aca="false">AP73*champ_profit+AZ73</f>
        <v>386.513978394944</v>
      </c>
      <c r="BB73" s="56" t="n">
        <f aca="false">(K73+AI73+AK73)*champ_profit+P73+(AS73*ret_rail+AT73*ret_tel+AU73*ret_elec)*B73*IF(OR($A73=1931,$A73=1932),abroad_slump,1)</f>
        <v>229.50691319109</v>
      </c>
      <c r="BC73" s="56" t="n">
        <f aca="false">(T73+W73+Z73+AF73+AN73+AO73)*champ_profit+(AV73*ret_auto+AW73*ret_chem+AX73*ret_steel)*B73*IF(OR($A73=1931,$A73=1932),abroad_slump,1)+AB73+AG73</f>
        <v>155.703256075812</v>
      </c>
      <c r="BD73" s="56" t="n">
        <f aca="false">IF($A73&gt;=crown_start,(BB73*crown_charter+BC73*crown_comp)*crown_payout,0)</f>
        <v>34.9164943919187</v>
      </c>
      <c r="BE73" s="66" t="n">
        <f aca="false">IF(BB73+BC73&gt;0,(BB73*crown_charter+BC73*crown_comp)/(BA73),0)</f>
        <v>0.180673902335509</v>
      </c>
    </row>
    <row r="74" customFormat="false" ht="14.25" hidden="false" customHeight="false" outlineLevel="0" collapsed="false">
      <c r="A74" s="64" t="n">
        <v>1914</v>
      </c>
      <c r="B74" s="68" t="n">
        <f aca="false">champ_scale*(1+Labour!AP74)*(1+Partners!BX74)*(1-IF(union_resp=2,tariff_cut*Labour!S74,0))</f>
        <v>1.31310711709712</v>
      </c>
      <c r="C74" s="48" t="n">
        <v>4790</v>
      </c>
      <c r="D74" s="48" t="n">
        <v>920</v>
      </c>
      <c r="E74" s="48" t="n">
        <v>8290</v>
      </c>
      <c r="F74" s="50" t="n">
        <f aca="false">E74*B74</f>
        <v>10885.6580007351</v>
      </c>
      <c r="G74" s="50" t="n">
        <f aca="false">F74/Economy!B74*1000000</f>
        <v>701.78410441007</v>
      </c>
      <c r="H74" s="48" t="n">
        <v>349</v>
      </c>
      <c r="I74" s="70" t="n">
        <f aca="false">IF(H74&gt;0,G74/H74,0)</f>
        <v>2.01084270604605</v>
      </c>
      <c r="J74" s="71" t="n">
        <v>0.5</v>
      </c>
      <c r="K74" s="56" t="n">
        <f aca="false">Resources!K74*J74*B74</f>
        <v>67.2967397512273</v>
      </c>
      <c r="L74" s="48" t="n">
        <v>125</v>
      </c>
      <c r="M74" s="62" t="n">
        <v>0.511</v>
      </c>
      <c r="N74" s="48" t="n">
        <v>38</v>
      </c>
      <c r="O74" s="71" t="n">
        <v>0.657</v>
      </c>
      <c r="P74" s="56" t="n">
        <f aca="false">(IF(Gulf!E74=1,0,L74*M74)+N74)*O74*B74</f>
        <v>87.8887214231547</v>
      </c>
      <c r="Q74" s="56" t="n">
        <f aca="false">P74*oil_book</f>
        <v>615.221049962083</v>
      </c>
      <c r="R74" s="71" t="n">
        <v>4.5</v>
      </c>
      <c r="S74" s="48" t="n">
        <v>20</v>
      </c>
      <c r="T74" s="56" t="n">
        <f aca="false">R74*S74*B74</f>
        <v>118.179640538741</v>
      </c>
      <c r="U74" s="48" t="n">
        <v>223.3</v>
      </c>
      <c r="V74" s="48" t="n">
        <v>317</v>
      </c>
      <c r="W74" s="56" t="n">
        <f aca="false">U74/1000*V74*B74</f>
        <v>92.9497317015483</v>
      </c>
      <c r="X74" s="48" t="n">
        <v>2900</v>
      </c>
      <c r="Y74" s="62" t="n">
        <v>0.093</v>
      </c>
      <c r="Z74" s="56" t="n">
        <f aca="false">X74*Y74*chem_va*B74</f>
        <v>159.365245266492</v>
      </c>
      <c r="AA74" s="62" t="n">
        <v>0.058</v>
      </c>
      <c r="AB74" s="56" t="n">
        <f aca="false">X74*AA74*roy_rate*B74*(1-IF(union_resp=2,lic_cut*Labour!S74,0))</f>
        <v>4.63815695901044</v>
      </c>
      <c r="AC74" s="48" t="n">
        <v>1160</v>
      </c>
      <c r="AD74" s="62" t="n">
        <v>0.221</v>
      </c>
      <c r="AE74" s="62" t="n">
        <v>0.386</v>
      </c>
      <c r="AF74" s="56" t="n">
        <f aca="false">AC74*AD74*elec_va*B74</f>
        <v>151.482663242558</v>
      </c>
      <c r="AG74" s="56" t="n">
        <f aca="false">MAX(0,AE74-AD74)*AC74*roy_rate*B74*(1-IF(union_resp=2,lic_cut*Labour!S74,0))</f>
        <v>5.27790274646015</v>
      </c>
      <c r="AH74" s="55" t="n">
        <v>100</v>
      </c>
      <c r="AI74" s="56" t="n">
        <f aca="false">AH74*B74</f>
        <v>131.310711709712</v>
      </c>
      <c r="AJ74" s="55" t="n">
        <v>90</v>
      </c>
      <c r="AK74" s="56" t="n">
        <f aca="false">AJ74*B74</f>
        <v>118.179640538741</v>
      </c>
      <c r="AL74" s="48" t="n">
        <v>300</v>
      </c>
      <c r="AM74" s="56" t="n">
        <f aca="false">AL74*uw_fee*B74</f>
        <v>9.84830337822838</v>
      </c>
      <c r="AN74" s="55" t="n">
        <v>38</v>
      </c>
      <c r="AO74" s="55" t="n">
        <v>34</v>
      </c>
      <c r="AP74" s="56" t="n">
        <f aca="false">K74+T74+W74+Z74+AF74+AI74+AK74+AM74+AN74+AO74</f>
        <v>920.612676127246</v>
      </c>
      <c r="AQ74" s="56" t="n">
        <f aca="false">AP74*(1-1/champ_prem+champ_spill)</f>
        <v>639.314358421699</v>
      </c>
      <c r="AR74" s="66" t="n">
        <f aca="false">AP74/Economy!O74</f>
        <v>0.0663492152904776</v>
      </c>
      <c r="AS74" s="55" t="n">
        <v>920</v>
      </c>
      <c r="AT74" s="55" t="n">
        <v>191</v>
      </c>
      <c r="AU74" s="55" t="n">
        <v>279</v>
      </c>
      <c r="AV74" s="55" t="n">
        <v>21</v>
      </c>
      <c r="AW74" s="55" t="n">
        <v>51</v>
      </c>
      <c r="AX74" s="55" t="n">
        <v>611</v>
      </c>
      <c r="AY74" s="56" t="n">
        <f aca="false">Q74+(AS74+AT74+AU74+AV74+AW74+AX74)*B74</f>
        <v>3337.29210370441</v>
      </c>
      <c r="AZ74" s="56" t="n">
        <f aca="false">P74+(AS74*ret_rail+AT74*ret_tel+AU74*ret_elec+AV74*ret_auto+AW74*ret_chem+AX74*ret_steel)*B74*IF(OR($A74=1931,$A74=1932),abroad_slump,1)+AB74+AG74</f>
        <v>268.416788853054</v>
      </c>
      <c r="BA74" s="56" t="n">
        <f aca="false">AP74*champ_profit+AZ74</f>
        <v>452.539324078503</v>
      </c>
      <c r="BB74" s="56" t="n">
        <f aca="false">(K74+AI74+AK74)*champ_profit+P74+(AS74*ret_rail+AT74*ret_tel+AU74*ret_elec)*B74*IF(OR($A74=1931,$A74=1932),abroad_slump,1)</f>
        <v>262.37439514302</v>
      </c>
      <c r="BC74" s="56" t="n">
        <f aca="false">(T74+W74+Z74+AF74+AN74+AO74)*champ_profit+(AV74*ret_auto+AW74*ret_chem+AX74*ret_steel)*B74*IF(OR($A74=1931,$A74=1932),abroad_slump,1)+AB74+AG74</f>
        <v>188.195268259838</v>
      </c>
      <c r="BD74" s="56" t="n">
        <f aca="false">IF($A74&gt;=crown_start,(BB74*crown_charter+BC74*crown_comp)*crown_payout,0)</f>
        <v>40.324610123271</v>
      </c>
      <c r="BE74" s="66" t="n">
        <f aca="false">IF(BB74+BC74&gt;0,(BB74*crown_charter+BC74*crown_comp)/(BA74),0)</f>
        <v>0.178214833397664</v>
      </c>
    </row>
    <row r="75" customFormat="false" ht="14.25" hidden="false" customHeight="false" outlineLevel="0" collapsed="false">
      <c r="A75" s="64" t="n">
        <v>1915</v>
      </c>
      <c r="B75" s="68" t="n">
        <f aca="false">champ_scale*(1+Labour!AP75)*(1+Partners!BX75)*(1-IF(union_resp=2,tariff_cut*Labour!S75,0))</f>
        <v>1.31908139907886</v>
      </c>
      <c r="C75" s="48" t="n">
        <v>5070</v>
      </c>
      <c r="D75" s="48" t="n">
        <v>1030</v>
      </c>
      <c r="E75" s="48" t="n">
        <v>8570</v>
      </c>
      <c r="F75" s="50" t="n">
        <f aca="false">E75*B75</f>
        <v>11304.5275901058</v>
      </c>
      <c r="G75" s="50" t="n">
        <f aca="false">F75/Economy!B75*1000000</f>
        <v>703.80307724235</v>
      </c>
      <c r="H75" s="48" t="n">
        <v>349</v>
      </c>
      <c r="I75" s="70" t="n">
        <f aca="false">IF(H75&gt;0,G75/H75,0)</f>
        <v>2.01662772848811</v>
      </c>
      <c r="J75" s="71" t="n">
        <v>0.55</v>
      </c>
      <c r="K75" s="56" t="n">
        <f aca="false">Resources!K75*J75*B75</f>
        <v>76.1769507968042</v>
      </c>
      <c r="L75" s="48" t="n">
        <v>140</v>
      </c>
      <c r="M75" s="62" t="n">
        <v>0.513</v>
      </c>
      <c r="N75" s="48" t="n">
        <v>41</v>
      </c>
      <c r="O75" s="71" t="n">
        <v>0.714</v>
      </c>
      <c r="P75" s="56" t="n">
        <f aca="false">(IF(Gulf!E75=1,0,L75*M75)+N75)*O75*B75</f>
        <v>106.256597099071</v>
      </c>
      <c r="Q75" s="56" t="n">
        <f aca="false">P75*oil_book</f>
        <v>743.796179693497</v>
      </c>
      <c r="R75" s="71" t="n">
        <v>5</v>
      </c>
      <c r="S75" s="48" t="n">
        <v>23</v>
      </c>
      <c r="T75" s="56" t="n">
        <f aca="false">R75*S75*B75</f>
        <v>151.694360894069</v>
      </c>
      <c r="U75" s="48" t="n">
        <v>276.7</v>
      </c>
      <c r="V75" s="48" t="n">
        <v>334</v>
      </c>
      <c r="W75" s="56" t="n">
        <f aca="false">U75/1000*V75*B75</f>
        <v>121.90660092379</v>
      </c>
      <c r="X75" s="48" t="n">
        <v>3300</v>
      </c>
      <c r="Y75" s="62" t="n">
        <v>0.107</v>
      </c>
      <c r="Z75" s="56" t="n">
        <f aca="false">X75*Y75*chem_va*B75</f>
        <v>209.595438906635</v>
      </c>
      <c r="AA75" s="62" t="n">
        <v>0.067</v>
      </c>
      <c r="AB75" s="56" t="n">
        <f aca="false">X75*AA75*roy_rate*B75*(1-IF(union_resp=2,lic_cut*Labour!S75,0))</f>
        <v>6.12462684406305</v>
      </c>
      <c r="AC75" s="48" t="n">
        <v>1320</v>
      </c>
      <c r="AD75" s="62" t="n">
        <v>0.223</v>
      </c>
      <c r="AE75" s="62" t="n">
        <v>0.391</v>
      </c>
      <c r="AF75" s="56" t="n">
        <f aca="false">AC75*AD75*elec_va*B75</f>
        <v>174.728160284784</v>
      </c>
      <c r="AG75" s="56" t="n">
        <f aca="false">MAX(0,AE75-AD75)*AC75*roy_rate*B75*(1-IF(union_resp=2,lic_cut*Labour!S75,0))</f>
        <v>6.14290931225429</v>
      </c>
      <c r="AH75" s="55" t="n">
        <v>110</v>
      </c>
      <c r="AI75" s="56" t="n">
        <f aca="false">AH75*B75</f>
        <v>145.098953898675</v>
      </c>
      <c r="AJ75" s="55" t="n">
        <v>110</v>
      </c>
      <c r="AK75" s="56" t="n">
        <f aca="false">AJ75*B75</f>
        <v>145.098953898675</v>
      </c>
      <c r="AL75" s="48" t="n">
        <v>375</v>
      </c>
      <c r="AM75" s="56" t="n">
        <f aca="false">AL75*uw_fee*B75</f>
        <v>12.3663881163643</v>
      </c>
      <c r="AN75" s="55" t="n">
        <v>50</v>
      </c>
      <c r="AO75" s="55" t="n">
        <v>40</v>
      </c>
      <c r="AP75" s="56" t="n">
        <f aca="false">K75+T75+W75+Z75+AF75+AI75+AK75+AM75+AN75+AO75</f>
        <v>1126.6658077198</v>
      </c>
      <c r="AQ75" s="56" t="n">
        <f aca="false">AP75*(1-1/champ_prem+champ_spill)</f>
        <v>782.406810916525</v>
      </c>
      <c r="AR75" s="66" t="n">
        <f aca="false">AP75/Economy!O75</f>
        <v>0.0725645469349127</v>
      </c>
      <c r="AS75" s="55" t="n">
        <v>940</v>
      </c>
      <c r="AT75" s="55" t="n">
        <v>203</v>
      </c>
      <c r="AU75" s="55" t="n">
        <v>307</v>
      </c>
      <c r="AV75" s="55" t="n">
        <v>28</v>
      </c>
      <c r="AW75" s="55" t="n">
        <v>63</v>
      </c>
      <c r="AX75" s="55" t="n">
        <v>623</v>
      </c>
      <c r="AY75" s="56" t="n">
        <f aca="false">Q75+(AS75+AT75+AU75+AV75+AW75+AX75)*B75</f>
        <v>3598.28832730015</v>
      </c>
      <c r="AZ75" s="56" t="n">
        <f aca="false">P75+(AS75*ret_rail+AT75*ret_tel+AU75*ret_elec+AV75*ret_auto+AW75*ret_chem+AX75*ret_steel)*B75*IF(OR($A75=1931,$A75=1932),abroad_slump,1)+AB75+AG75</f>
        <v>299.357002255109</v>
      </c>
      <c r="BA75" s="56" t="n">
        <f aca="false">AP75*champ_profit+AZ75</f>
        <v>524.690163799068</v>
      </c>
      <c r="BB75" s="56" t="n">
        <f aca="false">(K75+AI75+AK75)*champ_profit+P75+(AS75*ret_rail+AT75*ret_tel+AU75*ret_elec)*B75*IF(OR($A75=1931,$A75=1932),abroad_slump,1)</f>
        <v>296.652806242114</v>
      </c>
      <c r="BC75" s="56" t="n">
        <f aca="false">(T75+W75+Z75+AF75+AN75+AO75)*champ_profit+(AV75*ret_auto+AW75*ret_chem+AX75*ret_steel)*B75*IF(OR($A75=1931,$A75=1932),abroad_slump,1)+AB75+AG75</f>
        <v>225.564079933682</v>
      </c>
      <c r="BD75" s="56" t="n">
        <f aca="false">IF($A75&gt;=crown_start,(BB75*crown_charter+BC75*crown_comp)*crown_payout,0)</f>
        <v>46.1041639776115</v>
      </c>
      <c r="BE75" s="66" t="n">
        <f aca="false">IF(BB75+BC75&gt;0,(BB75*crown_charter+BC75*crown_comp)/(BA75),0)</f>
        <v>0.175738625034592</v>
      </c>
    </row>
    <row r="76" customFormat="false" ht="14.25" hidden="false" customHeight="false" outlineLevel="0" collapsed="false">
      <c r="A76" s="64" t="n">
        <v>1916</v>
      </c>
      <c r="B76" s="68" t="n">
        <f aca="false">champ_scale*(1+Labour!AP76)*(1+Partners!BX76)*(1-IF(union_resp=2,tariff_cut*Labour!S76,0))</f>
        <v>1.32771746411347</v>
      </c>
      <c r="C76" s="48" t="n">
        <v>5360</v>
      </c>
      <c r="D76" s="48" t="n">
        <v>1150</v>
      </c>
      <c r="E76" s="48" t="n">
        <v>8860</v>
      </c>
      <c r="F76" s="50" t="n">
        <f aca="false">E76*B76</f>
        <v>11763.5767320454</v>
      </c>
      <c r="G76" s="50" t="n">
        <f aca="false">F76/Economy!B76*1000000</f>
        <v>709.209069030567</v>
      </c>
      <c r="H76" s="48" t="n">
        <v>349</v>
      </c>
      <c r="I76" s="70" t="n">
        <f aca="false">IF(H76&gt;0,G76/H76,0)</f>
        <v>2.03211767630535</v>
      </c>
      <c r="J76" s="71" t="n">
        <v>0.6</v>
      </c>
      <c r="K76" s="56" t="n">
        <f aca="false">Resources!K76*J76*B76</f>
        <v>83.6462002391489</v>
      </c>
      <c r="L76" s="48" t="n">
        <v>155</v>
      </c>
      <c r="M76" s="62" t="n">
        <v>0.516</v>
      </c>
      <c r="N76" s="48" t="n">
        <v>44</v>
      </c>
      <c r="O76" s="71" t="n">
        <v>0.771</v>
      </c>
      <c r="P76" s="56" t="n">
        <f aca="false">(IF(Gulf!E76=1,0,L76*M76)+N76)*O76*B76</f>
        <v>126.914627035808</v>
      </c>
      <c r="Q76" s="56" t="n">
        <f aca="false">P76*oil_book</f>
        <v>888.402389250656</v>
      </c>
      <c r="R76" s="71" t="n">
        <v>5.5</v>
      </c>
      <c r="S76" s="48" t="n">
        <v>25</v>
      </c>
      <c r="T76" s="56" t="n">
        <f aca="false">R76*S76*B76</f>
        <v>182.561151315603</v>
      </c>
      <c r="U76" s="48" t="n">
        <v>330</v>
      </c>
      <c r="V76" s="48" t="n">
        <v>351</v>
      </c>
      <c r="W76" s="56" t="n">
        <f aca="false">U76/1000*V76*B76</f>
        <v>153.789513868264</v>
      </c>
      <c r="X76" s="48" t="n">
        <v>3700</v>
      </c>
      <c r="Y76" s="62" t="n">
        <v>0.12</v>
      </c>
      <c r="Z76" s="56" t="n">
        <f aca="false">X76*Y76*chem_va*B76</f>
        <v>265.277949329872</v>
      </c>
      <c r="AA76" s="62" t="n">
        <v>0.075</v>
      </c>
      <c r="AB76" s="56" t="n">
        <f aca="false">X76*AA76*roy_rate*B76*(1-IF(union_resp=2,lic_cut*Labour!S76,0))</f>
        <v>7.73727352212127</v>
      </c>
      <c r="AC76" s="48" t="n">
        <v>1480</v>
      </c>
      <c r="AD76" s="62" t="n">
        <v>0.224</v>
      </c>
      <c r="AE76" s="62" t="n">
        <v>0.397</v>
      </c>
      <c r="AF76" s="56" t="n">
        <f aca="false">AC76*AD76*elec_va*B76</f>
        <v>198.074202166305</v>
      </c>
      <c r="AG76" s="56" t="n">
        <f aca="false">MAX(0,AE76-AD76)*AC76*roy_rate*B76*(1-IF(union_resp=2,lic_cut*Labour!S76,0))</f>
        <v>7.13892436974389</v>
      </c>
      <c r="AH76" s="55" t="n">
        <v>120</v>
      </c>
      <c r="AI76" s="56" t="n">
        <f aca="false">AH76*B76</f>
        <v>159.326095693617</v>
      </c>
      <c r="AJ76" s="55" t="n">
        <v>137</v>
      </c>
      <c r="AK76" s="56" t="n">
        <f aca="false">AJ76*B76</f>
        <v>181.897292583546</v>
      </c>
      <c r="AL76" s="48" t="n">
        <v>450</v>
      </c>
      <c r="AM76" s="56" t="n">
        <f aca="false">AL76*uw_fee*B76</f>
        <v>14.9368214712766</v>
      </c>
      <c r="AN76" s="55" t="n">
        <v>76</v>
      </c>
      <c r="AO76" s="55" t="n">
        <v>57</v>
      </c>
      <c r="AP76" s="56" t="n">
        <f aca="false">K76+T76+W76+Z76+AF76+AI76+AK76+AM76+AN76+AO76</f>
        <v>1372.50922666763</v>
      </c>
      <c r="AQ76" s="56" t="n">
        <f aca="false">AP76*(1-1/champ_prem+champ_spill)</f>
        <v>953.131407408077</v>
      </c>
      <c r="AR76" s="66" t="n">
        <f aca="false">AP76/Economy!O76</f>
        <v>0.0745225400017403</v>
      </c>
      <c r="AS76" s="55" t="n">
        <v>960</v>
      </c>
      <c r="AT76" s="55" t="n">
        <v>214</v>
      </c>
      <c r="AU76" s="55" t="n">
        <v>336</v>
      </c>
      <c r="AV76" s="55" t="n">
        <v>34</v>
      </c>
      <c r="AW76" s="55" t="n">
        <v>74</v>
      </c>
      <c r="AX76" s="55" t="n">
        <v>634</v>
      </c>
      <c r="AY76" s="56" t="n">
        <f aca="false">Q76+(AS76+AT76+AU76+AV76+AW76+AX76)*B76</f>
        <v>3878.4221184342</v>
      </c>
      <c r="AZ76" s="56" t="n">
        <f aca="false">P76+(AS76*ret_rail+AT76*ret_tel+AU76*ret_elec+AV76*ret_auto+AW76*ret_chem+AX76*ret_steel)*B76*IF(OR($A76=1931,$A76=1932),abroad_slump,1)+AB76+AG76</f>
        <v>332.875922362884</v>
      </c>
      <c r="BA76" s="56" t="n">
        <f aca="false">AP76*champ_profit+AZ76</f>
        <v>607.377767696411</v>
      </c>
      <c r="BB76" s="56" t="n">
        <f aca="false">(K76+AI76+AK76)*champ_profit+P76+(AS76*ret_rail+AT76*ret_tel+AU76*ret_elec)*B76*IF(OR($A76=1931,$A76=1932),abroad_slump,1)</f>
        <v>335.260051504494</v>
      </c>
      <c r="BC76" s="56" t="n">
        <f aca="false">(T76+W76+Z76+AF76+AN76+AO76)*champ_profit+(AV76*ret_auto+AW76*ret_chem+AX76*ret_steel)*B76*IF(OR($A76=1931,$A76=1932),abroad_slump,1)+AB76+AG76</f>
        <v>269.130351897661</v>
      </c>
      <c r="BD76" s="56" t="n">
        <f aca="false">IF($A76&gt;=crown_start,(BB76*crown_charter+BC76*crown_comp)*crown_payout,0)</f>
        <v>52.6727205139682</v>
      </c>
      <c r="BE76" s="66" t="n">
        <f aca="false">IF(BB76+BC76&gt;0,(BB76*crown_charter+BC76*crown_comp)/(BA76),0)</f>
        <v>0.173443031060353</v>
      </c>
    </row>
    <row r="77" customFormat="false" ht="14.25" hidden="false" customHeight="false" outlineLevel="0" collapsed="false">
      <c r="A77" s="64" t="n">
        <v>1917</v>
      </c>
      <c r="B77" s="68" t="n">
        <f aca="false">champ_scale*(1+Labour!AP77)*(1+Partners!BX77)*(1-IF(union_resp=2,tariff_cut*Labour!S77,0))</f>
        <v>1.33520329079459</v>
      </c>
      <c r="C77" s="48" t="n">
        <v>5640</v>
      </c>
      <c r="D77" s="48" t="n">
        <v>1270</v>
      </c>
      <c r="E77" s="48" t="n">
        <v>9140</v>
      </c>
      <c r="F77" s="50" t="n">
        <f aca="false">E77*B77</f>
        <v>12203.7580778626</v>
      </c>
      <c r="G77" s="50" t="n">
        <f aca="false">F77/Economy!B77*1000000</f>
        <v>714.569745054789</v>
      </c>
      <c r="H77" s="48" t="n">
        <v>350</v>
      </c>
      <c r="I77" s="70" t="n">
        <f aca="false">IF(H77&gt;0,G77/H77,0)</f>
        <v>2.04162784301368</v>
      </c>
      <c r="J77" s="71" t="n">
        <v>0.65</v>
      </c>
      <c r="K77" s="56" t="n">
        <f aca="false">Resources!K77*J77*B77</f>
        <v>91.1276245967311</v>
      </c>
      <c r="L77" s="48" t="n">
        <v>170</v>
      </c>
      <c r="M77" s="62" t="n">
        <v>0.518</v>
      </c>
      <c r="N77" s="48" t="n">
        <v>46</v>
      </c>
      <c r="O77" s="71" t="n">
        <v>0.829</v>
      </c>
      <c r="P77" s="56" t="n">
        <f aca="false">(IF(Gulf!E77=1,0,L77*M77)+N77)*O77*B77</f>
        <v>148.388805772892</v>
      </c>
      <c r="Q77" s="56" t="n">
        <f aca="false">P77*oil_book</f>
        <v>1038.72164041025</v>
      </c>
      <c r="R77" s="71" t="n">
        <v>6</v>
      </c>
      <c r="S77" s="48" t="n">
        <v>28</v>
      </c>
      <c r="T77" s="56" t="n">
        <f aca="false">R77*S77*B77</f>
        <v>224.314152853492</v>
      </c>
      <c r="U77" s="48" t="n">
        <v>305</v>
      </c>
      <c r="V77" s="48" t="n">
        <v>369</v>
      </c>
      <c r="W77" s="56" t="n">
        <f aca="false">U77/1000*V77*B77</f>
        <v>150.270454362478</v>
      </c>
      <c r="X77" s="48" t="n">
        <v>4100</v>
      </c>
      <c r="Y77" s="62" t="n">
        <v>0.127</v>
      </c>
      <c r="Z77" s="56" t="n">
        <f aca="false">X77*Y77*chem_va*B77</f>
        <v>312.858159082535</v>
      </c>
      <c r="AA77" s="62" t="n">
        <v>0.083</v>
      </c>
      <c r="AB77" s="56" t="n">
        <f aca="false">X77*AA77*roy_rate*B77*(1-IF(union_resp=2,lic_cut*Labour!S77,0))</f>
        <v>9.54176327700541</v>
      </c>
      <c r="AC77" s="48" t="n">
        <v>1640</v>
      </c>
      <c r="AD77" s="62" t="n">
        <v>0.225</v>
      </c>
      <c r="AE77" s="62" t="n">
        <v>0.403</v>
      </c>
      <c r="AF77" s="56" t="n">
        <f aca="false">AC77*AD77*elec_va*B77</f>
        <v>221.710506436442</v>
      </c>
      <c r="AG77" s="56" t="n">
        <f aca="false">MAX(0,AE77-AD77)*AC77*roy_rate*B77*(1-IF(union_resp=2,lic_cut*Labour!S77,0))</f>
        <v>8.18522343762392</v>
      </c>
      <c r="AH77" s="55" t="n">
        <v>130</v>
      </c>
      <c r="AI77" s="56" t="n">
        <f aca="false">AH77*B77</f>
        <v>173.576427803297</v>
      </c>
      <c r="AJ77" s="55" t="n">
        <v>163</v>
      </c>
      <c r="AK77" s="56" t="n">
        <f aca="false">AJ77*B77</f>
        <v>217.638136399519</v>
      </c>
      <c r="AL77" s="48" t="n">
        <v>525</v>
      </c>
      <c r="AM77" s="56" t="n">
        <f aca="false">AL77*uw_fee*B77</f>
        <v>17.5245431916791</v>
      </c>
      <c r="AN77" s="55" t="n">
        <v>102</v>
      </c>
      <c r="AO77" s="55" t="n">
        <v>73</v>
      </c>
      <c r="AP77" s="56" t="n">
        <f aca="false">K77+T77+W77+Z77+AF77+AI77+AK77+AM77+AN77+AO77</f>
        <v>1584.02000472617</v>
      </c>
      <c r="AQ77" s="56" t="n">
        <f aca="false">AP77*(1-1/champ_prem+champ_spill)</f>
        <v>1100.01389217095</v>
      </c>
      <c r="AR77" s="66" t="n">
        <f aca="false">AP77/Economy!O77</f>
        <v>0.068379047835454</v>
      </c>
      <c r="AS77" s="55" t="n">
        <v>980</v>
      </c>
      <c r="AT77" s="55" t="n">
        <v>226</v>
      </c>
      <c r="AU77" s="55" t="n">
        <v>364</v>
      </c>
      <c r="AV77" s="55" t="n">
        <v>41</v>
      </c>
      <c r="AW77" s="55" t="n">
        <v>86</v>
      </c>
      <c r="AX77" s="55" t="n">
        <v>646</v>
      </c>
      <c r="AY77" s="56" t="n">
        <f aca="false">Q77+(AS77+AT77+AU77+AV77+AW77+AX77)*B77</f>
        <v>4167.10295074198</v>
      </c>
      <c r="AZ77" s="56" t="n">
        <f aca="false">P77+(AS77*ret_rail+AT77*ret_tel+AU77*ret_elec+AV77*ret_auto+AW77*ret_chem+AX77*ret_steel)*B77*IF(OR($A77=1931,$A77=1932),abroad_slump,1)+AB77+AG77</f>
        <v>367.838305660769</v>
      </c>
      <c r="BA77" s="56" t="n">
        <f aca="false">AP77*champ_profit+AZ77</f>
        <v>684.642306606004</v>
      </c>
      <c r="BB77" s="56" t="n">
        <f aca="false">(K77+AI77+AK77)*champ_profit+P77+(AS77*ret_rail+AT77*ret_tel+AU77*ret_elec)*B77*IF(OR($A77=1931,$A77=1932),abroad_slump,1)</f>
        <v>374.478779003141</v>
      </c>
      <c r="BC77" s="56" t="n">
        <f aca="false">(T77+W77+Z77+AF77+AN77+AO77)*champ_profit+(AV77*ret_auto+AW77*ret_chem+AX77*ret_steel)*B77*IF(OR($A77=1931,$A77=1932),abroad_slump,1)+AB77+AG77</f>
        <v>306.658618964527</v>
      </c>
      <c r="BD77" s="56" t="n">
        <f aca="false">IF($A77&gt;=crown_start,(BB77*crown_charter+BC77*crown_comp)*crown_payout,0)</f>
        <v>59.0761921339737</v>
      </c>
      <c r="BE77" s="66" t="n">
        <f aca="false">IF(BB77+BC77&gt;0,(BB77*crown_charter+BC77*crown_comp)/(BA77),0)</f>
        <v>0.172575347926814</v>
      </c>
    </row>
    <row r="78" customFormat="false" ht="14.25" hidden="false" customHeight="false" outlineLevel="0" collapsed="false">
      <c r="A78" s="64" t="n">
        <v>1918</v>
      </c>
      <c r="B78" s="68" t="n">
        <f aca="false">champ_scale*(1+Labour!AP78)*(1+Partners!BX78)*(1-IF(union_resp=2,tariff_cut*Labour!S78,0))</f>
        <v>1.34401877857879</v>
      </c>
      <c r="C78" s="48" t="n">
        <v>5930</v>
      </c>
      <c r="D78" s="48" t="n">
        <v>1380</v>
      </c>
      <c r="E78" s="48" t="n">
        <v>9430</v>
      </c>
      <c r="F78" s="50" t="n">
        <f aca="false">E78*B78</f>
        <v>12674.097081998</v>
      </c>
      <c r="G78" s="50" t="n">
        <f aca="false">F78/Economy!B78*1000000</f>
        <v>726.440931411899</v>
      </c>
      <c r="H78" s="48" t="n">
        <v>350</v>
      </c>
      <c r="I78" s="70" t="n">
        <f aca="false">IF(H78&gt;0,G78/H78,0)</f>
        <v>2.07554551831971</v>
      </c>
      <c r="J78" s="71" t="n">
        <v>0.7</v>
      </c>
      <c r="K78" s="56" t="n">
        <f aca="false">Resources!K78*J78*B78</f>
        <v>98.7853802255409</v>
      </c>
      <c r="L78" s="48" t="n">
        <v>197</v>
      </c>
      <c r="M78" s="62" t="n">
        <v>0.521</v>
      </c>
      <c r="N78" s="48" t="n">
        <v>49</v>
      </c>
      <c r="O78" s="71" t="n">
        <v>0.886</v>
      </c>
      <c r="P78" s="56" t="n">
        <f aca="false">(IF(Gulf!E78=1,0,L78*M78)+N78)*O78*B78</f>
        <v>180.569436317234</v>
      </c>
      <c r="Q78" s="56" t="n">
        <f aca="false">P78*oil_book</f>
        <v>1263.98605422064</v>
      </c>
      <c r="R78" s="71" t="n">
        <v>6.5</v>
      </c>
      <c r="S78" s="48" t="n">
        <v>30</v>
      </c>
      <c r="T78" s="56" t="n">
        <f aca="false">R78*S78*B78</f>
        <v>262.083661822864</v>
      </c>
      <c r="U78" s="48" t="n">
        <v>280</v>
      </c>
      <c r="V78" s="48" t="n">
        <v>386</v>
      </c>
      <c r="W78" s="56" t="n">
        <f aca="false">U78/1000*V78*B78</f>
        <v>145.261549588795</v>
      </c>
      <c r="X78" s="48" t="n">
        <v>4500</v>
      </c>
      <c r="Y78" s="62" t="n">
        <v>0.133</v>
      </c>
      <c r="Z78" s="56" t="n">
        <f aca="false">X78*Y78*chem_va*B78</f>
        <v>361.977857540732</v>
      </c>
      <c r="AA78" s="62" t="n">
        <v>0.092</v>
      </c>
      <c r="AB78" s="56" t="n">
        <f aca="false">X78*AA78*roy_rate*B78*(1-IF(union_resp=2,lic_cut*Labour!S78,0))</f>
        <v>11.684899260964</v>
      </c>
      <c r="AC78" s="48" t="n">
        <v>1800</v>
      </c>
      <c r="AD78" s="62" t="n">
        <v>0.226</v>
      </c>
      <c r="AE78" s="62" t="n">
        <v>0.409</v>
      </c>
      <c r="AF78" s="56" t="n">
        <f aca="false">AC78*AD78*elec_va*B78</f>
        <v>246.036077606633</v>
      </c>
      <c r="AG78" s="56" t="n">
        <f aca="false">MAX(0,AE78-AD78)*AC78*roy_rate*B78*(1-IF(union_resp=2,lic_cut*Labour!S78,0))</f>
        <v>9.2971154989409</v>
      </c>
      <c r="AH78" s="55" t="n">
        <v>140</v>
      </c>
      <c r="AI78" s="56" t="n">
        <f aca="false">AH78*B78</f>
        <v>188.16262900103</v>
      </c>
      <c r="AJ78" s="55" t="n">
        <v>190</v>
      </c>
      <c r="AK78" s="56" t="n">
        <f aca="false">AJ78*B78</f>
        <v>255.36356792997</v>
      </c>
      <c r="AL78" s="48" t="n">
        <v>600</v>
      </c>
      <c r="AM78" s="56" t="n">
        <f aca="false">AL78*uw_fee*B78</f>
        <v>20.1602816786818</v>
      </c>
      <c r="AN78" s="55" t="n">
        <v>128</v>
      </c>
      <c r="AO78" s="55" t="n">
        <v>90</v>
      </c>
      <c r="AP78" s="56" t="n">
        <f aca="false">K78+T78+W78+Z78+AF78+AI78+AK78+AM78+AN78+AO78</f>
        <v>1795.83100539425</v>
      </c>
      <c r="AQ78" s="56" t="n">
        <f aca="false">AP78*(1-1/champ_prem+champ_spill)</f>
        <v>1247.10486485712</v>
      </c>
      <c r="AR78" s="66" t="n">
        <f aca="false">AP78/Economy!O78</f>
        <v>0.0644425025545975</v>
      </c>
      <c r="AS78" s="55" t="n">
        <v>1000</v>
      </c>
      <c r="AT78" s="55" t="n">
        <v>237</v>
      </c>
      <c r="AU78" s="55" t="n">
        <v>393</v>
      </c>
      <c r="AV78" s="55" t="n">
        <v>47</v>
      </c>
      <c r="AW78" s="55" t="n">
        <v>97</v>
      </c>
      <c r="AX78" s="55" t="n">
        <v>657</v>
      </c>
      <c r="AY78" s="56" t="n">
        <f aca="false">Q78+(AS78+AT78+AU78+AV78+AW78+AX78)*B78</f>
        <v>4531.29570494567</v>
      </c>
      <c r="AZ78" s="56" t="n">
        <f aca="false">P78+(AS78*ret_rail+AT78*ret_tel+AU78*ret_elec+AV78*ret_auto+AW78*ret_chem+AX78*ret_steel)*B78*IF(OR($A78=1931,$A78=1932),abroad_slump,1)+AB78+AG78</f>
        <v>413.785456402515</v>
      </c>
      <c r="BA78" s="56" t="n">
        <f aca="false">AP78*champ_profit+AZ78</f>
        <v>772.951657481364</v>
      </c>
      <c r="BB78" s="56" t="n">
        <f aca="false">(K78+AI78+AK78)*champ_profit+P78+(AS78*ret_rail+AT78*ret_tel+AU78*ret_elec)*B78*IF(OR($A78=1931,$A78=1932),abroad_slump,1)</f>
        <v>425.059892328501</v>
      </c>
      <c r="BC78" s="56" t="n">
        <f aca="false">(T78+W78+Z78+AF78+AN78+AO78)*champ_profit+(AV78*ret_auto+AW78*ret_chem+AX78*ret_steel)*B78*IF(OR($A78=1931,$A78=1932),abroad_slump,1)+AB78+AG78</f>
        <v>343.859708817127</v>
      </c>
      <c r="BD78" s="56" t="n">
        <f aca="false">IF($A78&gt;=crown_start,(BB78*crown_charter+BC78*crown_comp)*crown_payout,0)</f>
        <v>66.8868748937477</v>
      </c>
      <c r="BE78" s="66" t="n">
        <f aca="false">IF(BB78+BC78&gt;0,(BB78*crown_charter+BC78*crown_comp)/(BA78),0)</f>
        <v>0.173068714573163</v>
      </c>
    </row>
    <row r="79" customFormat="false" ht="14.25" hidden="false" customHeight="false" outlineLevel="0" collapsed="false">
      <c r="A79" s="64" t="n">
        <v>1919</v>
      </c>
      <c r="B79" s="68" t="n">
        <f aca="false">champ_scale*(1+Labour!AP79)*(1+Partners!BX79)*(1-IF(union_resp=2,tariff_cut*Labour!S79,0))</f>
        <v>1.35412344867114</v>
      </c>
      <c r="C79" s="48" t="n">
        <v>6210</v>
      </c>
      <c r="D79" s="48" t="n">
        <v>1500</v>
      </c>
      <c r="E79" s="48" t="n">
        <v>9710</v>
      </c>
      <c r="F79" s="50" t="n">
        <f aca="false">E79*B79</f>
        <v>13148.5386865968</v>
      </c>
      <c r="G79" s="50" t="n">
        <f aca="false">F79/Economy!B79*1000000</f>
        <v>735.762447875784</v>
      </c>
      <c r="H79" s="48" t="n">
        <v>350</v>
      </c>
      <c r="I79" s="70" t="n">
        <f aca="false">IF(H79&gt;0,G79/H79,0)</f>
        <v>2.10217842250224</v>
      </c>
      <c r="J79" s="71" t="n">
        <v>0.75</v>
      </c>
      <c r="K79" s="56" t="n">
        <f aca="false">Resources!K79*J79*B79</f>
        <v>111.715184515369</v>
      </c>
      <c r="L79" s="48" t="n">
        <v>223</v>
      </c>
      <c r="M79" s="62" t="n">
        <v>0.524</v>
      </c>
      <c r="N79" s="48" t="n">
        <v>52</v>
      </c>
      <c r="O79" s="71" t="n">
        <v>0.943</v>
      </c>
      <c r="P79" s="56" t="n">
        <f aca="false">(IF(Gulf!E79=1,0,L79*M79)+N79)*O79*B79</f>
        <v>215.613604759383</v>
      </c>
      <c r="Q79" s="56" t="n">
        <f aca="false">P79*oil_book</f>
        <v>1509.29523331568</v>
      </c>
      <c r="R79" s="71" t="n">
        <v>5.667</v>
      </c>
      <c r="S79" s="48" t="n">
        <v>28</v>
      </c>
      <c r="T79" s="56" t="n">
        <f aca="false">R79*S79*B79</f>
        <v>214.866892341342</v>
      </c>
      <c r="U79" s="48" t="n">
        <v>370</v>
      </c>
      <c r="V79" s="48" t="n">
        <v>403</v>
      </c>
      <c r="W79" s="56" t="n">
        <f aca="false">U79/1000*V79*B79</f>
        <v>201.913347431354</v>
      </c>
      <c r="X79" s="48" t="n">
        <v>4750</v>
      </c>
      <c r="Y79" s="62" t="n">
        <v>0.14</v>
      </c>
      <c r="Z79" s="56" t="n">
        <f aca="false">X79*Y79*chem_va*B79</f>
        <v>405.221442014839</v>
      </c>
      <c r="AA79" s="62" t="n">
        <v>0.1</v>
      </c>
      <c r="AB79" s="56" t="n">
        <f aca="false">X79*AA79*roy_rate*B79*(1-IF(union_resp=2,lic_cut*Labour!S79,0))</f>
        <v>13.5073814004946</v>
      </c>
      <c r="AC79" s="48" t="n">
        <v>2000</v>
      </c>
      <c r="AD79" s="62" t="n">
        <v>0.228</v>
      </c>
      <c r="AE79" s="62" t="n">
        <v>0.414</v>
      </c>
      <c r="AF79" s="56" t="n">
        <f aca="false">AC79*AD79*elec_va*B79</f>
        <v>277.866131667318</v>
      </c>
      <c r="AG79" s="56" t="n">
        <f aca="false">MAX(0,AE79-AD79)*AC79*roy_rate*B79*(1-IF(union_resp=2,lic_cut*Labour!S79,0))</f>
        <v>10.5784123810189</v>
      </c>
      <c r="AH79" s="55" t="n">
        <v>150</v>
      </c>
      <c r="AI79" s="56" t="n">
        <f aca="false">AH79*B79</f>
        <v>203.118517300671</v>
      </c>
      <c r="AJ79" s="55" t="n">
        <v>170</v>
      </c>
      <c r="AK79" s="56" t="n">
        <f aca="false">AJ79*B79</f>
        <v>230.200986274094</v>
      </c>
      <c r="AL79" s="48" t="n">
        <v>500</v>
      </c>
      <c r="AM79" s="56" t="n">
        <f aca="false">AL79*uw_fee*B79</f>
        <v>16.9265431083893</v>
      </c>
      <c r="AN79" s="55" t="n">
        <v>154</v>
      </c>
      <c r="AO79" s="55" t="n">
        <v>75</v>
      </c>
      <c r="AP79" s="56" t="n">
        <f aca="false">K79+T79+W79+Z79+AF79+AI79+AK79+AM79+AN79+AO79</f>
        <v>1890.82904465338</v>
      </c>
      <c r="AQ79" s="56" t="n">
        <f aca="false">AP79*(1-1/champ_prem+champ_spill)</f>
        <v>1313.07572545373</v>
      </c>
      <c r="AR79" s="66" t="n">
        <f aca="false">AP79/Economy!O79</f>
        <v>0.0597209053216587</v>
      </c>
      <c r="AS79" s="55" t="n">
        <v>1050</v>
      </c>
      <c r="AT79" s="55" t="n">
        <v>249</v>
      </c>
      <c r="AU79" s="55" t="n">
        <v>421</v>
      </c>
      <c r="AV79" s="55" t="n">
        <v>54</v>
      </c>
      <c r="AW79" s="55" t="n">
        <v>109</v>
      </c>
      <c r="AX79" s="55" t="n">
        <v>669</v>
      </c>
      <c r="AY79" s="56" t="n">
        <f aca="false">Q79+(AS79+AT79+AU79+AV79+AW79+AX79)*B79</f>
        <v>4965.01827432443</v>
      </c>
      <c r="AZ79" s="56" t="n">
        <f aca="false">P79+(AS79*ret_rail+AT79*ret_tel+AU79*ret_elec+AV79*ret_auto+AW79*ret_chem+AX79*ret_steel)*B79*IF(OR($A79=1931,$A79=1932),abroad_slump,1)+AB79+AG79</f>
        <v>465.255741386049</v>
      </c>
      <c r="BA79" s="56" t="n">
        <f aca="false">AP79*champ_profit+AZ79</f>
        <v>843.421550316724</v>
      </c>
      <c r="BB79" s="56" t="n">
        <f aca="false">(K79+AI79+AK79)*champ_profit+P79+(AS79*ret_rail+AT79*ret_tel+AU79*ret_elec)*B79*IF(OR($A79=1931,$A79=1932),abroad_slump,1)</f>
        <v>469.335715336895</v>
      </c>
      <c r="BC79" s="56" t="n">
        <f aca="false">(T79+W79+Z79+AF79+AN79+AO79)*champ_profit+(AV79*ret_auto+AW79*ret_chem+AX79*ret_steel)*B79*IF(OR($A79=1931,$A79=1932),abroad_slump,1)+AB79+AG79</f>
        <v>370.700526358151</v>
      </c>
      <c r="BD79" s="56" t="n">
        <f aca="false">IF($A79&gt;=crown_start,(BB79*crown_charter+BC79*crown_comp)*crown_payout,0)</f>
        <v>73.4949854714379</v>
      </c>
      <c r="BE79" s="66" t="n">
        <f aca="false">IF(BB79+BC79&gt;0,(BB79*crown_charter+BC79*crown_comp)/(BA79),0)</f>
        <v>0.174278177843189</v>
      </c>
    </row>
    <row r="80" customFormat="false" ht="14.25" hidden="false" customHeight="false" outlineLevel="0" collapsed="false">
      <c r="A80" s="64" t="n">
        <v>1920</v>
      </c>
      <c r="B80" s="68" t="n">
        <f aca="false">champ_scale*(1+Labour!AP80)*(1+Partners!BX80)*(1-IF(union_resp=2,tariff_cut*Labour!S80,0))</f>
        <v>1.36739899005519</v>
      </c>
      <c r="C80" s="48" t="n">
        <v>6500</v>
      </c>
      <c r="D80" s="48" t="n">
        <v>1420</v>
      </c>
      <c r="E80" s="48" t="n">
        <v>10000</v>
      </c>
      <c r="F80" s="50" t="n">
        <f aca="false">E80*B80</f>
        <v>13673.9899005519</v>
      </c>
      <c r="G80" s="50" t="n">
        <f aca="false">F80/Economy!B80*1000000</f>
        <v>740.369376853106</v>
      </c>
      <c r="H80" s="48" t="n">
        <v>350</v>
      </c>
      <c r="I80" s="70" t="n">
        <f aca="false">IF(H80&gt;0,G80/H80,0)</f>
        <v>2.11534107672316</v>
      </c>
      <c r="J80" s="71" t="n">
        <v>0.8</v>
      </c>
      <c r="K80" s="56" t="n">
        <f aca="false">Resources!K80*J80*B80</f>
        <v>125.800707085078</v>
      </c>
      <c r="L80" s="48" t="n">
        <v>250</v>
      </c>
      <c r="M80" s="62" t="n">
        <v>0.526</v>
      </c>
      <c r="N80" s="48" t="n">
        <v>55</v>
      </c>
      <c r="O80" s="71" t="n">
        <v>1</v>
      </c>
      <c r="P80" s="56" t="n">
        <f aca="false">(IF(Gulf!E80=1,0,L80*M80)+N80)*O80*B80</f>
        <v>255.019911645293</v>
      </c>
      <c r="Q80" s="56" t="n">
        <f aca="false">P80*oil_book</f>
        <v>1785.13938151705</v>
      </c>
      <c r="R80" s="71" t="n">
        <v>4.833</v>
      </c>
      <c r="S80" s="48" t="n">
        <v>27</v>
      </c>
      <c r="T80" s="56" t="n">
        <f aca="false">R80*S80*B80</f>
        <v>178.433261611292</v>
      </c>
      <c r="U80" s="48" t="n">
        <v>460</v>
      </c>
      <c r="V80" s="48" t="n">
        <v>420</v>
      </c>
      <c r="W80" s="56" t="n">
        <f aca="false">U80/1000*V80*B80</f>
        <v>264.181484878663</v>
      </c>
      <c r="X80" s="48" t="n">
        <v>5000</v>
      </c>
      <c r="Y80" s="62" t="n">
        <v>0.141</v>
      </c>
      <c r="Z80" s="56" t="n">
        <f aca="false">X80*Y80*chem_va*B80</f>
        <v>433.80732959501</v>
      </c>
      <c r="AA80" s="62" t="n">
        <v>0.102</v>
      </c>
      <c r="AB80" s="56" t="n">
        <f aca="false">X80*AA80*roy_rate*B80*(1-IF(union_resp=2,lic_cut*Labour!S80,0))</f>
        <v>14.6448431834911</v>
      </c>
      <c r="AC80" s="48" t="n">
        <v>2200</v>
      </c>
      <c r="AD80" s="62" t="n">
        <v>0.229</v>
      </c>
      <c r="AE80" s="62" t="n">
        <v>0.42</v>
      </c>
      <c r="AF80" s="56" t="n">
        <f aca="false">AC80*AD80*elec_va*B80</f>
        <v>310.003025035413</v>
      </c>
      <c r="AG80" s="56" t="n">
        <f aca="false">MAX(0,AE80-AD80)*AC80*roy_rate*B80*(1-IF(union_resp=2,lic_cut*Labour!S80,0))</f>
        <v>12.066202168045</v>
      </c>
      <c r="AH80" s="55" t="n">
        <v>160</v>
      </c>
      <c r="AI80" s="56" t="n">
        <f aca="false">AH80*B80</f>
        <v>218.783838408831</v>
      </c>
      <c r="AJ80" s="55" t="n">
        <v>150</v>
      </c>
      <c r="AK80" s="56" t="n">
        <f aca="false">AJ80*B80</f>
        <v>205.109848508279</v>
      </c>
      <c r="AL80" s="48" t="n">
        <v>540</v>
      </c>
      <c r="AM80" s="56" t="n">
        <f aca="false">AL80*uw_fee*B80</f>
        <v>18.4598863657451</v>
      </c>
      <c r="AN80" s="55" t="n">
        <v>180</v>
      </c>
      <c r="AO80" s="55" t="n">
        <v>60</v>
      </c>
      <c r="AP80" s="56" t="n">
        <f aca="false">K80+T80+W80+Z80+AF80+AI80+AK80+AM80+AN80+AO80</f>
        <v>1994.57938148831</v>
      </c>
      <c r="AQ80" s="56" t="n">
        <f aca="false">AP80*(1-1/champ_prem+champ_spill)</f>
        <v>1385.12457047799</v>
      </c>
      <c r="AR80" s="66" t="n">
        <f aca="false">AP80/Economy!O80</f>
        <v>0.0537813697287084</v>
      </c>
      <c r="AS80" s="55" t="n">
        <v>1100</v>
      </c>
      <c r="AT80" s="55" t="n">
        <v>260</v>
      </c>
      <c r="AU80" s="55" t="n">
        <v>450</v>
      </c>
      <c r="AV80" s="55" t="n">
        <v>60</v>
      </c>
      <c r="AW80" s="55" t="n">
        <v>120</v>
      </c>
      <c r="AX80" s="55" t="n">
        <v>680</v>
      </c>
      <c r="AY80" s="56" t="n">
        <f aca="false">Q80+(AS80+AT80+AU80+AV80+AW80+AX80)*B80</f>
        <v>5436.09468496442</v>
      </c>
      <c r="AZ80" s="56" t="n">
        <f aca="false">P80+(AS80*ret_rail+AT80*ret_tel+AU80*ret_elec+AV80*ret_auto+AW80*ret_chem+AX80*ret_steel)*B80*IF(OR($A80=1931,$A80=1932),abroad_slump,1)+AB80+AG80</f>
        <v>520.889040357483</v>
      </c>
      <c r="BA80" s="56" t="n">
        <f aca="false">AP80*champ_profit+AZ80</f>
        <v>919.804916655145</v>
      </c>
      <c r="BB80" s="56" t="n">
        <f aca="false">(K80+AI80+AK80)*champ_profit+P80+(AS80*ret_rail+AT80*ret_tel+AU80*ret_elec)*B80*IF(OR($A80=1931,$A80=1932),abroad_slump,1)</f>
        <v>518.79117682694</v>
      </c>
      <c r="BC80" s="56" t="n">
        <f aca="false">(T80+W80+Z80+AF80+AN80+AO80)*champ_profit+(AV80*ret_auto+AW80*ret_chem+AX80*ret_steel)*B80*IF(OR($A80=1931,$A80=1932),abroad_slump,1)+AB80+AG80</f>
        <v>397.321762555056</v>
      </c>
      <c r="BD80" s="56" t="n">
        <f aca="false">IF($A80&gt;=crown_start,(BB80*crown_charter+BC80*crown_comp)*crown_payout,0)</f>
        <v>80.7417676055697</v>
      </c>
      <c r="BE80" s="66" t="n">
        <f aca="false">IF(BB80+BC80&gt;0,(BB80*crown_charter+BC80*crown_comp)/(BA80),0)</f>
        <v>0.17556280933828</v>
      </c>
    </row>
    <row r="81" customFormat="false" ht="14.25" hidden="false" customHeight="false" outlineLevel="0" collapsed="false">
      <c r="A81" s="64" t="n">
        <v>1921</v>
      </c>
      <c r="B81" s="68" t="n">
        <f aca="false">champ_scale*(1+Labour!AP81)*(1+Partners!BX81)*(1-IF(union_resp=2,tariff_cut*Labour!S81,0))</f>
        <v>1.38016036846936</v>
      </c>
      <c r="C81" s="48" t="n">
        <v>6890</v>
      </c>
      <c r="D81" s="48" t="n">
        <v>1330</v>
      </c>
      <c r="E81" s="48" t="n">
        <v>10440</v>
      </c>
      <c r="F81" s="50" t="n">
        <f aca="false">E81*B81</f>
        <v>14408.8742468201</v>
      </c>
      <c r="G81" s="50" t="n">
        <f aca="false">F81/Economy!B81*1000000</f>
        <v>753.442121375468</v>
      </c>
      <c r="H81" s="48" t="n">
        <v>352</v>
      </c>
      <c r="I81" s="70" t="n">
        <f aca="false">IF(H81&gt;0,G81/H81,0)</f>
        <v>2.1404605720894</v>
      </c>
      <c r="J81" s="71" t="n">
        <v>0.789</v>
      </c>
      <c r="K81" s="56" t="n">
        <f aca="false">Resources!K81*J81*B81</f>
        <v>144.285415320708</v>
      </c>
      <c r="L81" s="48" t="n">
        <v>277</v>
      </c>
      <c r="M81" s="62" t="n">
        <v>0.529</v>
      </c>
      <c r="N81" s="48" t="n">
        <v>59</v>
      </c>
      <c r="O81" s="71" t="n">
        <v>0.978</v>
      </c>
      <c r="P81" s="56" t="n">
        <f aca="false">(IF(Gulf!E81=1,0,L81*M81)+N81)*O81*B81</f>
        <v>277.427793990336</v>
      </c>
      <c r="Q81" s="56" t="n">
        <f aca="false">P81*oil_book</f>
        <v>1941.99455793235</v>
      </c>
      <c r="R81" s="71" t="n">
        <v>4</v>
      </c>
      <c r="S81" s="48" t="n">
        <v>25</v>
      </c>
      <c r="T81" s="56" t="n">
        <f aca="false">R81*S81*B81</f>
        <v>138.016036846936</v>
      </c>
      <c r="U81" s="48" t="n">
        <v>300</v>
      </c>
      <c r="V81" s="48" t="n">
        <v>402</v>
      </c>
      <c r="W81" s="56" t="n">
        <f aca="false">U81/1000*V81*B81</f>
        <v>166.447340437405</v>
      </c>
      <c r="X81" s="48" t="n">
        <v>4000</v>
      </c>
      <c r="Y81" s="62" t="n">
        <v>0.142</v>
      </c>
      <c r="Z81" s="56" t="n">
        <f aca="false">X81*Y81*chem_va*B81</f>
        <v>352.768990180769</v>
      </c>
      <c r="AA81" s="62" t="n">
        <v>0.104</v>
      </c>
      <c r="AB81" s="56" t="n">
        <f aca="false">X81*AA81*roy_rate*B81*(1-IF(union_resp=2,lic_cut*Labour!S81,0))</f>
        <v>12.0570809789483</v>
      </c>
      <c r="AC81" s="48" t="n">
        <v>1700</v>
      </c>
      <c r="AD81" s="62" t="n">
        <v>0.23</v>
      </c>
      <c r="AE81" s="62" t="n">
        <v>0.423</v>
      </c>
      <c r="AF81" s="56" t="n">
        <f aca="false">AC81*AD81*elec_va*B81</f>
        <v>242.839216832184</v>
      </c>
      <c r="AG81" s="56" t="n">
        <f aca="false">MAX(0,AE81-AD81)*AC81*roy_rate*B81*(1-IF(union_resp=2,lic_cut*Labour!S81,0))</f>
        <v>9.50944295479075</v>
      </c>
      <c r="AH81" s="55" t="n">
        <v>172</v>
      </c>
      <c r="AI81" s="56" t="n">
        <f aca="false">AH81*B81</f>
        <v>237.38758337673</v>
      </c>
      <c r="AJ81" s="55" t="n">
        <v>156</v>
      </c>
      <c r="AK81" s="56" t="n">
        <f aca="false">AJ81*B81</f>
        <v>215.30501748122</v>
      </c>
      <c r="AL81" s="48" t="n">
        <v>580</v>
      </c>
      <c r="AM81" s="56" t="n">
        <f aca="false">AL81*uw_fee*B81</f>
        <v>20.0123253428057</v>
      </c>
      <c r="AN81" s="55" t="n">
        <v>220</v>
      </c>
      <c r="AO81" s="55" t="n">
        <v>70</v>
      </c>
      <c r="AP81" s="56" t="n">
        <f aca="false">K81+T81+W81+Z81+AF81+AI81+AK81+AM81+AN81+AO81</f>
        <v>1807.06192581876</v>
      </c>
      <c r="AQ81" s="56" t="n">
        <f aca="false">AP81*(1-1/champ_prem+champ_spill)</f>
        <v>1254.90411515192</v>
      </c>
      <c r="AR81" s="66" t="n">
        <f aca="false">AP81/Economy!O81</f>
        <v>0.059613919803683</v>
      </c>
      <c r="AS81" s="55" t="n">
        <v>1180</v>
      </c>
      <c r="AT81" s="55" t="n">
        <v>278</v>
      </c>
      <c r="AU81" s="55" t="n">
        <v>540</v>
      </c>
      <c r="AV81" s="55" t="n">
        <v>78</v>
      </c>
      <c r="AW81" s="55" t="n">
        <v>146</v>
      </c>
      <c r="AX81" s="55" t="n">
        <v>697</v>
      </c>
      <c r="AY81" s="56" t="n">
        <f aca="false">Q81+(AS81+AT81+AU81+AV81+AW81+AX81)*B81</f>
        <v>5970.68267349442</v>
      </c>
      <c r="AZ81" s="56" t="n">
        <f aca="false">P81+(AS81*ret_rail+AT81*ret_tel+AU81*ret_elec+AV81*ret_auto+AW81*ret_chem+AX81*ret_steel)*B81*IF(OR($A81=1931,$A81=1932),abroad_slump,1)+AB81+AG81</f>
        <v>565.779317149202</v>
      </c>
      <c r="BA81" s="56" t="n">
        <f aca="false">AP81*champ_profit+AZ81</f>
        <v>927.191702312954</v>
      </c>
      <c r="BB81" s="56" t="n">
        <f aca="false">(K81+AI81+AK81)*champ_profit+P81+(AS81*ret_rail+AT81*ret_tel+AU81*ret_elec)*B81*IF(OR($A81=1931,$A81=1932),abroad_slump,1)</f>
        <v>568.79137913735</v>
      </c>
      <c r="BC81" s="56" t="n">
        <f aca="false">(T81+W81+Z81+AF81+AN81+AO81)*champ_profit+(AV81*ret_auto+AW81*ret_chem+AX81*ret_steel)*B81*IF(OR($A81=1931,$A81=1932),abroad_slump,1)+AB81+AG81</f>
        <v>354.397858107043</v>
      </c>
      <c r="BD81" s="56" t="n">
        <f aca="false">IF($A81&gt;=crown_start,(BB81*crown_charter+BC81*crown_comp)*crown_payout,0)</f>
        <v>85.2748367164505</v>
      </c>
      <c r="BE81" s="66" t="n">
        <f aca="false">IF(BB81+BC81&gt;0,(BB81*crown_charter+BC81*crown_comp)/(BA81),0)</f>
        <v>0.183942191250689</v>
      </c>
    </row>
    <row r="82" customFormat="false" ht="14.25" hidden="false" customHeight="false" outlineLevel="0" collapsed="false">
      <c r="A82" s="64" t="n">
        <v>1922</v>
      </c>
      <c r="B82" s="68" t="n">
        <f aca="false">champ_scale*(1+Labour!AP82)*(1+Partners!BX82)*(1-IF(union_resp=2,tariff_cut*Labour!S82,0))</f>
        <v>1.39398782203507</v>
      </c>
      <c r="C82" s="48" t="n">
        <v>7280</v>
      </c>
      <c r="D82" s="48" t="n">
        <v>1250</v>
      </c>
      <c r="E82" s="48" t="n">
        <v>10890</v>
      </c>
      <c r="F82" s="50" t="n">
        <f aca="false">E82*B82</f>
        <v>15180.5273819619</v>
      </c>
      <c r="G82" s="50" t="n">
        <f aca="false">F82/Economy!B82*1000000</f>
        <v>765.584476169337</v>
      </c>
      <c r="H82" s="48" t="n">
        <v>355</v>
      </c>
      <c r="I82" s="70" t="n">
        <f aca="false">IF(H82&gt;0,G82/H82,0)</f>
        <v>2.1565759892094</v>
      </c>
      <c r="J82" s="71" t="n">
        <v>0.778</v>
      </c>
      <c r="K82" s="56" t="n">
        <f aca="false">Resources!K82*J82*B82</f>
        <v>162.678378831493</v>
      </c>
      <c r="L82" s="48" t="n">
        <v>303</v>
      </c>
      <c r="M82" s="62" t="n">
        <v>0.532</v>
      </c>
      <c r="N82" s="48" t="n">
        <v>63</v>
      </c>
      <c r="O82" s="71" t="n">
        <v>0.956</v>
      </c>
      <c r="P82" s="56" t="n">
        <f aca="false">(IF(Gulf!E82=1,0,L82*M82)+N82)*O82*B82</f>
        <v>298.77532802402</v>
      </c>
      <c r="Q82" s="56" t="n">
        <f aca="false">P82*oil_book</f>
        <v>2091.42729616814</v>
      </c>
      <c r="R82" s="71" t="n">
        <v>4.875</v>
      </c>
      <c r="S82" s="48" t="n">
        <v>25</v>
      </c>
      <c r="T82" s="56" t="n">
        <f aca="false">R82*S82*B82</f>
        <v>169.892265810524</v>
      </c>
      <c r="U82" s="48" t="n">
        <v>500</v>
      </c>
      <c r="V82" s="48" t="n">
        <v>384</v>
      </c>
      <c r="W82" s="56" t="n">
        <f aca="false">U82/1000*V82*B82</f>
        <v>267.645661830734</v>
      </c>
      <c r="X82" s="48" t="n">
        <v>4625</v>
      </c>
      <c r="Y82" s="62" t="n">
        <v>0.143</v>
      </c>
      <c r="Z82" s="56" t="n">
        <f aca="false">X82*Y82*chem_va*B82</f>
        <v>414.8769131093</v>
      </c>
      <c r="AA82" s="62" t="n">
        <v>0.106</v>
      </c>
      <c r="AB82" s="56" t="n">
        <f aca="false">X82*AA82*roy_rate*B82*(1-IF(union_resp=2,lic_cut*Labour!S82,0))</f>
        <v>14.3514531248066</v>
      </c>
      <c r="AC82" s="48" t="n">
        <v>2025</v>
      </c>
      <c r="AD82" s="62" t="n">
        <v>0.231</v>
      </c>
      <c r="AE82" s="62" t="n">
        <v>0.427</v>
      </c>
      <c r="AF82" s="56" t="n">
        <f aca="false">AC82*AD82*elec_va*B82</f>
        <v>293.432694053605</v>
      </c>
      <c r="AG82" s="56" t="n">
        <f aca="false">MAX(0,AE82-AD82)*AC82*roy_rate*B82*(1-IF(union_resp=2,lic_cut*Labour!S82,0))</f>
        <v>11.6187490978801</v>
      </c>
      <c r="AH82" s="55" t="n">
        <v>184</v>
      </c>
      <c r="AI82" s="56" t="n">
        <f aca="false">AH82*B82</f>
        <v>256.493759254453</v>
      </c>
      <c r="AJ82" s="55" t="n">
        <v>162</v>
      </c>
      <c r="AK82" s="56" t="n">
        <f aca="false">AJ82*B82</f>
        <v>225.826027169682</v>
      </c>
      <c r="AL82" s="48" t="n">
        <v>620</v>
      </c>
      <c r="AM82" s="56" t="n">
        <f aca="false">AL82*uw_fee*B82</f>
        <v>21.6068112415436</v>
      </c>
      <c r="AN82" s="55" t="n">
        <v>260</v>
      </c>
      <c r="AO82" s="55" t="n">
        <v>80</v>
      </c>
      <c r="AP82" s="56" t="n">
        <f aca="false">K82+T82+W82+Z82+AF82+AI82+AK82+AM82+AN82+AO82</f>
        <v>2152.45251130133</v>
      </c>
      <c r="AQ82" s="56" t="n">
        <f aca="false">AP82*(1-1/champ_prem+champ_spill)</f>
        <v>1494.7586884037</v>
      </c>
      <c r="AR82" s="66" t="n">
        <f aca="false">AP82/Economy!O82</f>
        <v>0.0684443966397623</v>
      </c>
      <c r="AS82" s="55" t="n">
        <v>1260</v>
      </c>
      <c r="AT82" s="55" t="n">
        <v>296</v>
      </c>
      <c r="AU82" s="55" t="n">
        <v>630</v>
      </c>
      <c r="AV82" s="55" t="n">
        <v>96</v>
      </c>
      <c r="AW82" s="55" t="n">
        <v>171</v>
      </c>
      <c r="AX82" s="55" t="n">
        <v>713</v>
      </c>
      <c r="AY82" s="56" t="n">
        <f aca="false">Q82+(AS82+AT82+AU82+AV82+AW82+AX82)*B82</f>
        <v>6504.79274073117</v>
      </c>
      <c r="AZ82" s="56" t="n">
        <f aca="false">P82+(AS82*ret_rail+AT82*ret_tel+AU82*ret_elec+AV82*ret_auto+AW82*ret_chem+AX82*ret_steel)*B82*IF(OR($A82=1931,$A82=1932),abroad_slump,1)+AB82+AG82</f>
        <v>619.601834363565</v>
      </c>
      <c r="BA82" s="56" t="n">
        <f aca="false">AP82*champ_profit+AZ82</f>
        <v>1050.09233662383</v>
      </c>
      <c r="BB82" s="56" t="n">
        <f aca="false">(K82+AI82+AK82)*champ_profit+P82+(AS82*ret_rail+AT82*ret_tel+AU82*ret_elec)*B82*IF(OR($A82=1931,$A82=1932),abroad_slump,1)</f>
        <v>618.33309634734</v>
      </c>
      <c r="BC82" s="56" t="n">
        <f aca="false">(T82+W82+Z82+AF82+AN82+AO82)*champ_profit+(AV82*ret_auto+AW82*ret_chem+AX82*ret_steel)*B82*IF(OR($A82=1931,$A82=1932),abroad_slump,1)+AB82+AG82</f>
        <v>427.437878028183</v>
      </c>
      <c r="BD82" s="56" t="n">
        <f aca="false">IF($A82&gt;=crown_start,(BB82*crown_charter+BC82*crown_comp)*crown_payout,0)</f>
        <v>94.3891521645448</v>
      </c>
      <c r="BE82" s="66" t="n">
        <f aca="false">IF(BB82+BC82&gt;0,(BB82*crown_charter+BC82*crown_comp)/(BA82),0)</f>
        <v>0.179773052088004</v>
      </c>
    </row>
    <row r="83" customFormat="false" ht="14.25" hidden="false" customHeight="false" outlineLevel="0" collapsed="false">
      <c r="A83" s="61" t="n">
        <v>1923</v>
      </c>
      <c r="B83" s="68" t="n">
        <f aca="false">champ_scale*(1+Labour!AP83)*(1+Partners!BX83)*(1-IF(union_resp=2,tariff_cut*Labour!S83,0))</f>
        <v>1.40941501051493</v>
      </c>
      <c r="C83" s="48" t="n">
        <v>7670</v>
      </c>
      <c r="D83" s="48" t="n">
        <v>1170</v>
      </c>
      <c r="E83" s="48" t="n">
        <v>11330</v>
      </c>
      <c r="F83" s="50" t="n">
        <f aca="false">E83*B83</f>
        <v>15968.6720691341</v>
      </c>
      <c r="G83" s="50" t="n">
        <f aca="false">F83/Economy!B83*1000000</f>
        <v>776.55183827897</v>
      </c>
      <c r="H83" s="48" t="n">
        <v>357</v>
      </c>
      <c r="I83" s="70" t="n">
        <f aca="false">IF(H83&gt;0,G83/H83,0)</f>
        <v>2.17521523327443</v>
      </c>
      <c r="J83" s="71" t="n">
        <v>0.767</v>
      </c>
      <c r="K83" s="56" t="n">
        <f aca="false">Resources!K83*J83*B83</f>
        <v>205.394049482341</v>
      </c>
      <c r="L83" s="48" t="n">
        <v>330</v>
      </c>
      <c r="M83" s="62" t="n">
        <v>0.534</v>
      </c>
      <c r="N83" s="48" t="n">
        <v>67</v>
      </c>
      <c r="O83" s="71" t="n">
        <v>0.933</v>
      </c>
      <c r="P83" s="56" t="n">
        <f aca="false">(IF(Gulf!E83=1,0,L83*M83)+N83)*O83*B83</f>
        <v>319.830458293993</v>
      </c>
      <c r="Q83" s="56" t="n">
        <f aca="false">P83*oil_book</f>
        <v>2238.81320805795</v>
      </c>
      <c r="R83" s="71" t="n">
        <v>5.75</v>
      </c>
      <c r="S83" s="48" t="n">
        <v>25</v>
      </c>
      <c r="T83" s="56" t="n">
        <f aca="false">R83*S83*B83</f>
        <v>202.603407761521</v>
      </c>
      <c r="U83" s="48" t="n">
        <v>700</v>
      </c>
      <c r="V83" s="48" t="n">
        <v>366</v>
      </c>
      <c r="W83" s="56" t="n">
        <f aca="false">U83/1000*V83*B83</f>
        <v>361.092125693925</v>
      </c>
      <c r="X83" s="48" t="n">
        <v>5250</v>
      </c>
      <c r="Y83" s="62" t="n">
        <v>0.144</v>
      </c>
      <c r="Z83" s="56" t="n">
        <f aca="false">X83*Y83*chem_va*B83</f>
        <v>479.482986577179</v>
      </c>
      <c r="AA83" s="62" t="n">
        <v>0.108</v>
      </c>
      <c r="AB83" s="56" t="n">
        <f aca="false">X83*AA83*roy_rate*B83*(1-IF(union_resp=2,lic_cut*Labour!S83,0))</f>
        <v>16.7819045302013</v>
      </c>
      <c r="AC83" s="48" t="n">
        <v>2350</v>
      </c>
      <c r="AD83" s="62" t="n">
        <v>0.232</v>
      </c>
      <c r="AE83" s="62" t="n">
        <v>0.43</v>
      </c>
      <c r="AF83" s="56" t="n">
        <f aca="false">AC83*AD83*elec_va*B83</f>
        <v>345.785878679733</v>
      </c>
      <c r="AG83" s="56" t="n">
        <f aca="false">MAX(0,AE83-AD83)*AC83*roy_rate*B83*(1-IF(union_resp=2,lic_cut*Labour!S83,0))</f>
        <v>13.7718168922445</v>
      </c>
      <c r="AH83" s="55" t="n">
        <v>196</v>
      </c>
      <c r="AI83" s="56" t="n">
        <f aca="false">AH83*B83</f>
        <v>276.245342060926</v>
      </c>
      <c r="AJ83" s="55" t="n">
        <v>168</v>
      </c>
      <c r="AK83" s="56" t="n">
        <f aca="false">AJ83*B83</f>
        <v>236.781721766508</v>
      </c>
      <c r="AL83" s="48" t="n">
        <v>660</v>
      </c>
      <c r="AM83" s="56" t="n">
        <f aca="false">AL83*uw_fee*B83</f>
        <v>23.2553476734963</v>
      </c>
      <c r="AN83" s="55" t="n">
        <v>300</v>
      </c>
      <c r="AO83" s="55" t="n">
        <v>90</v>
      </c>
      <c r="AP83" s="56" t="n">
        <f aca="false">K83+T83+W83+Z83+AF83+AI83+AK83+AM83+AN83+AO83</f>
        <v>2520.64085969563</v>
      </c>
      <c r="AQ83" s="56" t="n">
        <f aca="false">AP83*(1-1/champ_prem+champ_spill)</f>
        <v>1750.4450414553</v>
      </c>
      <c r="AR83" s="66" t="n">
        <f aca="false">AP83/Economy!O83</f>
        <v>0.0708425219736982</v>
      </c>
      <c r="AS83" s="55" t="n">
        <v>1340</v>
      </c>
      <c r="AT83" s="55" t="n">
        <v>314</v>
      </c>
      <c r="AU83" s="55" t="n">
        <v>720</v>
      </c>
      <c r="AV83" s="55" t="n">
        <v>114</v>
      </c>
      <c r="AW83" s="55" t="n">
        <v>197</v>
      </c>
      <c r="AX83" s="55" t="n">
        <v>730</v>
      </c>
      <c r="AY83" s="56" t="n">
        <f aca="false">Q83+(AS83+AT83+AU83+AV83+AW83+AX83)*B83</f>
        <v>7051.96546896643</v>
      </c>
      <c r="AZ83" s="56" t="n">
        <f aca="false">P83+(AS83*ret_rail+AT83*ret_tel+AU83*ret_elec+AV83*ret_auto+AW83*ret_chem+AX83*ret_steel)*B83*IF(OR($A83=1931,$A83=1932),abroad_slump,1)+AB83+AG83</f>
        <v>674.436878934031</v>
      </c>
      <c r="BA83" s="56" t="n">
        <f aca="false">AP83*champ_profit+AZ83</f>
        <v>1178.56505087316</v>
      </c>
      <c r="BB83" s="56" t="n">
        <f aca="false">(K83+AI83+AK83)*champ_profit+P83+(AS83*ret_rail+AT83*ret_tel+AU83*ret_elec)*B83*IF(OR($A83=1931,$A83=1932),abroad_slump,1)</f>
        <v>673.235634520569</v>
      </c>
      <c r="BC83" s="56" t="n">
        <f aca="false">(T83+W83+Z83+AF83+AN83+AO83)*champ_profit+(AV83*ret_auto+AW83*ret_chem+AX83*ret_steel)*B83*IF(OR($A83=1931,$A83=1932),abroad_slump,1)+AB83+AG83</f>
        <v>500.678346817888</v>
      </c>
      <c r="BD83" s="56" t="n">
        <f aca="false">IF($A83&gt;=crown_start,(BB83*crown_charter+BC83*crown_comp)*crown_payout,0)</f>
        <v>104.181588187787</v>
      </c>
      <c r="BE83" s="66" t="n">
        <f aca="false">IF(BB83+BC83&gt;0,(BB83*crown_charter+BC83*crown_comp)/(BA83),0)</f>
        <v>0.176793954836184</v>
      </c>
    </row>
    <row r="84" customFormat="false" ht="14.25" hidden="false" customHeight="false" outlineLevel="0" collapsed="false">
      <c r="A84" s="61" t="n">
        <v>1924</v>
      </c>
      <c r="B84" s="68" t="n">
        <f aca="false">champ_scale*(1+Labour!AP84)*(1+Partners!BX84)*(1-IF(union_resp=2,tariff_cut*Labour!S84,0))</f>
        <v>1.42228039657813</v>
      </c>
      <c r="C84" s="48" t="n">
        <v>8060</v>
      </c>
      <c r="D84" s="48" t="n">
        <v>1080</v>
      </c>
      <c r="E84" s="48" t="n">
        <v>11780</v>
      </c>
      <c r="F84" s="50" t="n">
        <f aca="false">E84*B84</f>
        <v>16754.4630716904</v>
      </c>
      <c r="G84" s="50" t="n">
        <f aca="false">F84/Economy!B84*1000000</f>
        <v>786.068061204502</v>
      </c>
      <c r="H84" s="48" t="n">
        <v>359</v>
      </c>
      <c r="I84" s="70" t="n">
        <f aca="false">IF(H84&gt;0,G84/H84,0)</f>
        <v>2.18960462731059</v>
      </c>
      <c r="J84" s="71" t="n">
        <v>0.756</v>
      </c>
      <c r="K84" s="56" t="n">
        <f aca="false">Resources!K84*J84*B84</f>
        <v>247.306115357006</v>
      </c>
      <c r="L84" s="48" t="n">
        <v>353</v>
      </c>
      <c r="M84" s="62" t="n">
        <v>0.537</v>
      </c>
      <c r="N84" s="48" t="n">
        <v>71</v>
      </c>
      <c r="O84" s="71" t="n">
        <v>0.911</v>
      </c>
      <c r="P84" s="56" t="n">
        <f aca="false">(IF(Gulf!E84=1,0,L84*M84)+N84)*O84*B84</f>
        <v>337.608220998057</v>
      </c>
      <c r="Q84" s="56" t="n">
        <f aca="false">P84*oil_book</f>
        <v>2363.2575469864</v>
      </c>
      <c r="R84" s="71" t="n">
        <v>6.625</v>
      </c>
      <c r="S84" s="48" t="n">
        <v>25</v>
      </c>
      <c r="T84" s="56" t="n">
        <f aca="false">R84*S84*B84</f>
        <v>235.565190683254</v>
      </c>
      <c r="U84" s="48" t="n">
        <v>766.7</v>
      </c>
      <c r="V84" s="48" t="n">
        <v>348</v>
      </c>
      <c r="W84" s="56" t="n">
        <f aca="false">U84/1000*V84*B84</f>
        <v>379.480908259647</v>
      </c>
      <c r="X84" s="48" t="n">
        <v>5875</v>
      </c>
      <c r="Y84" s="62" t="n">
        <v>0.145</v>
      </c>
      <c r="Z84" s="56" t="n">
        <f aca="false">X84*Y84*chem_va*B84</f>
        <v>545.222300775749</v>
      </c>
      <c r="AA84" s="62" t="n">
        <v>0.11</v>
      </c>
      <c r="AB84" s="56" t="n">
        <f aca="false">X84*AA84*roy_rate*B84*(1-IF(union_resp=2,lic_cut*Labour!S84,0))</f>
        <v>19.302122832061</v>
      </c>
      <c r="AC84" s="48" t="n">
        <v>2675</v>
      </c>
      <c r="AD84" s="62" t="n">
        <v>0.234</v>
      </c>
      <c r="AE84" s="62" t="n">
        <v>0.433</v>
      </c>
      <c r="AF84" s="56" t="n">
        <f aca="false">AC84*AD84*elec_va*B84</f>
        <v>400.624386407138</v>
      </c>
      <c r="AG84" s="56" t="n">
        <f aca="false">MAX(0,AE84-AD84)*AC84*roy_rate*B84*(1-IF(union_resp=2,lic_cut*Labour!S84,0))</f>
        <v>15.8994236542776</v>
      </c>
      <c r="AH84" s="55" t="n">
        <v>208</v>
      </c>
      <c r="AI84" s="56" t="n">
        <f aca="false">AH84*B84</f>
        <v>295.834322488252</v>
      </c>
      <c r="AJ84" s="55" t="n">
        <v>174</v>
      </c>
      <c r="AK84" s="56" t="n">
        <f aca="false">AJ84*B84</f>
        <v>247.476789004595</v>
      </c>
      <c r="AL84" s="48" t="n">
        <v>700</v>
      </c>
      <c r="AM84" s="56" t="n">
        <f aca="false">AL84*uw_fee*B84</f>
        <v>24.8899069401174</v>
      </c>
      <c r="AN84" s="55" t="n">
        <v>340</v>
      </c>
      <c r="AO84" s="55" t="n">
        <v>100</v>
      </c>
      <c r="AP84" s="56" t="n">
        <f aca="false">K84+T84+W84+Z84+AF84+AI84+AK84+AM84+AN84+AO84</f>
        <v>2816.39991991576</v>
      </c>
      <c r="AQ84" s="56" t="n">
        <f aca="false">AP84*(1-1/champ_prem+champ_spill)</f>
        <v>1955.83327771928</v>
      </c>
      <c r="AR84" s="66" t="n">
        <f aca="false">AP84/Economy!O84</f>
        <v>0.0740218457455295</v>
      </c>
      <c r="AS84" s="55" t="n">
        <v>1420</v>
      </c>
      <c r="AT84" s="55" t="n">
        <v>332</v>
      </c>
      <c r="AU84" s="55" t="n">
        <v>810</v>
      </c>
      <c r="AV84" s="55" t="n">
        <v>132</v>
      </c>
      <c r="AW84" s="55" t="n">
        <v>222</v>
      </c>
      <c r="AX84" s="55" t="n">
        <v>747</v>
      </c>
      <c r="AY84" s="56" t="n">
        <f aca="false">Q84+(AS84+AT84+AU84+AV84+AW84+AX84)*B84</f>
        <v>7573.0706396521</v>
      </c>
      <c r="AZ84" s="56" t="n">
        <f aca="false">P84+(AS84*ret_rail+AT84*ret_tel+AU84*ret_elec+AV84*ret_auto+AW84*ret_chem+AX84*ret_steel)*B84*IF(OR($A84=1931,$A84=1932),abroad_slump,1)+AB84+AG84</f>
        <v>725.819761915088</v>
      </c>
      <c r="BA84" s="56" t="n">
        <f aca="false">AP84*champ_profit+AZ84</f>
        <v>1289.09974589824</v>
      </c>
      <c r="BB84" s="56" t="n">
        <f aca="false">(K84+AI84+AK84)*champ_profit+P84+(AS84*ret_rail+AT84*ret_tel+AU84*ret_elec)*B84*IF(OR($A84=1931,$A84=1932),abroad_slump,1)</f>
        <v>724.576582177449</v>
      </c>
      <c r="BC84" s="56" t="n">
        <f aca="false">(T84+W84+Z84+AF84+AN84+AO84)*champ_profit+(AV84*ret_auto+AW84*ret_chem+AX84*ret_steel)*B84*IF(OR($A84=1931,$A84=1932),abroad_slump,1)+AB84+AG84</f>
        <v>559.545182332767</v>
      </c>
      <c r="BD84" s="56" t="n">
        <f aca="false">IF($A84&gt;=crown_start,(BB84*crown_charter+BC84*crown_comp)*crown_payout,0)</f>
        <v>112.953880065492</v>
      </c>
      <c r="BE84" s="66" t="n">
        <f aca="false">IF(BB84+BC84&gt;0,(BB84*crown_charter+BC84*crown_comp)/(BA84),0)</f>
        <v>0.17524459286397</v>
      </c>
    </row>
    <row r="85" customFormat="false" ht="14.25" hidden="false" customHeight="false" outlineLevel="0" collapsed="false">
      <c r="A85" s="61" t="n">
        <v>1925</v>
      </c>
      <c r="B85" s="68" t="n">
        <f aca="false">champ_scale*(1+Labour!AP85)*(1+Partners!BX85)*(1-IF(union_resp=2,tariff_cut*Labour!S85,0))</f>
        <v>1.43339752410559</v>
      </c>
      <c r="C85" s="48" t="n">
        <v>8440</v>
      </c>
      <c r="D85" s="48" t="n">
        <v>1000</v>
      </c>
      <c r="E85" s="48" t="n">
        <v>12220</v>
      </c>
      <c r="F85" s="50" t="n">
        <f aca="false">E85*B85</f>
        <v>17516.1177445703</v>
      </c>
      <c r="G85" s="50" t="n">
        <f aca="false">F85/Economy!B85*1000000</f>
        <v>794.146656160017</v>
      </c>
      <c r="H85" s="48" t="n">
        <v>362</v>
      </c>
      <c r="I85" s="70" t="n">
        <f aca="false">IF(H85&gt;0,G85/H85,0)</f>
        <v>2.19377529325972</v>
      </c>
      <c r="J85" s="71" t="n">
        <v>0.744</v>
      </c>
      <c r="K85" s="56" t="n">
        <f aca="false">Resources!K85*J85*B85</f>
        <v>245.282984324949</v>
      </c>
      <c r="L85" s="48" t="n">
        <v>377</v>
      </c>
      <c r="M85" s="62" t="n">
        <v>0.539</v>
      </c>
      <c r="N85" s="48" t="n">
        <v>74</v>
      </c>
      <c r="O85" s="71" t="n">
        <v>0.889</v>
      </c>
      <c r="P85" s="56" t="n">
        <f aca="false">(IF(Gulf!E85=1,0,L85*M85)+N85)*O85*B85</f>
        <v>353.237121454557</v>
      </c>
      <c r="Q85" s="56" t="n">
        <f aca="false">P85*oil_book</f>
        <v>2472.6598501819</v>
      </c>
      <c r="R85" s="71" t="n">
        <v>7.5</v>
      </c>
      <c r="S85" s="48" t="n">
        <v>25</v>
      </c>
      <c r="T85" s="56" t="n">
        <f aca="false">R85*S85*B85</f>
        <v>268.762035769798</v>
      </c>
      <c r="U85" s="48" t="n">
        <v>833.3</v>
      </c>
      <c r="V85" s="48" t="n">
        <v>330</v>
      </c>
      <c r="W85" s="56" t="n">
        <f aca="false">U85/1000*V85*B85</f>
        <v>394.168551756272</v>
      </c>
      <c r="X85" s="48" t="n">
        <v>6500</v>
      </c>
      <c r="Y85" s="62" t="n">
        <v>0.146</v>
      </c>
      <c r="Z85" s="56" t="n">
        <f aca="false">X85*Y85*chem_va*B85</f>
        <v>612.132412669293</v>
      </c>
      <c r="AA85" s="62" t="n">
        <v>0.112</v>
      </c>
      <c r="AB85" s="56" t="n">
        <f aca="false">X85*AA85*roy_rate*B85*(1-IF(union_resp=2,lic_cut*Labour!S85,0))</f>
        <v>21.9137813485263</v>
      </c>
      <c r="AC85" s="48" t="n">
        <v>3000</v>
      </c>
      <c r="AD85" s="62" t="n">
        <v>0.235</v>
      </c>
      <c r="AE85" s="62" t="n">
        <v>0.437</v>
      </c>
      <c r="AF85" s="56" t="n">
        <f aca="false">AC85*AD85*elec_va*B85</f>
        <v>454.745364522499</v>
      </c>
      <c r="AG85" s="56" t="n">
        <f aca="false">MAX(0,AE85-AD85)*AC85*roy_rate*B85*(1-IF(union_resp=2,lic_cut*Labour!S85,0))</f>
        <v>18.2414168917678</v>
      </c>
      <c r="AH85" s="55" t="n">
        <v>220</v>
      </c>
      <c r="AI85" s="56" t="n">
        <f aca="false">AH85*B85</f>
        <v>315.34745530323</v>
      </c>
      <c r="AJ85" s="55" t="n">
        <v>180</v>
      </c>
      <c r="AK85" s="56" t="n">
        <f aca="false">AJ85*B85</f>
        <v>258.011554339006</v>
      </c>
      <c r="AL85" s="48" t="n">
        <v>750</v>
      </c>
      <c r="AM85" s="56" t="n">
        <f aca="false">AL85*uw_fee*B85</f>
        <v>26.8762035769798</v>
      </c>
      <c r="AN85" s="55" t="n">
        <v>380</v>
      </c>
      <c r="AO85" s="55" t="n">
        <v>110</v>
      </c>
      <c r="AP85" s="56" t="n">
        <f aca="false">K85+T85+W85+Z85+AF85+AI85+AK85+AM85+AN85+AO85</f>
        <v>3065.32656226203</v>
      </c>
      <c r="AQ85" s="56" t="n">
        <f aca="false">AP85*(1-1/champ_prem+champ_spill)</f>
        <v>2128.69900157085</v>
      </c>
      <c r="AR85" s="66" t="n">
        <f aca="false">AP85/Economy!O85</f>
        <v>0.074466449663839</v>
      </c>
      <c r="AS85" s="55" t="n">
        <v>1500</v>
      </c>
      <c r="AT85" s="55" t="n">
        <v>350</v>
      </c>
      <c r="AU85" s="55" t="n">
        <v>900</v>
      </c>
      <c r="AV85" s="55" t="n">
        <v>150</v>
      </c>
      <c r="AW85" s="55" t="n">
        <v>248</v>
      </c>
      <c r="AX85" s="55" t="n">
        <v>763</v>
      </c>
      <c r="AY85" s="56" t="n">
        <f aca="false">Q85+(AS85+AT85+AU85+AV85+AW85+AX85)*B85</f>
        <v>8078.67756695887</v>
      </c>
      <c r="AZ85" s="56" t="n">
        <f aca="false">P85+(AS85*ret_rail+AT85*ret_tel+AU85*ret_elec+AV85*ret_auto+AW85*ret_chem+AX85*ret_steel)*B85*IF(OR($A85=1931,$A85=1932),abroad_slump,1)+AB85+AG85</f>
        <v>775.450095769955</v>
      </c>
      <c r="BA85" s="56" t="n">
        <f aca="false">AP85*champ_profit+AZ85</f>
        <v>1388.51540822236</v>
      </c>
      <c r="BB85" s="56" t="n">
        <f aca="false">(K85+AI85+AK85)*champ_profit+P85+(AS85*ret_rail+AT85*ret_tel+AU85*ret_elec)*B85*IF(OR($A85=1931,$A85=1932),abroad_slump,1)</f>
        <v>764.943291918261</v>
      </c>
      <c r="BC85" s="56" t="n">
        <f aca="false">(T85+W85+Z85+AF85+AN85+AO85)*champ_profit+(AV85*ret_auto+AW85*ret_chem+AX85*ret_steel)*B85*IF(OR($A85=1931,$A85=1932),abroad_slump,1)+AB85+AG85</f>
        <v>618.196875588704</v>
      </c>
      <c r="BD85" s="56" t="n">
        <f aca="false">IF($A85&gt;=crown_start,(BB85*crown_charter+BC85*crown_comp)*crown_payout,0)</f>
        <v>120.345786513331</v>
      </c>
      <c r="BE85" s="66" t="n">
        <f aca="false">IF(BB85+BC85&gt;0,(BB85*crown_charter+BC85*crown_comp)/(BA85),0)</f>
        <v>0.173344545981528</v>
      </c>
    </row>
    <row r="86" customFormat="false" ht="14.25" hidden="false" customHeight="false" outlineLevel="0" collapsed="false">
      <c r="A86" s="61" t="n">
        <v>1926</v>
      </c>
      <c r="B86" s="68" t="n">
        <f aca="false">champ_scale*(1+Labour!AP86)*(1+Partners!BX86)*(1-IF(union_resp=2,tariff_cut*Labour!S86,0))</f>
        <v>1.44640902471291</v>
      </c>
      <c r="C86" s="48" t="n">
        <v>8830</v>
      </c>
      <c r="D86" s="48" t="n">
        <v>980</v>
      </c>
      <c r="E86" s="48" t="n">
        <v>12670</v>
      </c>
      <c r="F86" s="50" t="n">
        <f aca="false">E86*B86</f>
        <v>18326.0023431126</v>
      </c>
      <c r="G86" s="50" t="n">
        <f aca="false">F86/Economy!B86*1000000</f>
        <v>803.879265167023</v>
      </c>
      <c r="H86" s="48" t="n">
        <v>364</v>
      </c>
      <c r="I86" s="70" t="n">
        <f aca="false">IF(H86&gt;0,G86/H86,0)</f>
        <v>2.20845951968962</v>
      </c>
      <c r="J86" s="71" t="n">
        <v>0.733</v>
      </c>
      <c r="K86" s="56" t="n">
        <f aca="false">Resources!K86*J86*B86</f>
        <v>243.85009747635</v>
      </c>
      <c r="L86" s="48" t="n">
        <v>400</v>
      </c>
      <c r="M86" s="62" t="n">
        <v>0.542</v>
      </c>
      <c r="N86" s="48" t="n">
        <v>78</v>
      </c>
      <c r="O86" s="71" t="n">
        <v>0.867</v>
      </c>
      <c r="P86" s="56" t="n">
        <f aca="false">(IF(Gulf!E86=1,0,L86*M86)+N86)*O86*B86</f>
        <v>369.689996880813</v>
      </c>
      <c r="Q86" s="56" t="n">
        <f aca="false">P86*oil_book</f>
        <v>2587.82997816569</v>
      </c>
      <c r="R86" s="71" t="n">
        <v>7.875</v>
      </c>
      <c r="S86" s="48" t="n">
        <v>25</v>
      </c>
      <c r="T86" s="56" t="n">
        <f aca="false">R86*S86*B86</f>
        <v>284.761776740355</v>
      </c>
      <c r="U86" s="48" t="n">
        <v>900</v>
      </c>
      <c r="V86" s="48" t="n">
        <v>330</v>
      </c>
      <c r="W86" s="56" t="n">
        <f aca="false">U86/1000*V86*B86</f>
        <v>429.583480339735</v>
      </c>
      <c r="X86" s="48" t="n">
        <v>6875</v>
      </c>
      <c r="Y86" s="62" t="n">
        <v>0.147</v>
      </c>
      <c r="Z86" s="56" t="n">
        <f aca="false">X86*Y86*chem_va*B86</f>
        <v>657.799704270219</v>
      </c>
      <c r="AA86" s="62" t="n">
        <v>0.114</v>
      </c>
      <c r="AB86" s="56" t="n">
        <f aca="false">X86*AA86*roy_rate*B86*(1-IF(union_resp=2,lic_cut*Labour!S86,0))</f>
        <v>23.8060845354936</v>
      </c>
      <c r="AC86" s="48" t="n">
        <v>3250</v>
      </c>
      <c r="AD86" s="62" t="n">
        <v>0.236</v>
      </c>
      <c r="AE86" s="62" t="n">
        <v>0.44</v>
      </c>
      <c r="AF86" s="56" t="n">
        <f aca="false">AC86*AD86*elec_va*B86</f>
        <v>499.228074879662</v>
      </c>
      <c r="AG86" s="56" t="n">
        <f aca="false">MAX(0,AE86-AD86)*AC86*roy_rate*B86*(1-IF(union_resp=2,lic_cut*Labour!S86,0))</f>
        <v>20.1383528510779</v>
      </c>
      <c r="AH86" s="55" t="n">
        <v>235</v>
      </c>
      <c r="AI86" s="56" t="n">
        <f aca="false">AH86*B86</f>
        <v>339.906120807534</v>
      </c>
      <c r="AJ86" s="55" t="n">
        <v>192</v>
      </c>
      <c r="AK86" s="56" t="n">
        <f aca="false">AJ86*B86</f>
        <v>277.710532744879</v>
      </c>
      <c r="AL86" s="48" t="n">
        <v>800</v>
      </c>
      <c r="AM86" s="56" t="n">
        <f aca="false">AL86*uw_fee*B86</f>
        <v>28.9281804942582</v>
      </c>
      <c r="AN86" s="55" t="n">
        <v>425</v>
      </c>
      <c r="AO86" s="55" t="n">
        <v>128</v>
      </c>
      <c r="AP86" s="56" t="n">
        <f aca="false">K86+T86+W86+Z86+AF86+AI86+AK86+AM86+AN86+AO86</f>
        <v>3314.76796775299</v>
      </c>
      <c r="AQ86" s="56" t="n">
        <f aca="false">AP86*(1-1/champ_prem+champ_spill)</f>
        <v>2301.92219982847</v>
      </c>
      <c r="AR86" s="66" t="n">
        <f aca="false">AP86/Economy!O86</f>
        <v>0.0771254252263878</v>
      </c>
      <c r="AS86" s="55" t="n">
        <v>1600</v>
      </c>
      <c r="AT86" s="55" t="n">
        <v>375</v>
      </c>
      <c r="AU86" s="55" t="n">
        <v>1075</v>
      </c>
      <c r="AV86" s="55" t="n">
        <v>188</v>
      </c>
      <c r="AW86" s="55" t="n">
        <v>273</v>
      </c>
      <c r="AX86" s="55" t="n">
        <v>780</v>
      </c>
      <c r="AY86" s="56" t="n">
        <f aca="false">Q86+(AS86+AT86+AU86+AV86+AW86+AX86)*B86</f>
        <v>8794.3711032088</v>
      </c>
      <c r="AZ86" s="56" t="n">
        <f aca="false">P86+(AS86*ret_rail+AT86*ret_tel+AU86*ret_elec+AV86*ret_auto+AW86*ret_chem+AX86*ret_steel)*B86*IF(OR($A86=1931,$A86=1932),abroad_slump,1)+AB86+AG86</f>
        <v>840.137063384481</v>
      </c>
      <c r="BA86" s="56" t="n">
        <f aca="false">AP86*champ_profit+AZ86</f>
        <v>1503.09065693508</v>
      </c>
      <c r="BB86" s="56" t="n">
        <f aca="false">(K86+AI86+AK86)*champ_profit+P86+(AS86*ret_rail+AT86*ret_tel+AU86*ret_elec)*B86*IF(OR($A86=1931,$A86=1932),abroad_slump,1)</f>
        <v>820.778686599979</v>
      </c>
      <c r="BC86" s="56" t="n">
        <f aca="false">(T86+W86+Z86+AF86+AN86+AO86)*champ_profit+(AV86*ret_auto+AW86*ret_chem+AX86*ret_steel)*B86*IF(OR($A86=1931,$A86=1932),abroad_slump,1)+AB86+AG86</f>
        <v>676.526334236248</v>
      </c>
      <c r="BD86" s="56" t="n">
        <f aca="false">IF($A86&gt;=crown_start,(BB86*crown_charter+BC86*crown_comp)*crown_payout,0)</f>
        <v>129.658389194447</v>
      </c>
      <c r="BE86" s="66" t="n">
        <f aca="false">IF(BB86+BC86&gt;0,(BB86*crown_charter+BC86*crown_comp)/(BA86),0)</f>
        <v>0.172522380597896</v>
      </c>
    </row>
    <row r="87" customFormat="false" ht="14.25" hidden="false" customHeight="false" outlineLevel="0" collapsed="false">
      <c r="A87" s="61" t="n">
        <v>1927</v>
      </c>
      <c r="B87" s="68" t="n">
        <f aca="false">champ_scale*(1+Labour!AP87)*(1+Partners!BX87)*(1-IF(union_resp=2,tariff_cut*Labour!S87,0))</f>
        <v>1.45984896876744</v>
      </c>
      <c r="C87" s="48" t="n">
        <v>9220</v>
      </c>
      <c r="D87" s="48" t="n">
        <v>950</v>
      </c>
      <c r="E87" s="48" t="n">
        <v>13110</v>
      </c>
      <c r="F87" s="50" t="n">
        <f aca="false">E87*B87</f>
        <v>19138.6199805412</v>
      </c>
      <c r="G87" s="50" t="n">
        <f aca="false">F87/Economy!B87*1000000</f>
        <v>812.77707042591</v>
      </c>
      <c r="H87" s="48" t="n">
        <v>366</v>
      </c>
      <c r="I87" s="70" t="n">
        <f aca="false">IF(H87&gt;0,G87/H87,0)</f>
        <v>2.22070237821287</v>
      </c>
      <c r="J87" s="71" t="n">
        <v>0.722</v>
      </c>
      <c r="K87" s="56" t="n">
        <f aca="false">Resources!K87*J87*B87</f>
        <v>267.012595344172</v>
      </c>
      <c r="L87" s="48" t="n">
        <v>467</v>
      </c>
      <c r="M87" s="62" t="n">
        <v>0.545</v>
      </c>
      <c r="N87" s="48" t="n">
        <v>82</v>
      </c>
      <c r="O87" s="71" t="n">
        <v>0.844</v>
      </c>
      <c r="P87" s="56" t="n">
        <f aca="false">(IF(Gulf!E87=1,0,L87*M87)+N87)*O87*B87</f>
        <v>414.624347911711</v>
      </c>
      <c r="Q87" s="56" t="n">
        <f aca="false">P87*oil_book</f>
        <v>2902.37043538198</v>
      </c>
      <c r="R87" s="71" t="n">
        <v>8.25</v>
      </c>
      <c r="S87" s="48" t="n">
        <v>25</v>
      </c>
      <c r="T87" s="56" t="n">
        <f aca="false">R87*S87*B87</f>
        <v>301.093849808285</v>
      </c>
      <c r="U87" s="48" t="n">
        <v>983.3</v>
      </c>
      <c r="V87" s="48" t="n">
        <v>330</v>
      </c>
      <c r="W87" s="56" t="n">
        <f aca="false">U87/1000*V87*B87</f>
        <v>473.704932026379</v>
      </c>
      <c r="X87" s="48" t="n">
        <v>7250</v>
      </c>
      <c r="Y87" s="62" t="n">
        <v>0.148</v>
      </c>
      <c r="Z87" s="56" t="n">
        <f aca="false">X87*Y87*chem_va*B87</f>
        <v>704.88807456936</v>
      </c>
      <c r="AA87" s="62" t="n">
        <v>0.116</v>
      </c>
      <c r="AB87" s="56" t="n">
        <f aca="false">X87*AA87*roy_rate*B87*(1-IF(union_resp=2,lic_cut*Labour!S87,0))</f>
        <v>25.7823926374018</v>
      </c>
      <c r="AC87" s="48" t="n">
        <v>3500</v>
      </c>
      <c r="AD87" s="62" t="n">
        <v>0.237</v>
      </c>
      <c r="AE87" s="62" t="n">
        <v>0.443</v>
      </c>
      <c r="AF87" s="56" t="n">
        <f aca="false">AC87*AD87*elec_va*B87</f>
        <v>544.925123816668</v>
      </c>
      <c r="AG87" s="56" t="n">
        <f aca="false">MAX(0,AE87-AD87)*AC87*roy_rate*B87*(1-IF(union_resp=2,lic_cut*Labour!S87,0))</f>
        <v>22.1035732361079</v>
      </c>
      <c r="AH87" s="55" t="n">
        <v>250</v>
      </c>
      <c r="AI87" s="56" t="n">
        <f aca="false">AH87*B87</f>
        <v>364.962242191861</v>
      </c>
      <c r="AJ87" s="55" t="n">
        <v>205</v>
      </c>
      <c r="AK87" s="56" t="n">
        <f aca="false">AJ87*B87</f>
        <v>299.269038597326</v>
      </c>
      <c r="AL87" s="48" t="n">
        <v>850</v>
      </c>
      <c r="AM87" s="56" t="n">
        <f aca="false">AL87*uw_fee*B87</f>
        <v>31.0217905863082</v>
      </c>
      <c r="AN87" s="55" t="n">
        <v>470</v>
      </c>
      <c r="AO87" s="55" t="n">
        <v>145</v>
      </c>
      <c r="AP87" s="56" t="n">
        <f aca="false">K87+T87+W87+Z87+AF87+AI87+AK87+AM87+AN87+AO87</f>
        <v>3601.87764694036</v>
      </c>
      <c r="AQ87" s="56" t="n">
        <f aca="false">AP87*(1-1/champ_prem+champ_spill)</f>
        <v>2501.30392148636</v>
      </c>
      <c r="AR87" s="66" t="n">
        <f aca="false">AP87/Economy!O87</f>
        <v>0.0807735192549663</v>
      </c>
      <c r="AS87" s="55" t="n">
        <v>1700</v>
      </c>
      <c r="AT87" s="55" t="n">
        <v>400</v>
      </c>
      <c r="AU87" s="55" t="n">
        <v>1250</v>
      </c>
      <c r="AV87" s="55" t="n">
        <v>225</v>
      </c>
      <c r="AW87" s="55" t="n">
        <v>299</v>
      </c>
      <c r="AX87" s="55" t="n">
        <v>797</v>
      </c>
      <c r="AY87" s="56" t="n">
        <f aca="false">Q87+(AS87+AT87+AU87+AV87+AW87+AX87)*B87</f>
        <v>9721.32496849471</v>
      </c>
      <c r="AZ87" s="56" t="n">
        <f aca="false">P87+(AS87*ret_rail+AT87*ret_tel+AU87*ret_elec+AV87*ret_auto+AW87*ret_chem+AX87*ret_steel)*B87*IF(OR($A87=1931,$A87=1932),abroad_slump,1)+AB87+AG87</f>
        <v>934.333500490859</v>
      </c>
      <c r="BA87" s="56" t="n">
        <f aca="false">AP87*champ_profit+AZ87</f>
        <v>1654.70902987893</v>
      </c>
      <c r="BB87" s="56" t="n">
        <f aca="false">(K87+AI87+AK87)*champ_profit+P87+(AS87*ret_rail+AT87*ret_tel+AU87*ret_elec)*B87*IF(OR($A87=1931,$A87=1932),abroad_slump,1)</f>
        <v>911.091029001465</v>
      </c>
      <c r="BC87" s="56" t="n">
        <f aca="false">(T87+W87+Z87+AF87+AN87+AO87)*champ_profit+(AV87*ret_auto+AW87*ret_chem+AX87*ret_steel)*B87*IF(OR($A87=1931,$A87=1932),abroad_slump,1)+AB87+AG87</f>
        <v>737.413642760204</v>
      </c>
      <c r="BD87" s="56" t="n">
        <f aca="false">IF($A87&gt;=crown_start,(BB87*crown_charter+BC87*crown_comp)*crown_payout,0)</f>
        <v>143.382924335591</v>
      </c>
      <c r="BE87" s="66" t="n">
        <f aca="false">IF(BB87+BC87&gt;0,(BB87*crown_charter+BC87*crown_comp)/(BA87),0)</f>
        <v>0.173302884974384</v>
      </c>
    </row>
    <row r="88" customFormat="false" ht="14.25" hidden="false" customHeight="false" outlineLevel="0" collapsed="false">
      <c r="A88" s="61" t="n">
        <v>1928</v>
      </c>
      <c r="B88" s="68" t="n">
        <f aca="false">champ_scale*(1+Labour!AP88)*(1+Partners!BX88)*(1-IF(union_resp=2,tariff_cut*Labour!S88,0))</f>
        <v>1.47191421331619</v>
      </c>
      <c r="C88" s="48" t="n">
        <v>9610</v>
      </c>
      <c r="D88" s="48" t="n">
        <v>920</v>
      </c>
      <c r="E88" s="48" t="n">
        <v>13560</v>
      </c>
      <c r="F88" s="50" t="n">
        <f aca="false">E88*B88</f>
        <v>19959.1567325675</v>
      </c>
      <c r="G88" s="50" t="n">
        <f aca="false">F88/Economy!B88*1000000</f>
        <v>820.630015550792</v>
      </c>
      <c r="H88" s="48" t="n">
        <v>369</v>
      </c>
      <c r="I88" s="70" t="n">
        <f aca="false">IF(H88&gt;0,G88/H88,0)</f>
        <v>2.22392958143846</v>
      </c>
      <c r="J88" s="71" t="n">
        <v>0.711</v>
      </c>
      <c r="K88" s="56" t="n">
        <f aca="false">Resources!K88*J88*B88</f>
        <v>289.543733338113</v>
      </c>
      <c r="L88" s="48" t="n">
        <v>533</v>
      </c>
      <c r="M88" s="62" t="n">
        <v>0.547</v>
      </c>
      <c r="N88" s="48" t="n">
        <v>86</v>
      </c>
      <c r="O88" s="71" t="n">
        <v>0.822</v>
      </c>
      <c r="P88" s="56" t="n">
        <f aca="false">(IF(Gulf!E88=1,0,L88*M88)+N88)*O88*B88</f>
        <v>456.804045550731</v>
      </c>
      <c r="Q88" s="56" t="n">
        <f aca="false">P88*oil_book</f>
        <v>3197.62831885512</v>
      </c>
      <c r="R88" s="71" t="n">
        <v>8.625</v>
      </c>
      <c r="S88" s="48" t="n">
        <v>25</v>
      </c>
      <c r="T88" s="56" t="n">
        <f aca="false">R88*S88*B88</f>
        <v>317.381502246303</v>
      </c>
      <c r="U88" s="48" t="n">
        <v>1066.7</v>
      </c>
      <c r="V88" s="48" t="n">
        <v>330</v>
      </c>
      <c r="W88" s="56" t="n">
        <f aca="false">U88/1000*V88*B88</f>
        <v>518.129994143645</v>
      </c>
      <c r="X88" s="48" t="n">
        <v>7625</v>
      </c>
      <c r="Y88" s="62" t="n">
        <v>0.149</v>
      </c>
      <c r="Z88" s="56" t="n">
        <f aca="false">X88*Y88*chem_va*B88</f>
        <v>752.525341021735</v>
      </c>
      <c r="AA88" s="62" t="n">
        <v>0.118</v>
      </c>
      <c r="AB88" s="56" t="n">
        <f aca="false">X88*AA88*roy_rate*B88*(1-IF(union_resp=2,lic_cut*Labour!S88,0))</f>
        <v>27.8114510820561</v>
      </c>
      <c r="AC88" s="48" t="n">
        <v>3750</v>
      </c>
      <c r="AD88" s="62" t="n">
        <v>0.239</v>
      </c>
      <c r="AE88" s="62" t="n">
        <v>0.447</v>
      </c>
      <c r="AF88" s="56" t="n">
        <f aca="false">AC88*AD88*elec_va*B88</f>
        <v>593.641401158086</v>
      </c>
      <c r="AG88" s="56" t="n">
        <f aca="false">MAX(0,AE88-AD88)*AC88*roy_rate*B88*(1-IF(union_resp=2,lic_cut*Labour!S88,0))</f>
        <v>24.1099548141192</v>
      </c>
      <c r="AH88" s="55" t="n">
        <v>265</v>
      </c>
      <c r="AI88" s="56" t="n">
        <f aca="false">AH88*B88</f>
        <v>390.05726652879</v>
      </c>
      <c r="AJ88" s="55" t="n">
        <v>218</v>
      </c>
      <c r="AK88" s="56" t="n">
        <f aca="false">AJ88*B88</f>
        <v>320.877298502929</v>
      </c>
      <c r="AL88" s="48" t="n">
        <v>900</v>
      </c>
      <c r="AM88" s="56" t="n">
        <f aca="false">AL88*uw_fee*B88</f>
        <v>33.1180697996143</v>
      </c>
      <c r="AN88" s="55" t="n">
        <v>515</v>
      </c>
      <c r="AO88" s="55" t="n">
        <v>162</v>
      </c>
      <c r="AP88" s="56" t="n">
        <f aca="false">K88+T88+W88+Z88+AF88+AI88+AK88+AM88+AN88+AO88</f>
        <v>3892.27460673922</v>
      </c>
      <c r="AQ88" s="56" t="n">
        <f aca="false">AP88*(1-1/champ_prem+champ_spill)</f>
        <v>2702.96847690223</v>
      </c>
      <c r="AR88" s="66" t="n">
        <f aca="false">AP88/Economy!O88</f>
        <v>0.0813315078640293</v>
      </c>
      <c r="AS88" s="55" t="n">
        <v>1800</v>
      </c>
      <c r="AT88" s="55" t="n">
        <v>425</v>
      </c>
      <c r="AU88" s="55" t="n">
        <v>1425</v>
      </c>
      <c r="AV88" s="55" t="n">
        <v>262</v>
      </c>
      <c r="AW88" s="55" t="n">
        <v>324</v>
      </c>
      <c r="AX88" s="55" t="n">
        <v>813</v>
      </c>
      <c r="AY88" s="56" t="n">
        <f aca="false">Q88+(AS88+AT88+AU88+AV88+AW88+AX88)*B88</f>
        <v>10629.3231818886</v>
      </c>
      <c r="AZ88" s="56" t="n">
        <f aca="false">P88+(AS88*ret_rail+AT88*ret_tel+AU88*ret_elec+AV88*ret_auto+AW88*ret_chem+AX88*ret_steel)*B88*IF(OR($A88=1931,$A88=1932),abroad_slump,1)+AB88+AG88</f>
        <v>1025.88251029555</v>
      </c>
      <c r="BA88" s="56" t="n">
        <f aca="false">AP88*champ_profit+AZ88</f>
        <v>1804.33743164339</v>
      </c>
      <c r="BB88" s="56" t="n">
        <f aca="false">(K88+AI88+AK88)*champ_profit+P88+(AS88*ret_rail+AT88*ret_tel+AU88*ret_elec)*B88*IF(OR($A88=1931,$A88=1932),abroad_slump,1)</f>
        <v>998.751781267383</v>
      </c>
      <c r="BC88" s="56" t="n">
        <f aca="false">(T88+W88+Z88+AF88+AN88+AO88)*champ_profit+(AV88*ret_auto+AW88*ret_chem+AX88*ret_steel)*B88*IF(OR($A88=1931,$A88=1932),abroad_slump,1)+AB88+AG88</f>
        <v>798.962036416088</v>
      </c>
      <c r="BD88" s="56" t="n">
        <f aca="false">IF($A88&gt;=crown_start,(BB88*crown_charter+BC88*crown_comp)*crown_payout,0)</f>
        <v>156.802454115066</v>
      </c>
      <c r="BE88" s="66" t="n">
        <f aca="false">IF(BB88+BC88&gt;0,(BB88*crown_charter+BC88*crown_comp)/(BA88),0)</f>
        <v>0.173806131120663</v>
      </c>
    </row>
    <row r="89" customFormat="false" ht="14.25" hidden="false" customHeight="false" outlineLevel="0" collapsed="false">
      <c r="A89" s="61" t="n">
        <v>1929</v>
      </c>
      <c r="B89" s="68" t="n">
        <f aca="false">champ_scale*(1+Labour!AP89)*(1+Partners!BX89)*(1-IF(union_resp=2,tariff_cut*Labour!S89,0))</f>
        <v>1.4848123294029</v>
      </c>
      <c r="C89" s="48" t="n">
        <v>10000</v>
      </c>
      <c r="D89" s="48" t="n">
        <v>900</v>
      </c>
      <c r="E89" s="48" t="n">
        <v>14000</v>
      </c>
      <c r="F89" s="50" t="n">
        <f aca="false">E89*B89</f>
        <v>20787.3726116406</v>
      </c>
      <c r="G89" s="50" t="n">
        <f aca="false">F89/Economy!B89*1000000</f>
        <v>827.629401579143</v>
      </c>
      <c r="H89" s="48" t="n">
        <v>371</v>
      </c>
      <c r="I89" s="70" t="n">
        <f aca="false">IF(H89&gt;0,G89/H89,0)</f>
        <v>2.2308070123427</v>
      </c>
      <c r="J89" s="71" t="n">
        <v>0.7</v>
      </c>
      <c r="K89" s="56" t="n">
        <f aca="false">Resources!K89*J89*B89</f>
        <v>311.810589174609</v>
      </c>
      <c r="L89" s="48" t="n">
        <v>600</v>
      </c>
      <c r="M89" s="62" t="n">
        <v>0.55</v>
      </c>
      <c r="N89" s="48" t="n">
        <v>90</v>
      </c>
      <c r="O89" s="71" t="n">
        <v>0.8</v>
      </c>
      <c r="P89" s="56" t="n">
        <f aca="false">(IF(Gulf!E89=1,0,L89*M89)+N89)*O89*B89</f>
        <v>498.896942679374</v>
      </c>
      <c r="Q89" s="56" t="n">
        <f aca="false">P89*oil_book</f>
        <v>3492.27859875562</v>
      </c>
      <c r="R89" s="71" t="n">
        <v>9</v>
      </c>
      <c r="S89" s="48" t="n">
        <v>25</v>
      </c>
      <c r="T89" s="56" t="n">
        <f aca="false">R89*S89*B89</f>
        <v>334.082774115652</v>
      </c>
      <c r="U89" s="48" t="n">
        <v>1150</v>
      </c>
      <c r="V89" s="48" t="n">
        <v>330</v>
      </c>
      <c r="W89" s="56" t="n">
        <f aca="false">U89/1000*V89*B89</f>
        <v>563.4862790084</v>
      </c>
      <c r="X89" s="48" t="n">
        <v>8000</v>
      </c>
      <c r="Y89" s="62" t="n">
        <v>0.15</v>
      </c>
      <c r="Z89" s="56" t="n">
        <f aca="false">X89*Y89*chem_va*B89</f>
        <v>801.798657877566</v>
      </c>
      <c r="AA89" s="62" t="n">
        <v>0.12</v>
      </c>
      <c r="AB89" s="56" t="n">
        <f aca="false">X89*AA89*roy_rate*B89*(1-IF(union_resp=2,lic_cut*Labour!S89,0))</f>
        <v>29.9338165607625</v>
      </c>
      <c r="AC89" s="48" t="n">
        <v>4000</v>
      </c>
      <c r="AD89" s="62" t="n">
        <v>0.24</v>
      </c>
      <c r="AE89" s="62" t="n">
        <v>0.45</v>
      </c>
      <c r="AF89" s="56" t="n">
        <f aca="false">AC89*AD89*elec_va*B89</f>
        <v>641.438926302053</v>
      </c>
      <c r="AG89" s="56" t="n">
        <f aca="false">MAX(0,AE89-AD89)*AC89*roy_rate*B89*(1-IF(union_resp=2,lic_cut*Labour!S89,0))</f>
        <v>26.1920894906671</v>
      </c>
      <c r="AH89" s="55" t="n">
        <v>280</v>
      </c>
      <c r="AI89" s="56" t="n">
        <f aca="false">AH89*B89</f>
        <v>415.747452232812</v>
      </c>
      <c r="AJ89" s="55" t="n">
        <v>230</v>
      </c>
      <c r="AK89" s="56" t="n">
        <f aca="false">AJ89*B89</f>
        <v>341.506835762667</v>
      </c>
      <c r="AL89" s="48" t="n">
        <v>600</v>
      </c>
      <c r="AM89" s="56" t="n">
        <f aca="false">AL89*uw_fee*B89</f>
        <v>22.2721849410435</v>
      </c>
      <c r="AN89" s="55" t="n">
        <v>560</v>
      </c>
      <c r="AO89" s="55" t="n">
        <v>180</v>
      </c>
      <c r="AP89" s="56" t="n">
        <f aca="false">K89+T89+W89+Z89+AF89+AI89+AK89+AM89+AN89+AO89</f>
        <v>4172.1436994148</v>
      </c>
      <c r="AQ89" s="56" t="n">
        <f aca="false">AP89*(1-1/champ_prem+champ_spill)</f>
        <v>2897.3220134825</v>
      </c>
      <c r="AR89" s="66" t="n">
        <f aca="false">AP89/Economy!O89</f>
        <v>0.0821590100573819</v>
      </c>
      <c r="AS89" s="55" t="n">
        <v>1900</v>
      </c>
      <c r="AT89" s="55" t="n">
        <v>450</v>
      </c>
      <c r="AU89" s="55" t="n">
        <v>1600</v>
      </c>
      <c r="AV89" s="55" t="n">
        <v>300</v>
      </c>
      <c r="AW89" s="55" t="n">
        <v>350</v>
      </c>
      <c r="AX89" s="55" t="n">
        <v>830</v>
      </c>
      <c r="AY89" s="56" t="n">
        <f aca="false">Q89+(AS89+AT89+AU89+AV89+AW89+AX89)*B89</f>
        <v>11554.8095474134</v>
      </c>
      <c r="AZ89" s="56" t="n">
        <f aca="false">P89+(AS89*ret_rail+AT89*ret_tel+AU89*ret_elec+AV89*ret_auto+AW89*ret_chem+AX89*ret_steel)*B89*IF(OR($A89=1931,$A89=1932),abroad_slump,1)+AB89+AG89</f>
        <v>1118.95457143802</v>
      </c>
      <c r="BA89" s="56" t="n">
        <f aca="false">AP89*champ_profit+AZ89</f>
        <v>1953.38331132099</v>
      </c>
      <c r="BB89" s="56" t="n">
        <f aca="false">(K89+AI89+AK89)*champ_profit+P89+(AS89*ret_rail+AT89*ret_tel+AU89*ret_elec)*B89*IF(OR($A89=1931,$A89=1932),abroad_slump,1)</f>
        <v>1086.88262512292</v>
      </c>
      <c r="BC89" s="56" t="n">
        <f aca="false">(T89+W89+Z89+AF89+AN89+AO89)*champ_profit+(AV89*ret_auto+AW89*ret_chem+AX89*ret_steel)*B89*IF(OR($A89=1931,$A89=1932),abroad_slump,1)+AB89+AG89</f>
        <v>862.046249209854</v>
      </c>
      <c r="BD89" s="56" t="n">
        <f aca="false">IF($A89&gt;=crown_start,(BB89*crown_charter+BC89*crown_comp)*crown_payout,0)</f>
        <v>170.34217810876</v>
      </c>
      <c r="BE89" s="66" t="n">
        <f aca="false">IF(BB89+BC89&gt;0,(BB89*crown_charter+BC89*crown_comp)/(BA89),0)</f>
        <v>0.174407324073599</v>
      </c>
    </row>
    <row r="90" customFormat="false" ht="14.25" hidden="false" customHeight="false" outlineLevel="0" collapsed="false">
      <c r="A90" s="61" t="n">
        <v>1930</v>
      </c>
      <c r="B90" s="68" t="n">
        <f aca="false">champ_scale*(1+Labour!AP90)*(1+Partners!BX90)*(1-IF(union_resp=2,tariff_cut*Labour!S90,0))</f>
        <v>1.49847256918871</v>
      </c>
      <c r="C90" s="48" t="n">
        <v>10170</v>
      </c>
      <c r="D90" s="48" t="n">
        <v>1100</v>
      </c>
      <c r="E90" s="48" t="n">
        <v>13500</v>
      </c>
      <c r="F90" s="50" t="n">
        <f aca="false">E90*B90</f>
        <v>20229.3796840476</v>
      </c>
      <c r="G90" s="50" t="n">
        <f aca="false">F90/Economy!B90*1000000</f>
        <v>783.203272647221</v>
      </c>
      <c r="H90" s="48" t="n">
        <v>390</v>
      </c>
      <c r="I90" s="70" t="n">
        <f aca="false">IF(H90&gt;0,G90/H90,0)</f>
        <v>2.00821351960826</v>
      </c>
      <c r="J90" s="71" t="n">
        <v>0.617</v>
      </c>
      <c r="K90" s="56" t="n">
        <f aca="false">Resources!K90*J90*B90</f>
        <v>240.384969549252</v>
      </c>
      <c r="L90" s="48" t="n">
        <v>560</v>
      </c>
      <c r="M90" s="62" t="n">
        <v>0.55</v>
      </c>
      <c r="N90" s="48" t="n">
        <v>85</v>
      </c>
      <c r="O90" s="71" t="n">
        <v>0.717</v>
      </c>
      <c r="P90" s="56" t="n">
        <f aca="false">(IF(Gulf!E90=1,0,L90*M90)+N90)*O90*B90</f>
        <v>422.241099018563</v>
      </c>
      <c r="Q90" s="56" t="n">
        <f aca="false">P90*oil_book</f>
        <v>2955.68769312994</v>
      </c>
      <c r="R90" s="71" t="n">
        <v>7</v>
      </c>
      <c r="S90" s="48" t="n">
        <v>23</v>
      </c>
      <c r="T90" s="56" t="n">
        <f aca="false">R90*S90*B90</f>
        <v>241.254083639382</v>
      </c>
      <c r="U90" s="48" t="n">
        <v>850</v>
      </c>
      <c r="V90" s="48" t="n">
        <v>320</v>
      </c>
      <c r="W90" s="56" t="n">
        <f aca="false">U90/1000*V90*B90</f>
        <v>407.584538819328</v>
      </c>
      <c r="X90" s="48" t="n">
        <v>7000</v>
      </c>
      <c r="Y90" s="62" t="n">
        <v>0.153</v>
      </c>
      <c r="Z90" s="56" t="n">
        <f aca="false">X90*Y90*chem_va*B90</f>
        <v>722.188854720498</v>
      </c>
      <c r="AA90" s="62" t="n">
        <v>0.12</v>
      </c>
      <c r="AB90" s="56" t="n">
        <f aca="false">X90*AA90*roy_rate*B90*(1-IF(union_resp=2,lic_cut*Labour!S90,0))</f>
        <v>26.4330561204888</v>
      </c>
      <c r="AC90" s="48" t="n">
        <v>3500</v>
      </c>
      <c r="AD90" s="62" t="n">
        <v>0.24</v>
      </c>
      <c r="AE90" s="62" t="n">
        <v>0.45</v>
      </c>
      <c r="AF90" s="56" t="n">
        <f aca="false">AC90*AD90*elec_va*B90</f>
        <v>566.422631153331</v>
      </c>
      <c r="AG90" s="56" t="n">
        <f aca="false">MAX(0,AE90-AD90)*AC90*roy_rate*B90*(1-IF(union_resp=2,lic_cut*Labour!S90,0))</f>
        <v>23.1289241054277</v>
      </c>
      <c r="AH90" s="55" t="n">
        <v>267</v>
      </c>
      <c r="AI90" s="56" t="n">
        <f aca="false">AH90*B90</f>
        <v>400.092175973385</v>
      </c>
      <c r="AJ90" s="55" t="n">
        <v>203</v>
      </c>
      <c r="AK90" s="56" t="n">
        <f aca="false">AJ90*B90</f>
        <v>304.189931545308</v>
      </c>
      <c r="AL90" s="48" t="n">
        <v>300</v>
      </c>
      <c r="AM90" s="56" t="n">
        <f aca="false">AL90*uw_fee*B90</f>
        <v>11.2385442689153</v>
      </c>
      <c r="AN90" s="55" t="n">
        <v>513</v>
      </c>
      <c r="AO90" s="55" t="n">
        <v>157</v>
      </c>
      <c r="AP90" s="56" t="n">
        <f aca="false">K90+T90+W90+Z90+AF90+AI90+AK90+AM90+AN90+AO90</f>
        <v>3563.3557296694</v>
      </c>
      <c r="AQ90" s="56" t="n">
        <f aca="false">AP90*(1-1/champ_prem+champ_spill)</f>
        <v>2474.55259004819</v>
      </c>
      <c r="AR90" s="66" t="n">
        <f aca="false">AP90/Economy!O90</f>
        <v>0.074839639797393</v>
      </c>
      <c r="AS90" s="55" t="n">
        <v>1867</v>
      </c>
      <c r="AT90" s="55" t="n">
        <v>443</v>
      </c>
      <c r="AU90" s="55" t="n">
        <v>1567</v>
      </c>
      <c r="AV90" s="55" t="n">
        <v>287</v>
      </c>
      <c r="AW90" s="55" t="n">
        <v>343</v>
      </c>
      <c r="AX90" s="55" t="n">
        <v>820</v>
      </c>
      <c r="AY90" s="56" t="n">
        <f aca="false">Q90+(AS90+AT90+AU90+AV90+AW90+AX90)*B90</f>
        <v>10938.0510691982</v>
      </c>
      <c r="AZ90" s="56" t="n">
        <f aca="false">P90+(AS90*ret_rail+AT90*ret_tel+AU90*ret_elec+AV90*ret_auto+AW90*ret_chem+AX90*ret_steel)*B90*IF(OR($A90=1931,$A90=1932),abroad_slump,1)+AB90+AG90</f>
        <v>1029.44466114237</v>
      </c>
      <c r="BA90" s="56" t="n">
        <f aca="false">AP90*champ_profit+AZ90</f>
        <v>1742.11580707625</v>
      </c>
      <c r="BB90" s="56" t="n">
        <f aca="false">(K90+AI90+AK90)*champ_profit+P90+(AS90*ret_rail+AT90*ret_tel+AU90*ret_elec)*B90*IF(OR($A90=1931,$A90=1932),abroad_slump,1)</f>
        <v>981.806719695287</v>
      </c>
      <c r="BC90" s="56" t="n">
        <f aca="false">(T90+W90+Z90+AF90+AN90+AO90)*champ_profit+(AV90*ret_auto+AW90*ret_chem+AX90*ret_steel)*B90*IF(OR($A90=1931,$A90=1932),abroad_slump,1)+AB90+AG90</f>
        <v>758.061378527175</v>
      </c>
      <c r="BD90" s="56" t="n">
        <f aca="false">IF($A90&gt;=crown_start,(BB90*crown_charter+BC90*crown_comp)*crown_payout,0)</f>
        <v>153.048295102998</v>
      </c>
      <c r="BE90" s="66" t="n">
        <f aca="false">IF(BB90+BC90&gt;0,(BB90*crown_charter+BC90*crown_comp)/(BA90),0)</f>
        <v>0.175703927926417</v>
      </c>
    </row>
    <row r="91" customFormat="false" ht="14.25" hidden="false" customHeight="false" outlineLevel="0" collapsed="false">
      <c r="A91" s="61" t="n">
        <v>1931</v>
      </c>
      <c r="B91" s="68" t="n">
        <f aca="false">champ_scale*(1+Labour!AP91)*(1+Partners!BX91)*(1-IF(union_resp=2,tariff_cut*Labour!S91,0))</f>
        <v>1.511822460387</v>
      </c>
      <c r="C91" s="48" t="n">
        <v>10330</v>
      </c>
      <c r="D91" s="48" t="n">
        <v>1300</v>
      </c>
      <c r="E91" s="48" t="n">
        <v>13000</v>
      </c>
      <c r="F91" s="50" t="n">
        <f aca="false">E91*B91</f>
        <v>19653.691985031</v>
      </c>
      <c r="G91" s="50" t="n">
        <f aca="false">F91/Economy!B91*1000000</f>
        <v>743.734928755941</v>
      </c>
      <c r="H91" s="48" t="n">
        <v>409</v>
      </c>
      <c r="I91" s="70" t="n">
        <f aca="false">IF(H91&gt;0,G91/H91,0)</f>
        <v>1.81842280869423</v>
      </c>
      <c r="J91" s="71" t="n">
        <v>0.533</v>
      </c>
      <c r="K91" s="56" t="n">
        <f aca="false">Resources!K91*J91*B91</f>
        <v>177.276301704979</v>
      </c>
      <c r="L91" s="48" t="n">
        <v>520</v>
      </c>
      <c r="M91" s="62" t="n">
        <v>0.55</v>
      </c>
      <c r="N91" s="48" t="n">
        <v>78</v>
      </c>
      <c r="O91" s="71" t="n">
        <v>0.633</v>
      </c>
      <c r="P91" s="56" t="n">
        <f aca="false">(IF(Gulf!E91=1,0,L91*M91)+N91)*O91*B91</f>
        <v>348.342036742689</v>
      </c>
      <c r="Q91" s="56" t="n">
        <f aca="false">P91*oil_book</f>
        <v>2438.39425719882</v>
      </c>
      <c r="R91" s="71" t="n">
        <v>5.5</v>
      </c>
      <c r="S91" s="48" t="n">
        <v>22</v>
      </c>
      <c r="T91" s="56" t="n">
        <f aca="false">R91*S91*B91</f>
        <v>182.930517706827</v>
      </c>
      <c r="U91" s="48" t="n">
        <v>650</v>
      </c>
      <c r="V91" s="48" t="n">
        <v>310</v>
      </c>
      <c r="W91" s="56" t="n">
        <f aca="false">U91/1000*V91*B91</f>
        <v>304.63222576798</v>
      </c>
      <c r="X91" s="48" t="n">
        <v>6000</v>
      </c>
      <c r="Y91" s="62" t="n">
        <v>0.157</v>
      </c>
      <c r="Z91" s="56" t="n">
        <f aca="false">X91*Y91*chem_va*B91</f>
        <v>640.861540958049</v>
      </c>
      <c r="AA91" s="62" t="n">
        <v>0.12</v>
      </c>
      <c r="AB91" s="56" t="n">
        <f aca="false">X91*AA91*roy_rate*B91*(1-IF(union_resp=2,lic_cut*Labour!S91,0))</f>
        <v>22.8587556010514</v>
      </c>
      <c r="AC91" s="48" t="n">
        <v>2900</v>
      </c>
      <c r="AD91" s="62" t="n">
        <v>0.24</v>
      </c>
      <c r="AE91" s="62" t="n">
        <v>0.45</v>
      </c>
      <c r="AF91" s="56" t="n">
        <f aca="false">AC91*AD91*elec_va*B91</f>
        <v>473.502794593208</v>
      </c>
      <c r="AG91" s="56" t="n">
        <f aca="false">MAX(0,AE91-AD91)*AC91*roy_rate*B91*(1-IF(union_resp=2,lic_cut*Labour!S91,0))</f>
        <v>19.3346974458893</v>
      </c>
      <c r="AH91" s="55" t="n">
        <v>253</v>
      </c>
      <c r="AI91" s="56" t="n">
        <f aca="false">AH91*B91</f>
        <v>382.491082477911</v>
      </c>
      <c r="AJ91" s="55" t="n">
        <v>177</v>
      </c>
      <c r="AK91" s="56" t="n">
        <f aca="false">AJ91*B91</f>
        <v>267.592575488499</v>
      </c>
      <c r="AL91" s="48" t="n">
        <v>50</v>
      </c>
      <c r="AM91" s="56" t="n">
        <f aca="false">AL91*uw_fee*B91</f>
        <v>1.88977807548375</v>
      </c>
      <c r="AN91" s="55" t="n">
        <v>467</v>
      </c>
      <c r="AO91" s="55" t="n">
        <v>133</v>
      </c>
      <c r="AP91" s="56" t="n">
        <f aca="false">K91+T91+W91+Z91+AF91+AI91+AK91+AM91+AN91+AO91</f>
        <v>3031.17681677294</v>
      </c>
      <c r="AQ91" s="56" t="n">
        <f aca="false">AP91*(1-1/champ_prem+champ_spill)</f>
        <v>2104.98390053676</v>
      </c>
      <c r="AR91" s="66" t="n">
        <f aca="false">AP91/Economy!O91</f>
        <v>0.070567886859463</v>
      </c>
      <c r="AS91" s="55" t="n">
        <v>1833</v>
      </c>
      <c r="AT91" s="55" t="n">
        <v>437</v>
      </c>
      <c r="AU91" s="55" t="n">
        <v>1533</v>
      </c>
      <c r="AV91" s="55" t="n">
        <v>273</v>
      </c>
      <c r="AW91" s="55" t="n">
        <v>337</v>
      </c>
      <c r="AX91" s="55" t="n">
        <v>810</v>
      </c>
      <c r="AY91" s="56" t="n">
        <f aca="false">Q91+(AS91+AT91+AU91+AV91+AW91+AX91)*B91</f>
        <v>10334.6429678001</v>
      </c>
      <c r="AZ91" s="56" t="n">
        <f aca="false">P91+(AS91*ret_rail+AT91*ret_tel+AU91*ret_elec+AV91*ret_auto+AW91*ret_chem+AX91*ret_steel)*B91*IF(OR($A91=1931,$A91=1932),abroad_slump,1)+AB91+AG91</f>
        <v>776.234659528482</v>
      </c>
      <c r="BA91" s="56" t="n">
        <f aca="false">AP91*champ_profit+AZ91</f>
        <v>1382.47002288307</v>
      </c>
      <c r="BB91" s="56" t="n">
        <f aca="false">(K91+AI91+AK91)*champ_profit+P91+(AS91*ret_rail+AT91*ret_tel+AU91*ret_elec)*B91*IF(OR($A91=1931,$A91=1932),abroad_slump,1)</f>
        <v>770.615215443223</v>
      </c>
      <c r="BC91" s="56" t="n">
        <f aca="false">(T91+W91+Z91+AF91+AN91+AO91)*champ_profit+(AV91*ret_auto+AW91*ret_chem+AX91*ret_steel)*B91*IF(OR($A91=1931,$A91=1932),abroad_slump,1)+AB91+AG91</f>
        <v>611.476851824749</v>
      </c>
      <c r="BD91" s="56" t="n">
        <f aca="false">IF($A91&gt;=crown_start,(BB91*crown_charter+BC91*crown_comp)*crown_payout,0)</f>
        <v>120.785976003393</v>
      </c>
      <c r="BE91" s="66" t="n">
        <f aca="false">IF(BB91+BC91&gt;0,(BB91*crown_charter+BC91*crown_comp)/(BA91),0)</f>
        <v>0.174739378075627</v>
      </c>
    </row>
    <row r="92" customFormat="false" ht="14.25" hidden="false" customHeight="false" outlineLevel="0" collapsed="false">
      <c r="A92" s="61" t="n">
        <v>1932</v>
      </c>
      <c r="B92" s="68" t="n">
        <f aca="false">champ_scale*(1+Labour!AP92)*(1+Partners!BX92)*(1-IF(union_resp=2,tariff_cut*Labour!S92,0))</f>
        <v>1.52755904980579</v>
      </c>
      <c r="C92" s="48" t="n">
        <v>10500</v>
      </c>
      <c r="D92" s="48" t="n">
        <v>1500</v>
      </c>
      <c r="E92" s="48" t="n">
        <v>12500</v>
      </c>
      <c r="F92" s="50" t="n">
        <f aca="false">E92*B92</f>
        <v>19094.4881225723</v>
      </c>
      <c r="G92" s="50" t="n">
        <f aca="false">F92/Economy!B92*1000000</f>
        <v>706.848904067177</v>
      </c>
      <c r="H92" s="48" t="n">
        <v>428</v>
      </c>
      <c r="I92" s="70" t="n">
        <f aca="false">IF(H92&gt;0,G92/H92,0)</f>
        <v>1.65151613099808</v>
      </c>
      <c r="J92" s="71" t="n">
        <v>0.45</v>
      </c>
      <c r="K92" s="56" t="n">
        <f aca="false">Resources!K92*J92*B92</f>
        <v>105.172440579128</v>
      </c>
      <c r="L92" s="48" t="n">
        <v>450</v>
      </c>
      <c r="M92" s="62" t="n">
        <v>0.55</v>
      </c>
      <c r="N92" s="48" t="n">
        <v>72</v>
      </c>
      <c r="O92" s="71" t="n">
        <v>0.55</v>
      </c>
      <c r="P92" s="56" t="n">
        <f aca="false">(IF(Gulf!E92=1,0,L92*M92)+N92)*O92*B92</f>
        <v>268.430314027122</v>
      </c>
      <c r="Q92" s="56" t="n">
        <f aca="false">P92*oil_book</f>
        <v>1879.01219818985</v>
      </c>
      <c r="R92" s="71" t="n">
        <v>4</v>
      </c>
      <c r="S92" s="48" t="n">
        <v>20</v>
      </c>
      <c r="T92" s="56" t="n">
        <f aca="false">R92*S92*B92</f>
        <v>122.204723984463</v>
      </c>
      <c r="U92" s="48" t="n">
        <v>450</v>
      </c>
      <c r="V92" s="48" t="n">
        <v>300</v>
      </c>
      <c r="W92" s="56" t="n">
        <f aca="false">U92/1000*V92*B92</f>
        <v>206.220471723781</v>
      </c>
      <c r="X92" s="48" t="n">
        <v>5500</v>
      </c>
      <c r="Y92" s="62" t="n">
        <v>0.16</v>
      </c>
      <c r="Z92" s="56" t="n">
        <f aca="false">X92*Y92*chem_va*B92</f>
        <v>604.913383723091</v>
      </c>
      <c r="AA92" s="62" t="n">
        <v>0.12</v>
      </c>
      <c r="AB92" s="56" t="n">
        <f aca="false">X92*AA92*roy_rate*B92*(1-IF(union_resp=2,lic_cut*Labour!S92,0))</f>
        <v>21.1719684303082</v>
      </c>
      <c r="AC92" s="48" t="n">
        <v>2500</v>
      </c>
      <c r="AD92" s="62" t="n">
        <v>0.24</v>
      </c>
      <c r="AE92" s="62" t="n">
        <v>0.45</v>
      </c>
      <c r="AF92" s="56" t="n">
        <f aca="false">AC92*AD92*elec_va*B92</f>
        <v>412.440943447562</v>
      </c>
      <c r="AG92" s="56" t="n">
        <f aca="false">MAX(0,AE92-AD92)*AC92*roy_rate*B92*(1-IF(union_resp=2,lic_cut*Labour!S92,0))</f>
        <v>16.8413385241088</v>
      </c>
      <c r="AH92" s="55" t="n">
        <v>240</v>
      </c>
      <c r="AI92" s="56" t="n">
        <f aca="false">AH92*B92</f>
        <v>366.614171953388</v>
      </c>
      <c r="AJ92" s="55" t="n">
        <v>150</v>
      </c>
      <c r="AK92" s="56" t="n">
        <f aca="false">AJ92*B92</f>
        <v>229.133857470868</v>
      </c>
      <c r="AL92" s="48" t="n">
        <v>20</v>
      </c>
      <c r="AM92" s="56" t="n">
        <f aca="false">AL92*uw_fee*B92</f>
        <v>0.763779524902893</v>
      </c>
      <c r="AN92" s="55" t="n">
        <v>420</v>
      </c>
      <c r="AO92" s="55" t="n">
        <v>110</v>
      </c>
      <c r="AP92" s="56" t="n">
        <f aca="false">K92+T92+W92+Z92+AF92+AI92+AK92+AM92+AN92+AO92</f>
        <v>2577.46377240718</v>
      </c>
      <c r="AQ92" s="56" t="n">
        <f aca="false">AP92*(1-1/champ_prem+champ_spill)</f>
        <v>1789.90539750499</v>
      </c>
      <c r="AR92" s="66" t="n">
        <f aca="false">AP92/Economy!O92</f>
        <v>0.0652599573448628</v>
      </c>
      <c r="AS92" s="55" t="n">
        <v>1800</v>
      </c>
      <c r="AT92" s="55" t="n">
        <v>430</v>
      </c>
      <c r="AU92" s="55" t="n">
        <v>1500</v>
      </c>
      <c r="AV92" s="55" t="n">
        <v>260</v>
      </c>
      <c r="AW92" s="55" t="n">
        <v>330</v>
      </c>
      <c r="AX92" s="55" t="n">
        <v>800</v>
      </c>
      <c r="AY92" s="56" t="n">
        <f aca="false">Q92+(AS92+AT92+AU92+AV92+AW92+AX92)*B92</f>
        <v>9700.11453319547</v>
      </c>
      <c r="AZ92" s="56" t="n">
        <f aca="false">P92+(AS92*ret_rail+AT92*ret_tel+AU92*ret_elec+AV92*ret_auto+AW92*ret_chem+AX92*ret_steel)*B92*IF(OR($A92=1931,$A92=1932),abroad_slump,1)+AB92+AG92</f>
        <v>687.966769261032</v>
      </c>
      <c r="BA92" s="56" t="n">
        <f aca="false">AP92*champ_profit+AZ92</f>
        <v>1203.45952374247</v>
      </c>
      <c r="BB92" s="56" t="n">
        <f aca="false">(K92+AI92+AK92)*champ_profit+P92+(AS92*ret_rail+AT92*ret_tel+AU92*ret_elec)*B92*IF(OR($A92=1931,$A92=1932),abroad_slump,1)</f>
        <v>663.105745725442</v>
      </c>
      <c r="BC92" s="56" t="n">
        <f aca="false">(T92+W92+Z92+AF92+AN92+AO92)*champ_profit+(AV92*ret_auto+AW92*ret_chem+AX92*ret_steel)*B92*IF(OR($A92=1931,$A92=1932),abroad_slump,1)+AB92+AG92</f>
        <v>540.201022112045</v>
      </c>
      <c r="BD92" s="56" t="n">
        <f aca="false">IF($A92&gt;=crown_start,(BB92*crown_charter+BC92*crown_comp)*crown_payout,0)</f>
        <v>104.496259100162</v>
      </c>
      <c r="BE92" s="66" t="n">
        <f aca="false">IF(BB92+BC92&gt;0,(BB92*crown_charter+BC92*crown_comp)/(BA92),0)</f>
        <v>0.173659781718631</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55" hidden="false" customHeight="false" outlineLevel="0" collapsed="false">
      <c r="A1" s="19" t="s">
        <v>1461</v>
      </c>
    </row>
    <row r="2" customFormat="false" ht="14.25" hidden="false" customHeight="false" outlineLevel="0" collapsed="false">
      <c r="A2" s="3" t="s">
        <v>1462</v>
      </c>
    </row>
    <row r="3" customFormat="false" ht="14.25" hidden="false" customHeight="false" outlineLevel="0" collapsed="false">
      <c r="A3" s="20" t="s">
        <v>1166</v>
      </c>
    </row>
    <row r="4" customFormat="false" ht="14.25" hidden="false" customHeight="false" outlineLevel="0" collapsed="false">
      <c r="B4" s="58" t="s">
        <v>1463</v>
      </c>
      <c r="C4" s="58"/>
      <c r="D4" s="58"/>
      <c r="E4" s="58"/>
      <c r="F4" s="58"/>
      <c r="G4" s="58"/>
      <c r="H4" s="58"/>
      <c r="I4" s="58"/>
      <c r="J4" s="58" t="s">
        <v>146</v>
      </c>
      <c r="K4" s="58"/>
      <c r="L4" s="58"/>
      <c r="M4" s="58"/>
      <c r="N4" s="58"/>
      <c r="O4" s="58"/>
      <c r="P4" s="58"/>
      <c r="Q4" s="58"/>
      <c r="R4" s="58"/>
      <c r="S4" s="58" t="s">
        <v>1464</v>
      </c>
      <c r="T4" s="58"/>
      <c r="U4" s="58"/>
      <c r="V4" s="58"/>
      <c r="W4" s="58"/>
      <c r="X4" s="58"/>
      <c r="Y4" s="58"/>
      <c r="Z4" s="58"/>
      <c r="AA4" s="58"/>
      <c r="AB4" s="58"/>
      <c r="AC4" s="58"/>
      <c r="AD4" s="58"/>
      <c r="AE4" s="58"/>
      <c r="AF4" s="58"/>
      <c r="AG4" s="58" t="s">
        <v>1465</v>
      </c>
      <c r="AH4" s="58"/>
      <c r="AI4" s="58"/>
      <c r="AJ4" s="58"/>
      <c r="AK4" s="58"/>
      <c r="AL4" s="58"/>
      <c r="AM4" s="58" t="s">
        <v>1466</v>
      </c>
      <c r="AN4" s="58"/>
      <c r="AO4" s="58"/>
      <c r="AP4" s="58"/>
      <c r="AQ4" s="58" t="s">
        <v>1467</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1468</v>
      </c>
      <c r="C5" s="7" t="s">
        <v>1469</v>
      </c>
      <c r="D5" s="7" t="s">
        <v>1470</v>
      </c>
      <c r="E5" s="7" t="s">
        <v>1471</v>
      </c>
      <c r="F5" s="7" t="s">
        <v>1472</v>
      </c>
      <c r="G5" s="7" t="s">
        <v>19</v>
      </c>
      <c r="H5" s="7" t="s">
        <v>1473</v>
      </c>
      <c r="I5" s="7" t="s">
        <v>1474</v>
      </c>
      <c r="J5" s="7" t="s">
        <v>1475</v>
      </c>
      <c r="K5" s="7" t="s">
        <v>1476</v>
      </c>
      <c r="L5" s="7" t="s">
        <v>1477</v>
      </c>
      <c r="M5" s="7" t="s">
        <v>1478</v>
      </c>
      <c r="N5" s="7" t="s">
        <v>1479</v>
      </c>
      <c r="O5" s="7" t="s">
        <v>1238</v>
      </c>
      <c r="P5" s="7" t="s">
        <v>1480</v>
      </c>
      <c r="Q5" s="7" t="s">
        <v>1481</v>
      </c>
      <c r="R5" s="7" t="s">
        <v>1482</v>
      </c>
      <c r="S5" s="7" t="s">
        <v>1483</v>
      </c>
      <c r="T5" s="7" t="s">
        <v>1484</v>
      </c>
      <c r="U5" s="7" t="s">
        <v>1485</v>
      </c>
      <c r="V5" s="7" t="s">
        <v>1486</v>
      </c>
      <c r="W5" s="7" t="s">
        <v>1487</v>
      </c>
      <c r="X5" s="7" t="s">
        <v>1488</v>
      </c>
      <c r="Y5" s="7" t="s">
        <v>1489</v>
      </c>
      <c r="Z5" s="7" t="s">
        <v>1490</v>
      </c>
      <c r="AA5" s="7" t="s">
        <v>1491</v>
      </c>
      <c r="AB5" s="7" t="s">
        <v>1492</v>
      </c>
      <c r="AC5" s="7" t="s">
        <v>1493</v>
      </c>
      <c r="AD5" s="7" t="s">
        <v>1494</v>
      </c>
      <c r="AE5" s="7" t="s">
        <v>1495</v>
      </c>
      <c r="AF5" s="7" t="s">
        <v>1496</v>
      </c>
      <c r="AG5" s="7" t="s">
        <v>1497</v>
      </c>
      <c r="AH5" s="7" t="s">
        <v>1498</v>
      </c>
      <c r="AI5" s="7" t="s">
        <v>1499</v>
      </c>
      <c r="AJ5" s="7" t="s">
        <v>1500</v>
      </c>
      <c r="AK5" s="7" t="s">
        <v>1501</v>
      </c>
      <c r="AL5" s="7" t="s">
        <v>1502</v>
      </c>
      <c r="AM5" s="7" t="s">
        <v>1503</v>
      </c>
      <c r="AN5" s="7" t="s">
        <v>1504</v>
      </c>
      <c r="AO5" s="7" t="s">
        <v>1505</v>
      </c>
      <c r="AP5" s="7" t="s">
        <v>1506</v>
      </c>
      <c r="AQ5" s="7" t="s">
        <v>1507</v>
      </c>
      <c r="AR5" s="7" t="s">
        <v>1508</v>
      </c>
      <c r="AS5" s="7" t="s">
        <v>1509</v>
      </c>
      <c r="AT5" s="7" t="s">
        <v>1510</v>
      </c>
      <c r="AU5" s="7" t="s">
        <v>1511</v>
      </c>
      <c r="AV5" s="7" t="s">
        <v>1512</v>
      </c>
      <c r="AW5" s="7" t="s">
        <v>1513</v>
      </c>
      <c r="AX5" s="7" t="s">
        <v>21</v>
      </c>
      <c r="AY5" s="7" t="s">
        <v>1514</v>
      </c>
      <c r="AZ5" s="7" t="s">
        <v>1515</v>
      </c>
      <c r="BA5" s="7" t="s">
        <v>1516</v>
      </c>
      <c r="BB5" s="7" t="s">
        <v>1517</v>
      </c>
      <c r="BC5" s="7" t="s">
        <v>1518</v>
      </c>
      <c r="BD5" s="7" t="s">
        <v>1519</v>
      </c>
      <c r="BE5" s="7" t="s">
        <v>1520</v>
      </c>
      <c r="BF5" s="7" t="s">
        <v>1521</v>
      </c>
      <c r="BG5" s="7" t="s">
        <v>1522</v>
      </c>
      <c r="BH5" s="7" t="s">
        <v>1523</v>
      </c>
      <c r="BI5" s="7" t="s">
        <v>1524</v>
      </c>
      <c r="BJ5" s="7" t="s">
        <v>1525</v>
      </c>
      <c r="BK5" s="7" t="s">
        <v>1526</v>
      </c>
      <c r="BL5" s="7" t="s">
        <v>20</v>
      </c>
      <c r="BM5" s="7" t="s">
        <v>1527</v>
      </c>
      <c r="BN5" s="7" t="s">
        <v>1528</v>
      </c>
      <c r="BO5" s="7" t="s">
        <v>1529</v>
      </c>
      <c r="BP5" s="7" t="s">
        <v>1530</v>
      </c>
    </row>
    <row r="6" customFormat="false" ht="14.25" hidden="false" customHeight="false" outlineLevel="0" collapsed="false">
      <c r="A6" s="61" t="n">
        <v>1846</v>
      </c>
      <c r="B6" s="50" t="n">
        <f aca="false">Economy!B6*lf_rate</f>
        <v>72271.5</v>
      </c>
      <c r="C6" s="50" t="n">
        <f aca="false">Economy!O6*1000000/(B6+L6)</f>
        <v>264.285714285714</v>
      </c>
      <c r="D6" s="50" t="n">
        <f aca="false">Champions!AP6*1000000/(C6*champ_prem)</f>
        <v>0</v>
      </c>
      <c r="E6" s="50" t="n">
        <f aca="false">D6*job_mult</f>
        <v>0</v>
      </c>
      <c r="F6" s="50" t="n">
        <f aca="false">D6+E6</f>
        <v>0</v>
      </c>
      <c r="G6" s="66" t="n">
        <f aca="false">F6/B6</f>
        <v>0</v>
      </c>
      <c r="H6" s="50" t="n">
        <f aca="false">0</f>
        <v>0</v>
      </c>
      <c r="I6" s="66" t="n">
        <f aca="false">pac_u_base</f>
        <v>0.015</v>
      </c>
      <c r="J6" s="50" t="n">
        <f aca="false">0</f>
        <v>0</v>
      </c>
      <c r="K6" s="50" t="n">
        <f aca="false">0</f>
        <v>0</v>
      </c>
      <c r="L6" s="50" t="n">
        <f aca="false">0</f>
        <v>0</v>
      </c>
      <c r="M6" s="50"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50" t="n">
        <f aca="false">V6*1000000*lf_rate*union_skill_share</f>
        <v>756000</v>
      </c>
      <c r="X6" s="48" t="n">
        <v>0</v>
      </c>
      <c r="Y6" s="50" t="n">
        <f aca="false">IF(AND(mig_endo=1,$A6&gt;=talent_start),talent_rate_u*W6*U6*(1-(1-bd_keep)*S6),0)</f>
        <v>0</v>
      </c>
      <c r="Z6" s="50" t="n">
        <f aca="false">IF(AND(mig_endo=1,$A6&gt;=talent_start),X6*MIN(0.5,talent_share_o*U6)*(1-eu_comp*S6),0)</f>
        <v>0</v>
      </c>
      <c r="AA6" s="48" t="n">
        <v>0</v>
      </c>
      <c r="AB6" s="50" t="n">
        <f aca="false">IF(AND(mig_endo=1,$A6&gt;=talent_start),AA6*MIN(0.5,talent_share_a*U6),0)</f>
        <v>0</v>
      </c>
      <c r="AC6" s="50" t="n">
        <f aca="false">entry_cap*People!B6</f>
        <v>510</v>
      </c>
      <c r="AD6" s="50" t="n">
        <f aca="false">MIN(AC6,Y6+Z6+AB6)</f>
        <v>0</v>
      </c>
      <c r="AE6" s="50" t="n">
        <f aca="false">IF(Y6+Z6+AB6&gt;0,AD6*Y6/(Y6+Z6+AB6),0)</f>
        <v>0</v>
      </c>
      <c r="AF6" s="50" t="n">
        <f aca="false">IF(Y6+Z6+AB6&gt;0,AD6*AB6/(Y6+Z6+AB6),0)</f>
        <v>0</v>
      </c>
      <c r="AG6" s="50" t="n">
        <f aca="false">AD6*family_mult</f>
        <v>0</v>
      </c>
      <c r="AH6" s="50" t="n">
        <f aca="false">0</f>
        <v>0</v>
      </c>
      <c r="AI6" s="50" t="n">
        <f aca="false">0</f>
        <v>0</v>
      </c>
      <c r="AJ6" s="50" t="n">
        <f aca="false">0</f>
        <v>0</v>
      </c>
      <c r="AK6" s="50" t="n">
        <f aca="false">K6*gw_conv_family</f>
        <v>0</v>
      </c>
      <c r="AL6" s="50" t="n">
        <f aca="false">AG6+AI6+AJ6+AK6+AR6</f>
        <v>0</v>
      </c>
      <c r="AM6" s="50" t="n">
        <f aca="false">0</f>
        <v>0</v>
      </c>
      <c r="AN6" s="67" t="n">
        <f aca="false">AM6/B6</f>
        <v>0</v>
      </c>
      <c r="AO6" s="67" t="n">
        <f aca="false">0</f>
        <v>0</v>
      </c>
      <c r="AP6" s="67" t="n">
        <f aca="false">0</f>
        <v>0</v>
      </c>
      <c r="AQ6" s="48" t="n">
        <v>150000</v>
      </c>
      <c r="AR6" s="50" t="n">
        <f aca="false">IF(AND(div_on=1,$A6&gt;=div_start),AQ6*MIN(div_max,div_rate*U6)*(1-div_comp*S6),0)</f>
        <v>0</v>
      </c>
      <c r="AS6" s="50" t="n">
        <f aca="false">0</f>
        <v>0</v>
      </c>
      <c r="AT6" s="67" t="n">
        <f aca="false">0</f>
        <v>0</v>
      </c>
      <c r="AU6" s="50" t="n">
        <f aca="false">0</f>
        <v>0</v>
      </c>
      <c r="AV6" s="50" t="n">
        <f aca="false">0</f>
        <v>0</v>
      </c>
      <c r="AW6" s="50" t="n">
        <f aca="false">0</f>
        <v>0</v>
      </c>
      <c r="AX6" s="70" t="n">
        <f aca="false">V6-(AV6+AW6)/1000000</f>
        <v>15</v>
      </c>
      <c r="AY6" s="50" t="n">
        <f aca="false">L6*gw_union</f>
        <v>0</v>
      </c>
      <c r="AZ6" s="49" t="n">
        <v>1.12</v>
      </c>
      <c r="BA6" s="50" t="n">
        <f aca="false">Economy!Q6*AZ6/lf_rate</f>
        <v>253.333333333333</v>
      </c>
      <c r="BB6" s="67" t="n">
        <f aca="false">0</f>
        <v>0</v>
      </c>
      <c r="BC6" s="67" t="n">
        <f aca="false">0</f>
        <v>0</v>
      </c>
      <c r="BD6" s="67" t="n">
        <f aca="false">emu_g*S6</f>
        <v>0</v>
      </c>
      <c r="BE6" s="68" t="n">
        <f aca="false">1</f>
        <v>1</v>
      </c>
      <c r="BF6" s="49" t="n">
        <v>1</v>
      </c>
      <c r="BG6" s="56" t="n">
        <f aca="false">AU6*BA6*BE6*(skill_rel-1+skill_spill)/1000000</f>
        <v>0</v>
      </c>
      <c r="BH6" s="56" t="n">
        <f aca="false">union_disp*(Champions!AP6+Champions!AZ6)*(1-IF(union_resp=2,mkt_cut*S6,0))</f>
        <v>0</v>
      </c>
      <c r="BI6" s="56" t="n">
        <f aca="false">AY6*BA6*BE6/1000000</f>
        <v>0</v>
      </c>
      <c r="BJ6" s="50" t="n">
        <f aca="false">V6*Economy!Q6*AZ6</f>
        <v>1596</v>
      </c>
      <c r="BK6" s="50" t="n">
        <f aca="false">BJ6</f>
        <v>1596</v>
      </c>
      <c r="BL6" s="66" t="n">
        <f aca="false">1-BK6/BJ6</f>
        <v>0</v>
      </c>
      <c r="BM6" s="50" t="n">
        <f aca="false">0</f>
        <v>0</v>
      </c>
      <c r="BN6" s="50" t="n">
        <f aca="false">0</f>
        <v>0</v>
      </c>
      <c r="BO6" s="62" t="n">
        <v>0.04</v>
      </c>
      <c r="BP6" s="66" t="n">
        <f aca="false">BO6+BN6/(AX6*1000000*lf_rate)</f>
        <v>0.04</v>
      </c>
    </row>
    <row r="7" customFormat="false" ht="14.25" hidden="false" customHeight="false" outlineLevel="0" collapsed="false">
      <c r="A7" s="61" t="n">
        <v>1847</v>
      </c>
      <c r="B7" s="50" t="n">
        <f aca="false">Economy!B7*lf_rate</f>
        <v>74195.5725</v>
      </c>
      <c r="C7" s="50" t="n">
        <f aca="false">Economy!O7*1000000/(B7+L7)</f>
        <v>274.857142857143</v>
      </c>
      <c r="D7" s="50" t="n">
        <f aca="false">Champions!AP7*1000000/(C7*champ_prem)</f>
        <v>0</v>
      </c>
      <c r="E7" s="50" t="n">
        <f aca="false">D7*job_mult</f>
        <v>0</v>
      </c>
      <c r="F7" s="50" t="n">
        <f aca="false">D7+E7</f>
        <v>0</v>
      </c>
      <c r="G7" s="66" t="n">
        <f aca="false">F7/B7</f>
        <v>0</v>
      </c>
      <c r="H7" s="50" t="n">
        <f aca="false">F7-F6</f>
        <v>0</v>
      </c>
      <c r="I7" s="66" t="n">
        <f aca="false">MAX(0.005,pac_u_base*IF(Paths!AC7=1,pac_u_war,1)+(okun*(1-Economy!G7)*(B7+L7)-MAX(0,L6-L7))/B7)</f>
        <v>0.015</v>
      </c>
      <c r="J7" s="50" t="n">
        <f aca="false">IF(AND(gw_on=1,$A7&gt;=gw_start),MIN(gw_cap*B6,gw_cover*F6+gw_gen*B6),0)</f>
        <v>0</v>
      </c>
      <c r="K7" s="50" t="n">
        <f aca="false">L6*gw_conv</f>
        <v>0</v>
      </c>
      <c r="L7" s="50" t="n">
        <f aca="false">MAX(0,L6-K7+gw_adj*(J7-L6))*MAX(0,1-gw_slump*(1-Economy!G7))</f>
        <v>0</v>
      </c>
      <c r="M7" s="50"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50" t="n">
        <f aca="false">V7*1000000*lf_rate*union_skill_share</f>
        <v>779688</v>
      </c>
      <c r="X7" s="48" t="n">
        <v>0</v>
      </c>
      <c r="Y7" s="50" t="n">
        <f aca="false">IF(AND(mig_endo=1,$A7&gt;=talent_start),talent_rate_u*W7*U7*(1-(1-bd_keep)*S7),0)</f>
        <v>0</v>
      </c>
      <c r="Z7" s="50" t="n">
        <f aca="false">IF(AND(mig_endo=1,$A7&gt;=talent_start),X7*MIN(0.5,talent_share_o*U7)*(1-eu_comp*S7),0)</f>
        <v>0</v>
      </c>
      <c r="AA7" s="48" t="n">
        <v>0</v>
      </c>
      <c r="AB7" s="50" t="n">
        <f aca="false">IF(AND(mig_endo=1,$A7&gt;=talent_start),AA7*MIN(0.5,talent_share_a*U7),0)</f>
        <v>0</v>
      </c>
      <c r="AC7" s="50" t="n">
        <f aca="false">entry_cap*People!B7</f>
        <v>522.45</v>
      </c>
      <c r="AD7" s="50" t="n">
        <f aca="false">MIN(AC7,Y7+Z7+AB7)</f>
        <v>0</v>
      </c>
      <c r="AE7" s="50" t="n">
        <f aca="false">IF(Y7+Z7+AB7&gt;0,AD7*Y7/(Y7+Z7+AB7),0)</f>
        <v>0</v>
      </c>
      <c r="AF7" s="50" t="n">
        <f aca="false">IF(Y7+Z7+AB7&gt;0,AD7*AB7/(Y7+Z7+AB7),0)</f>
        <v>0</v>
      </c>
      <c r="AG7" s="50" t="n">
        <f aca="false">AD7*family_mult</f>
        <v>0</v>
      </c>
      <c r="AH7" s="50" t="n">
        <f aca="false">AH6*(1+Paths!C7)+AG7</f>
        <v>0</v>
      </c>
      <c r="AI7" s="50" t="n">
        <f aca="false">IF(AND(mig_endo=1,$A7&gt;=talent_start),chain_rate*AH6,0)</f>
        <v>0</v>
      </c>
      <c r="AJ7" s="50" t="n">
        <f aca="false">IF(AND(mig_endo=1,$A7&gt;=talent_start),IF(H6&gt;0,H6*job_fill,H6*job_return)*job_family,0)</f>
        <v>0</v>
      </c>
      <c r="AK7" s="50" t="n">
        <f aca="false">K7*gw_conv_family</f>
        <v>0</v>
      </c>
      <c r="AL7" s="50" t="n">
        <f aca="false">AG7+AI7+AJ7+AK7+AR7</f>
        <v>0</v>
      </c>
      <c r="AM7" s="50" t="n">
        <f aca="false">AM6*(1-skill_ret)+AD7</f>
        <v>0</v>
      </c>
      <c r="AN7" s="67" t="n">
        <f aca="false">AM7/B7</f>
        <v>0</v>
      </c>
      <c r="AO7" s="67" t="n">
        <f aca="false">(skill_rel-1+skill_spill)*AM6/B6-AT7</f>
        <v>0</v>
      </c>
      <c r="AP7" s="67" t="n">
        <f aca="false">talent_champ*AM6/(skill_base_share*B6)</f>
        <v>0</v>
      </c>
      <c r="AQ7" s="48" t="n">
        <v>205000</v>
      </c>
      <c r="AR7" s="50" t="n">
        <f aca="false">IF(AND(div_on=1,$A7&gt;=div_start),AQ7*MIN(div_max,div_rate*U7)*(1-div_comp*S7),0)</f>
        <v>0</v>
      </c>
      <c r="AS7" s="50" t="n">
        <f aca="false">AS6*(1-div_assim)+AR7</f>
        <v>0</v>
      </c>
      <c r="AT7" s="67" t="n">
        <f aca="false">(1-div_rel)*AS6/Economy!B6</f>
        <v>0</v>
      </c>
      <c r="AU7" s="50" t="n">
        <f aca="false">AU6*(1-skill_ret)+AE7</f>
        <v>0</v>
      </c>
      <c r="AV7" s="50" t="n">
        <f aca="false">AV6*(1+union_nat)+AR7</f>
        <v>0</v>
      </c>
      <c r="AW7" s="50" t="n">
        <f aca="false">AW6*(1+union_nat)+AE7*family_mult</f>
        <v>0</v>
      </c>
      <c r="AX7" s="70" t="n">
        <f aca="false">V7-(AV7+AW7)/1000000</f>
        <v>15.47</v>
      </c>
      <c r="AY7" s="50" t="n">
        <f aca="false">L7*gw_union</f>
        <v>0</v>
      </c>
      <c r="AZ7" s="49" t="n">
        <v>1.12</v>
      </c>
      <c r="BA7" s="50" t="n">
        <f aca="false">Economy!Q7*AZ7/lf_rate</f>
        <v>261.333333333333</v>
      </c>
      <c r="BB7" s="67" t="n">
        <f aca="false">bd_growth*AU6/W6</f>
        <v>0</v>
      </c>
      <c r="BC7" s="67" t="n">
        <f aca="false">tg_k*MIN(1,Economy!O6/BK6)</f>
        <v>3.59028665413534E-005</v>
      </c>
      <c r="BD7" s="67" t="n">
        <f aca="false">emu_g*S7</f>
        <v>0</v>
      </c>
      <c r="BE7" s="68" t="n">
        <f aca="false">BE6*(1-BB7-BC7+BD7)</f>
        <v>0.999964097133459</v>
      </c>
      <c r="BF7" s="49" t="n">
        <v>1</v>
      </c>
      <c r="BG7" s="56" t="n">
        <f aca="false">AU7*BA7*BE7*(skill_rel-1+skill_spill)/1000000</f>
        <v>0</v>
      </c>
      <c r="BH7" s="56" t="n">
        <f aca="false">union_disp*(Champions!AP7+Champions!AZ7)*(1-IF(union_resp=2,mkt_cut*S7,0))</f>
        <v>0</v>
      </c>
      <c r="BI7" s="56" t="n">
        <f aca="false">AY7*BA7*BE7/1000000</f>
        <v>0</v>
      </c>
      <c r="BJ7" s="50" t="n">
        <f aca="false">V7*Economy!Q7*AZ7</f>
        <v>1697.9872</v>
      </c>
      <c r="BK7" s="50" t="n">
        <f aca="false">MAX(0.3*BJ7,AX7*Economy!Q7*AZ7*BE7*BF7-BG7-BH7-BI7)</f>
        <v>1697.92623739217</v>
      </c>
      <c r="BL7" s="66" t="n">
        <f aca="false">1-BK7/BJ7</f>
        <v>3.59028665414263E-005</v>
      </c>
      <c r="BM7" s="50" t="n">
        <f aca="false">MAX(0,BH7-BH6)*1000000/BA7</f>
        <v>0</v>
      </c>
      <c r="BN7" s="50" t="n">
        <f aca="false">BN6*(1-IF(AND($A7&gt;=1930,$A7&lt;=1932),0,union_reabsorb))+BM7</f>
        <v>0</v>
      </c>
      <c r="BO7" s="62" t="n">
        <v>0.04</v>
      </c>
      <c r="BP7" s="66" t="n">
        <f aca="false">BO7+BN7/(AX7*1000000*lf_rate)</f>
        <v>0.04</v>
      </c>
    </row>
    <row r="8" customFormat="false" ht="14.25" hidden="false" customHeight="false" outlineLevel="0" collapsed="false">
      <c r="A8" s="61" t="n">
        <v>1848</v>
      </c>
      <c r="B8" s="50" t="n">
        <f aca="false">Economy!B8*lf_rate</f>
        <v>78069.13758</v>
      </c>
      <c r="C8" s="50" t="n">
        <f aca="false">Economy!O8*1000000/(B8+L8)</f>
        <v>375.515541907212</v>
      </c>
      <c r="D8" s="50" t="n">
        <f aca="false">Champions!AP8*1000000/(C8*champ_prem)</f>
        <v>0</v>
      </c>
      <c r="E8" s="50" t="n">
        <f aca="false">D8*job_mult</f>
        <v>0</v>
      </c>
      <c r="F8" s="50" t="n">
        <f aca="false">D8+E8</f>
        <v>0</v>
      </c>
      <c r="G8" s="66" t="n">
        <f aca="false">F8/B8</f>
        <v>0</v>
      </c>
      <c r="H8" s="50" t="n">
        <f aca="false">F8-F7</f>
        <v>0</v>
      </c>
      <c r="I8" s="66" t="n">
        <f aca="false">MAX(0.005,pac_u_base*IF(Paths!AC8=1,pac_u_war,1)+(okun*(1-Economy!G8)*(B8+L8)-MAX(0,L7-L8))/B8)</f>
        <v>0.015</v>
      </c>
      <c r="J8" s="50" t="n">
        <f aca="false">IF(AND(gw_on=1,$A8&gt;=gw_start),MIN(gw_cap*B7,gw_cover*F7+gw_gen*B7),0)</f>
        <v>0</v>
      </c>
      <c r="K8" s="50" t="n">
        <f aca="false">L7*gw_conv</f>
        <v>0</v>
      </c>
      <c r="L8" s="50" t="n">
        <f aca="false">MAX(0,L7-K8+gw_adj*(J8-L7))*MAX(0,1-gw_slump*(1-Economy!G8))</f>
        <v>0</v>
      </c>
      <c r="M8" s="50"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50" t="n">
        <f aca="false">V8*1000000*lf_rate*union_skill_share</f>
        <v>802872</v>
      </c>
      <c r="X8" s="48" t="n">
        <v>0</v>
      </c>
      <c r="Y8" s="50" t="n">
        <f aca="false">IF(AND(mig_endo=1,$A8&gt;=talent_start),talent_rate_u*W8*U8*(1-(1-bd_keep)*S8),0)</f>
        <v>0</v>
      </c>
      <c r="Z8" s="50" t="n">
        <f aca="false">IF(AND(mig_endo=1,$A8&gt;=talent_start),X8*MIN(0.5,talent_share_o*U8)*(1-eu_comp*S8),0)</f>
        <v>0</v>
      </c>
      <c r="AA8" s="48" t="n">
        <v>0</v>
      </c>
      <c r="AB8" s="50" t="n">
        <f aca="false">IF(AND(mig_endo=1,$A8&gt;=talent_start),AA8*MIN(0.5,talent_share_a*U8),0)</f>
        <v>0</v>
      </c>
      <c r="AC8" s="50" t="n">
        <f aca="false">entry_cap*People!B8</f>
        <v>537.48675</v>
      </c>
      <c r="AD8" s="50" t="n">
        <f aca="false">MIN(AC8,Y8+Z8+AB8)</f>
        <v>0</v>
      </c>
      <c r="AE8" s="50" t="n">
        <f aca="false">IF(Y8+Z8+AB8&gt;0,AD8*Y8/(Y8+Z8+AB8),0)</f>
        <v>0</v>
      </c>
      <c r="AF8" s="50" t="n">
        <f aca="false">IF(Y8+Z8+AB8&gt;0,AD8*AB8/(Y8+Z8+AB8),0)</f>
        <v>0</v>
      </c>
      <c r="AG8" s="50" t="n">
        <f aca="false">AD8*family_mult</f>
        <v>0</v>
      </c>
      <c r="AH8" s="50" t="n">
        <f aca="false">AH7*(1+Paths!C8)+AG8</f>
        <v>0</v>
      </c>
      <c r="AI8" s="50" t="n">
        <f aca="false">IF(AND(mig_endo=1,$A8&gt;=talent_start),chain_rate*AH7,0)</f>
        <v>0</v>
      </c>
      <c r="AJ8" s="50" t="n">
        <f aca="false">IF(AND(mig_endo=1,$A8&gt;=talent_start),IF(H7&gt;0,H7*job_fill,H7*job_return)*job_family,0)</f>
        <v>0</v>
      </c>
      <c r="AK8" s="50" t="n">
        <f aca="false">K8*gw_conv_family</f>
        <v>0</v>
      </c>
      <c r="AL8" s="50" t="n">
        <f aca="false">AG8+AI8+AJ8+AK8+AR8</f>
        <v>0</v>
      </c>
      <c r="AM8" s="50" t="n">
        <f aca="false">AM7*(1-skill_ret)+AD8</f>
        <v>0</v>
      </c>
      <c r="AN8" s="67" t="n">
        <f aca="false">AM8/B8</f>
        <v>0</v>
      </c>
      <c r="AO8" s="67" t="n">
        <f aca="false">(skill_rel-1+skill_spill)*AM7/B7-AT8</f>
        <v>0</v>
      </c>
      <c r="AP8" s="67" t="n">
        <f aca="false">talent_champ*AM7/(skill_base_share*B7)</f>
        <v>0</v>
      </c>
      <c r="AQ8" s="48" t="n">
        <v>260000</v>
      </c>
      <c r="AR8" s="50" t="n">
        <f aca="false">IF(AND(div_on=1,$A8&gt;=div_start),AQ8*MIN(div_max,div_rate*U8)*(1-div_comp*S8),0)</f>
        <v>0</v>
      </c>
      <c r="AS8" s="50" t="n">
        <f aca="false">AS7*(1-div_assim)+AR8</f>
        <v>0</v>
      </c>
      <c r="AT8" s="67" t="n">
        <f aca="false">(1-div_rel)*AS7/Economy!B7</f>
        <v>0</v>
      </c>
      <c r="AU8" s="50" t="n">
        <f aca="false">AU7*(1-skill_ret)+AE8</f>
        <v>0</v>
      </c>
      <c r="AV8" s="50" t="n">
        <f aca="false">AV7*(1+union_nat)+AR8</f>
        <v>0</v>
      </c>
      <c r="AW8" s="50" t="n">
        <f aca="false">AW7*(1+union_nat)+AE8*family_mult</f>
        <v>0</v>
      </c>
      <c r="AX8" s="70" t="n">
        <f aca="false">V8-(AV8+AW8)/1000000</f>
        <v>15.93</v>
      </c>
      <c r="AY8" s="50" t="n">
        <f aca="false">L8*gw_union</f>
        <v>0</v>
      </c>
      <c r="AZ8" s="49" t="n">
        <v>1.12</v>
      </c>
      <c r="BA8" s="50" t="n">
        <f aca="false">Economy!Q8*AZ8/lf_rate</f>
        <v>266.666666666667</v>
      </c>
      <c r="BB8" s="67" t="n">
        <f aca="false">bd_growth*AU7/W7</f>
        <v>0</v>
      </c>
      <c r="BC8" s="67" t="n">
        <f aca="false">tg_k*MIN(1,Economy!O7/BK7)</f>
        <v>3.60319240392711E-005</v>
      </c>
      <c r="BD8" s="67" t="n">
        <f aca="false">emu_g*S8</f>
        <v>0</v>
      </c>
      <c r="BE8" s="68" t="n">
        <f aca="false">BE7*(1-BB8-BC8+BD8)</f>
        <v>0.999928066503069</v>
      </c>
      <c r="BF8" s="49" t="n">
        <v>1</v>
      </c>
      <c r="BG8" s="56" t="n">
        <f aca="false">AU8*BA8*BE8*(skill_rel-1+skill_spill)/1000000</f>
        <v>0</v>
      </c>
      <c r="BH8" s="56" t="n">
        <f aca="false">union_disp*(Champions!AP8+Champions!AZ8)*(1-IF(union_resp=2,mkt_cut*S8,0))</f>
        <v>0</v>
      </c>
      <c r="BI8" s="56" t="n">
        <f aca="false">AY8*BA8*BE8/1000000</f>
        <v>0</v>
      </c>
      <c r="BJ8" s="50" t="n">
        <f aca="false">V8*Economy!Q8*AZ8</f>
        <v>1784.16</v>
      </c>
      <c r="BK8" s="50" t="n">
        <f aca="false">MAX(0.3*BJ8,AX8*Economy!Q8*AZ8*BE8*BF8-BG8-BH8-BI8)</f>
        <v>1784.03165913212</v>
      </c>
      <c r="BL8" s="66" t="n">
        <f aca="false">1-BK8/BJ8</f>
        <v>7.19334969311314E-005</v>
      </c>
      <c r="BM8" s="50" t="n">
        <f aca="false">MAX(0,BH8-BH7)*1000000/BA8</f>
        <v>0</v>
      </c>
      <c r="BN8" s="50" t="n">
        <f aca="false">BN7*(1-IF(AND($A8&gt;=1930,$A8&lt;=1932),0,union_reabsorb))+BM8</f>
        <v>0</v>
      </c>
      <c r="BO8" s="62" t="n">
        <v>0.04</v>
      </c>
      <c r="BP8" s="66" t="n">
        <f aca="false">BO8+BN8/(AX8*1000000*lf_rate)</f>
        <v>0.04</v>
      </c>
    </row>
    <row r="9" customFormat="false" ht="14.25" hidden="false" customHeight="false" outlineLevel="0" collapsed="false">
      <c r="A9" s="61" t="n">
        <v>1849</v>
      </c>
      <c r="B9" s="50" t="n">
        <f aca="false">Economy!B9*lf_rate</f>
        <v>89449.05068064</v>
      </c>
      <c r="C9" s="50" t="n">
        <f aca="false">Economy!O9*1000000/(B9+L9)</f>
        <v>787.077186457746</v>
      </c>
      <c r="D9" s="50" t="n">
        <f aca="false">Champions!AP9*1000000/(C9*champ_prem)</f>
        <v>0</v>
      </c>
      <c r="E9" s="50" t="n">
        <f aca="false">D9*job_mult</f>
        <v>0</v>
      </c>
      <c r="F9" s="50" t="n">
        <f aca="false">D9+E9</f>
        <v>0</v>
      </c>
      <c r="G9" s="66" t="n">
        <f aca="false">F9/B9</f>
        <v>0</v>
      </c>
      <c r="H9" s="50" t="n">
        <f aca="false">F9-F8</f>
        <v>0</v>
      </c>
      <c r="I9" s="66" t="n">
        <f aca="false">MAX(0.005,pac_u_base*IF(Paths!AC9=1,pac_u_war,1)+(okun*(1-Economy!G9)*(B9+L9)-MAX(0,L8-L9))/B9)</f>
        <v>0.015</v>
      </c>
      <c r="J9" s="50" t="n">
        <f aca="false">IF(AND(gw_on=1,$A9&gt;=gw_start),MIN(gw_cap*B8,gw_cover*F8+gw_gen*B8),0)</f>
        <v>0</v>
      </c>
      <c r="K9" s="50" t="n">
        <f aca="false">L8*gw_conv</f>
        <v>0</v>
      </c>
      <c r="L9" s="50" t="n">
        <f aca="false">MAX(0,L8-K9+gw_adj*(J9-L8))*MAX(0,1-gw_slump*(1-Economy!G9))</f>
        <v>0</v>
      </c>
      <c r="M9" s="50"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1.57716527601029</v>
      </c>
      <c r="U9" s="70" t="n">
        <f aca="false">MAX(0,T9-gap_base)</f>
        <v>0.077165276010291</v>
      </c>
      <c r="V9" s="71" t="n">
        <v>16.4</v>
      </c>
      <c r="W9" s="50" t="n">
        <f aca="false">V9*1000000*lf_rate*union_skill_share</f>
        <v>826560</v>
      </c>
      <c r="X9" s="48" t="n">
        <v>0</v>
      </c>
      <c r="Y9" s="50" t="n">
        <f aca="false">IF(AND(mig_endo=1,$A9&gt;=talent_start),talent_rate_u*W9*U9*(1-(1-bd_keep)*S9),0)</f>
        <v>0</v>
      </c>
      <c r="Z9" s="50" t="n">
        <f aca="false">IF(AND(mig_endo=1,$A9&gt;=talent_start),X9*MIN(0.5,talent_share_o*U9)*(1-eu_comp*S9),0)</f>
        <v>0</v>
      </c>
      <c r="AA9" s="48" t="n">
        <v>0</v>
      </c>
      <c r="AB9" s="50" t="n">
        <f aca="false">IF(AND(mig_endo=1,$A9&gt;=talent_start),AA9*MIN(0.5,talent_share_a*U9),0)</f>
        <v>0</v>
      </c>
      <c r="AC9" s="50" t="n">
        <f aca="false">entry_cap*People!B9</f>
        <v>577.786644</v>
      </c>
      <c r="AD9" s="50" t="n">
        <f aca="false">MIN(AC9,Y9+Z9+AB9)</f>
        <v>0</v>
      </c>
      <c r="AE9" s="50" t="n">
        <f aca="false">IF(Y9+Z9+AB9&gt;0,AD9*Y9/(Y9+Z9+AB9),0)</f>
        <v>0</v>
      </c>
      <c r="AF9" s="50" t="n">
        <f aca="false">IF(Y9+Z9+AB9&gt;0,AD9*AB9/(Y9+Z9+AB9),0)</f>
        <v>0</v>
      </c>
      <c r="AG9" s="50" t="n">
        <f aca="false">AD9*family_mult</f>
        <v>0</v>
      </c>
      <c r="AH9" s="50" t="n">
        <f aca="false">AH8*(1+Paths!C9)+AG9</f>
        <v>0</v>
      </c>
      <c r="AI9" s="50" t="n">
        <f aca="false">IF(AND(mig_endo=1,$A9&gt;=talent_start),chain_rate*AH8,0)</f>
        <v>0</v>
      </c>
      <c r="AJ9" s="50" t="n">
        <f aca="false">IF(AND(mig_endo=1,$A9&gt;=talent_start),IF(H8&gt;0,H8*job_fill,H8*job_return)*job_family,0)</f>
        <v>0</v>
      </c>
      <c r="AK9" s="50" t="n">
        <f aca="false">K9*gw_conv_family</f>
        <v>0</v>
      </c>
      <c r="AL9" s="50" t="n">
        <f aca="false">AG9+AI9+AJ9+AK9+AR9</f>
        <v>0</v>
      </c>
      <c r="AM9" s="50" t="n">
        <f aca="false">AM8*(1-skill_ret)+AD9</f>
        <v>0</v>
      </c>
      <c r="AN9" s="67" t="n">
        <f aca="false">AM9/B9</f>
        <v>0</v>
      </c>
      <c r="AO9" s="67" t="n">
        <f aca="false">(skill_rel-1+skill_spill)*AM8/B8-AT9</f>
        <v>0</v>
      </c>
      <c r="AP9" s="67" t="n">
        <f aca="false">talent_champ*AM8/(skill_base_share*B8)</f>
        <v>0</v>
      </c>
      <c r="AQ9" s="48" t="n">
        <v>315000</v>
      </c>
      <c r="AR9" s="50" t="n">
        <f aca="false">IF(AND(div_on=1,$A9&gt;=div_start),AQ9*MIN(div_max,div_rate*U9)*(1-div_comp*S9),0)</f>
        <v>0</v>
      </c>
      <c r="AS9" s="50" t="n">
        <f aca="false">AS8*(1-div_assim)+AR9</f>
        <v>0</v>
      </c>
      <c r="AT9" s="67" t="n">
        <f aca="false">(1-div_rel)*AS8/Economy!B8</f>
        <v>0</v>
      </c>
      <c r="AU9" s="50" t="n">
        <f aca="false">AU8*(1-skill_ret)+AE9</f>
        <v>0</v>
      </c>
      <c r="AV9" s="50" t="n">
        <f aca="false">AV8*(1+union_nat)+AR9</f>
        <v>0</v>
      </c>
      <c r="AW9" s="50" t="n">
        <f aca="false">AW8*(1+union_nat)+AE9*family_mult</f>
        <v>0</v>
      </c>
      <c r="AX9" s="70" t="n">
        <f aca="false">V9-(AV9+AW9)/1000000</f>
        <v>16.4</v>
      </c>
      <c r="AY9" s="50" t="n">
        <f aca="false">L9*gw_union</f>
        <v>0</v>
      </c>
      <c r="AZ9" s="49" t="n">
        <v>1.119</v>
      </c>
      <c r="BA9" s="50" t="n">
        <f aca="false">Economy!Q9*AZ9/lf_rate</f>
        <v>271.757142857143</v>
      </c>
      <c r="BB9" s="67" t="n">
        <f aca="false">bd_growth*AU8/W8</f>
        <v>0</v>
      </c>
      <c r="BC9" s="67" t="n">
        <f aca="false">tg_k*MIN(1,Economy!O8/BK8)</f>
        <v>4.92976248843767E-005</v>
      </c>
      <c r="BD9" s="67" t="n">
        <f aca="false">emu_g*S9</f>
        <v>0</v>
      </c>
      <c r="BE9" s="68" t="n">
        <f aca="false">BE8*(1-BB9-BC9+BD9)</f>
        <v>0.999878772424335</v>
      </c>
      <c r="BF9" s="49" t="n">
        <v>1</v>
      </c>
      <c r="BG9" s="56" t="n">
        <f aca="false">AU9*BA9*BE9*(skill_rel-1+skill_spill)/1000000</f>
        <v>0</v>
      </c>
      <c r="BH9" s="56" t="n">
        <f aca="false">union_disp*(Champions!AP9+Champions!AZ9)*(1-IF(union_resp=2,mkt_cut*S9,0))</f>
        <v>0</v>
      </c>
      <c r="BI9" s="56" t="n">
        <f aca="false">AY9*BA9*BE9/1000000</f>
        <v>0</v>
      </c>
      <c r="BJ9" s="50" t="n">
        <f aca="false">V9*Economy!Q9*AZ9</f>
        <v>1871.8632</v>
      </c>
      <c r="BK9" s="50" t="n">
        <f aca="false">MAX(0.3*BJ9,AX9*Economy!Q9*AZ9*BE9*BF9-BG9-BH9-BI9)</f>
        <v>1871.63627856229</v>
      </c>
      <c r="BL9" s="66" t="n">
        <f aca="false">1-BK9/BJ9</f>
        <v>0.000121227575665017</v>
      </c>
      <c r="BM9" s="50" t="n">
        <f aca="false">MAX(0,BH9-BH8)*1000000/BA9</f>
        <v>0</v>
      </c>
      <c r="BN9" s="50" t="n">
        <f aca="false">BN8*(1-IF(AND($A9&gt;=1930,$A9&lt;=1932),0,union_reabsorb))+BM9</f>
        <v>0</v>
      </c>
      <c r="BO9" s="62" t="n">
        <v>0.04</v>
      </c>
      <c r="BP9" s="66" t="n">
        <f aca="false">BO9+BN9/(AX9*1000000*lf_rate)</f>
        <v>0.04</v>
      </c>
    </row>
    <row r="10" customFormat="false" ht="14.25" hidden="false" customHeight="false" outlineLevel="0" collapsed="false">
      <c r="A10" s="61" t="n">
        <v>1850</v>
      </c>
      <c r="B10" s="50" t="n">
        <f aca="false">Economy!B10*lf_rate</f>
        <v>105829.803086085</v>
      </c>
      <c r="C10" s="50" t="n">
        <f aca="false">Economy!O10*1000000/(B10+L10)</f>
        <v>730.777439790225</v>
      </c>
      <c r="D10" s="50" t="n">
        <f aca="false">Champions!AP10*1000000/(C10*champ_prem)</f>
        <v>0</v>
      </c>
      <c r="E10" s="50" t="n">
        <f aca="false">D10*job_mult</f>
        <v>0</v>
      </c>
      <c r="F10" s="50" t="n">
        <f aca="false">D10+E10</f>
        <v>0</v>
      </c>
      <c r="G10" s="66" t="n">
        <f aca="false">F10/B10</f>
        <v>0</v>
      </c>
      <c r="H10" s="50" t="n">
        <f aca="false">F10-F9</f>
        <v>0</v>
      </c>
      <c r="I10" s="66" t="n">
        <f aca="false">MAX(0.005,pac_u_base*IF(Paths!AC10=1,pac_u_war,1)+(okun*(1-Economy!G10)*(B10+L10)-MAX(0,L9-L10))/B10)</f>
        <v>0.015</v>
      </c>
      <c r="J10" s="50" t="n">
        <f aca="false">IF(AND(gw_on=1,$A10&gt;=gw_start),MIN(gw_cap*B9,gw_cover*F9+gw_gen*B9),0)</f>
        <v>0</v>
      </c>
      <c r="K10" s="50" t="n">
        <f aca="false">L9*gw_conv</f>
        <v>0</v>
      </c>
      <c r="L10" s="50" t="n">
        <f aca="false">MAX(0,L9-K10+gw_adj*(J10-L9))*MAX(0,1-gw_slump*(1-Economy!G10))</f>
        <v>0</v>
      </c>
      <c r="M10" s="50"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3.24090606188484</v>
      </c>
      <c r="U10" s="70" t="n">
        <f aca="false">MAX(0,T10-gap_base)</f>
        <v>1.74090606188483</v>
      </c>
      <c r="V10" s="71" t="n">
        <v>16.87</v>
      </c>
      <c r="W10" s="50" t="n">
        <f aca="false">V10*1000000*lf_rate*union_skill_share</f>
        <v>850248</v>
      </c>
      <c r="X10" s="48" t="n">
        <v>0</v>
      </c>
      <c r="Y10" s="50" t="n">
        <f aca="false">IF(AND(mig_endo=1,$A10&gt;=talent_start),talent_rate_u*W10*U10*(1-(1-bd_keep)*S10),0)</f>
        <v>0</v>
      </c>
      <c r="Z10" s="50" t="n">
        <f aca="false">IF(AND(mig_endo=1,$A10&gt;=talent_start),X10*MIN(0.5,talent_share_o*U10)*(1-eu_comp*S10),0)</f>
        <v>0</v>
      </c>
      <c r="AA10" s="48" t="n">
        <v>0</v>
      </c>
      <c r="AB10" s="50" t="n">
        <f aca="false">IF(AND(mig_endo=1,$A10&gt;=talent_start),AA10*MIN(0.5,talent_share_a*U10),0)</f>
        <v>0</v>
      </c>
      <c r="AC10" s="50" t="n">
        <f aca="false">entry_cap*People!B10</f>
        <v>700.056937152</v>
      </c>
      <c r="AD10" s="50" t="n">
        <f aca="false">MIN(AC10,Y10+Z10+AB10)</f>
        <v>0</v>
      </c>
      <c r="AE10" s="50" t="n">
        <f aca="false">IF(Y10+Z10+AB10&gt;0,AD10*Y10/(Y10+Z10+AB10),0)</f>
        <v>0</v>
      </c>
      <c r="AF10" s="50" t="n">
        <f aca="false">IF(Y10+Z10+AB10&gt;0,AD10*AB10/(Y10+Z10+AB10),0)</f>
        <v>0</v>
      </c>
      <c r="AG10" s="50" t="n">
        <f aca="false">AD10*family_mult</f>
        <v>0</v>
      </c>
      <c r="AH10" s="50" t="n">
        <f aca="false">AH9*(1+Paths!C10)+AG10</f>
        <v>0</v>
      </c>
      <c r="AI10" s="50" t="n">
        <f aca="false">IF(AND(mig_endo=1,$A10&gt;=talent_start),chain_rate*AH9,0)</f>
        <v>0</v>
      </c>
      <c r="AJ10" s="50" t="n">
        <f aca="false">IF(AND(mig_endo=1,$A10&gt;=talent_start),IF(H9&gt;0,H9*job_fill,H9*job_return)*job_family,0)</f>
        <v>0</v>
      </c>
      <c r="AK10" s="50" t="n">
        <f aca="false">K10*gw_conv_family</f>
        <v>0</v>
      </c>
      <c r="AL10" s="50" t="n">
        <f aca="false">AG10+AI10+AJ10+AK10+AR10</f>
        <v>0</v>
      </c>
      <c r="AM10" s="50" t="n">
        <f aca="false">AM9*(1-skill_ret)+AD10</f>
        <v>0</v>
      </c>
      <c r="AN10" s="67" t="n">
        <f aca="false">AM10/B10</f>
        <v>0</v>
      </c>
      <c r="AO10" s="67" t="n">
        <f aca="false">(skill_rel-1+skill_spill)*AM9/B9-AT10</f>
        <v>0</v>
      </c>
      <c r="AP10" s="67" t="n">
        <f aca="false">talent_champ*AM9/(skill_base_share*B9)</f>
        <v>0</v>
      </c>
      <c r="AQ10" s="48" t="n">
        <v>370000</v>
      </c>
      <c r="AR10" s="50" t="n">
        <f aca="false">IF(AND(div_on=1,$A10&gt;=div_start),AQ10*MIN(div_max,div_rate*U10)*(1-div_comp*S10),0)</f>
        <v>0</v>
      </c>
      <c r="AS10" s="50" t="n">
        <f aca="false">AS9*(1-div_assim)+AR10</f>
        <v>0</v>
      </c>
      <c r="AT10" s="67" t="n">
        <f aca="false">(1-div_rel)*AS9/Economy!B9</f>
        <v>0</v>
      </c>
      <c r="AU10" s="50" t="n">
        <f aca="false">AU9*(1-skill_ret)+AE10</f>
        <v>0</v>
      </c>
      <c r="AV10" s="50" t="n">
        <f aca="false">AV9*(1+union_nat)+AR10</f>
        <v>0</v>
      </c>
      <c r="AW10" s="50" t="n">
        <f aca="false">AW9*(1+union_nat)+AE10*family_mult</f>
        <v>0</v>
      </c>
      <c r="AX10" s="70" t="n">
        <f aca="false">V10-(AV10+AW10)/1000000</f>
        <v>16.87</v>
      </c>
      <c r="AY10" s="50" t="n">
        <f aca="false">L10*gw_union</f>
        <v>0</v>
      </c>
      <c r="AZ10" s="49" t="n">
        <v>1.119</v>
      </c>
      <c r="BA10" s="50" t="n">
        <f aca="false">Economy!Q10*AZ10/lf_rate</f>
        <v>279.75</v>
      </c>
      <c r="BB10" s="67" t="n">
        <f aca="false">bd_growth*AU9/W9</f>
        <v>0</v>
      </c>
      <c r="BC10" s="67" t="n">
        <f aca="false">tg_k*MIN(1,Economy!O9/BK9)</f>
        <v>0.000112847738549579</v>
      </c>
      <c r="BD10" s="67" t="n">
        <f aca="false">emu_g*S10</f>
        <v>0</v>
      </c>
      <c r="BE10" s="68" t="n">
        <f aca="false">BE9*(1-BB10-BC10+BD10)</f>
        <v>0.999765938366043</v>
      </c>
      <c r="BF10" s="49" t="n">
        <v>1</v>
      </c>
      <c r="BG10" s="56" t="n">
        <f aca="false">AU10*BA10*BE10*(skill_rel-1+skill_spill)/1000000</f>
        <v>0</v>
      </c>
      <c r="BH10" s="56" t="n">
        <f aca="false">union_disp*(Champions!AP10+Champions!AZ10)*(1-IF(union_resp=2,mkt_cut*S10,0))</f>
        <v>0</v>
      </c>
      <c r="BI10" s="56" t="n">
        <f aca="false">AY10*BA10*BE10/1000000</f>
        <v>0</v>
      </c>
      <c r="BJ10" s="50" t="n">
        <f aca="false">V10*Economy!Q10*AZ10</f>
        <v>1982.14065</v>
      </c>
      <c r="BK10" s="50" t="n">
        <f aca="false">MAX(0.3*BJ10,AX10*Economy!Q10*AZ10*BE10*BF10-BG10-BH10-BI10)</f>
        <v>1981.67670692073</v>
      </c>
      <c r="BL10" s="66" t="n">
        <f aca="false">1-BK10/BJ10</f>
        <v>0.000234061633956673</v>
      </c>
      <c r="BM10" s="50" t="n">
        <f aca="false">MAX(0,BH10-BH9)*1000000/BA10</f>
        <v>0</v>
      </c>
      <c r="BN10" s="50" t="n">
        <f aca="false">BN9*(1-IF(AND($A10&gt;=1930,$A10&lt;=1932),0,union_reabsorb))+BM10</f>
        <v>0</v>
      </c>
      <c r="BO10" s="62" t="n">
        <v>0.04</v>
      </c>
      <c r="BP10" s="66" t="n">
        <f aca="false">BO10+BN10/(AX10*1000000*lf_rate)</f>
        <v>0.04</v>
      </c>
    </row>
    <row r="11" customFormat="false" ht="14.25" hidden="false" customHeight="false" outlineLevel="0" collapsed="false">
      <c r="A11" s="61" t="n">
        <v>1851</v>
      </c>
      <c r="B11" s="50" t="n">
        <f aca="false">Economy!B11*lf_rate</f>
        <v>120019.841510774</v>
      </c>
      <c r="C11" s="50" t="n">
        <f aca="false">Economy!O11*1000000/(B11+L11)</f>
        <v>880.636944706164</v>
      </c>
      <c r="D11" s="50" t="n">
        <f aca="false">Champions!AP11*1000000/(C11*champ_prem)</f>
        <v>0</v>
      </c>
      <c r="E11" s="50" t="n">
        <f aca="false">D11*job_mult</f>
        <v>0</v>
      </c>
      <c r="F11" s="50" t="n">
        <f aca="false">D11+E11</f>
        <v>0</v>
      </c>
      <c r="G11" s="66" t="n">
        <f aca="false">F11/B11</f>
        <v>0</v>
      </c>
      <c r="H11" s="50" t="n">
        <f aca="false">F11-F10</f>
        <v>0</v>
      </c>
      <c r="I11" s="66" t="n">
        <f aca="false">MAX(0.005,pac_u_base*IF(Paths!AC11=1,pac_u_war,1)+(okun*(1-Economy!G11)*(B11+L11)-MAX(0,L10-L11))/B11)</f>
        <v>0.015</v>
      </c>
      <c r="J11" s="50" t="n">
        <f aca="false">IF(AND(gw_on=1,$A11&gt;=gw_start),MIN(gw_cap*B10,gw_cover*F10+gw_gen*B10),0)</f>
        <v>0</v>
      </c>
      <c r="K11" s="50" t="n">
        <f aca="false">L10*gw_conv</f>
        <v>0</v>
      </c>
      <c r="L11" s="50" t="n">
        <f aca="false">MAX(0,L10-K11+gw_adj*(J11-L10))*MAX(0,1-gw_slump*(1-Economy!G11))</f>
        <v>0</v>
      </c>
      <c r="M11" s="50"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2.9231097591609</v>
      </c>
      <c r="U11" s="70" t="n">
        <f aca="false">MAX(0,T11-gap_base)</f>
        <v>1.4231097591609</v>
      </c>
      <c r="V11" s="71" t="n">
        <v>17.33</v>
      </c>
      <c r="W11" s="50" t="n">
        <f aca="false">V11*1000000*lf_rate*union_skill_share</f>
        <v>873432</v>
      </c>
      <c r="X11" s="48" t="n">
        <v>0</v>
      </c>
      <c r="Y11" s="50" t="n">
        <f aca="false">IF(AND(mig_endo=1,$A11&gt;=talent_start),talent_rate_u*W11*U11*(1-(1-bd_keep)*S11),0)</f>
        <v>0</v>
      </c>
      <c r="Z11" s="50" t="n">
        <f aca="false">IF(AND(mig_endo=1,$A11&gt;=talent_start),X11*MIN(0.5,talent_share_o*U11)*(1-eu_comp*S11),0)</f>
        <v>0</v>
      </c>
      <c r="AA11" s="48" t="n">
        <v>0</v>
      </c>
      <c r="AB11" s="50" t="n">
        <f aca="false">IF(AND(mig_endo=1,$A11&gt;=talent_start),AA11*MIN(0.5,talent_share_a*U11),0)</f>
        <v>0</v>
      </c>
      <c r="AC11" s="50" t="n">
        <f aca="false">entry_cap*People!B11</f>
        <v>811.797392649216</v>
      </c>
      <c r="AD11" s="50" t="n">
        <f aca="false">MIN(AC11,Y11+Z11+AB11)</f>
        <v>0</v>
      </c>
      <c r="AE11" s="50" t="n">
        <f aca="false">IF(Y11+Z11+AB11&gt;0,AD11*Y11/(Y11+Z11+AB11),0)</f>
        <v>0</v>
      </c>
      <c r="AF11" s="50" t="n">
        <f aca="false">IF(Y11+Z11+AB11&gt;0,AD11*AB11/(Y11+Z11+AB11),0)</f>
        <v>0</v>
      </c>
      <c r="AG11" s="50" t="n">
        <f aca="false">AD11*family_mult</f>
        <v>0</v>
      </c>
      <c r="AH11" s="50" t="n">
        <f aca="false">AH10*(1+Paths!C11)+AG11</f>
        <v>0</v>
      </c>
      <c r="AI11" s="50" t="n">
        <f aca="false">IF(AND(mig_endo=1,$A11&gt;=talent_start),chain_rate*AH10,0)</f>
        <v>0</v>
      </c>
      <c r="AJ11" s="50" t="n">
        <f aca="false">IF(AND(mig_endo=1,$A11&gt;=talent_start),IF(H10&gt;0,H10*job_fill,H10*job_return)*job_family,0)</f>
        <v>0</v>
      </c>
      <c r="AK11" s="50" t="n">
        <f aca="false">K11*gw_conv_family</f>
        <v>0</v>
      </c>
      <c r="AL11" s="50" t="n">
        <f aca="false">AG11+AI11+AJ11+AK11+AR11</f>
        <v>0</v>
      </c>
      <c r="AM11" s="50" t="n">
        <f aca="false">AM10*(1-skill_ret)+AD11</f>
        <v>0</v>
      </c>
      <c r="AN11" s="67" t="n">
        <f aca="false">AM11/B11</f>
        <v>0</v>
      </c>
      <c r="AO11" s="67" t="n">
        <f aca="false">(skill_rel-1+skill_spill)*AM10/B10-AT11</f>
        <v>0</v>
      </c>
      <c r="AP11" s="67" t="n">
        <f aca="false">talent_champ*AM10/(skill_base_share*B10)</f>
        <v>0</v>
      </c>
      <c r="AQ11" s="48" t="n">
        <v>385000</v>
      </c>
      <c r="AR11" s="50" t="n">
        <f aca="false">IF(AND(div_on=1,$A11&gt;=div_start),AQ11*MIN(div_max,div_rate*U11)*(1-div_comp*S11),0)</f>
        <v>0</v>
      </c>
      <c r="AS11" s="50" t="n">
        <f aca="false">AS10*(1-div_assim)+AR11</f>
        <v>0</v>
      </c>
      <c r="AT11" s="67" t="n">
        <f aca="false">(1-div_rel)*AS10/Economy!B10</f>
        <v>0</v>
      </c>
      <c r="AU11" s="50" t="n">
        <f aca="false">AU10*(1-skill_ret)+AE11</f>
        <v>0</v>
      </c>
      <c r="AV11" s="50" t="n">
        <f aca="false">AV10*(1+union_nat)+AR11</f>
        <v>0</v>
      </c>
      <c r="AW11" s="50" t="n">
        <f aca="false">AW10*(1+union_nat)+AE11*family_mult</f>
        <v>0</v>
      </c>
      <c r="AX11" s="70" t="n">
        <f aca="false">V11-(AV11+AW11)/1000000</f>
        <v>17.33</v>
      </c>
      <c r="AY11" s="50" t="n">
        <f aca="false">L11*gw_union</f>
        <v>0</v>
      </c>
      <c r="AZ11" s="49" t="n">
        <v>1.119</v>
      </c>
      <c r="BA11" s="50" t="n">
        <f aca="false">Economy!Q11*AZ11/lf_rate</f>
        <v>290.407142857143</v>
      </c>
      <c r="BB11" s="67" t="n">
        <f aca="false">bd_growth*AU10/W10</f>
        <v>0</v>
      </c>
      <c r="BC11" s="67" t="n">
        <f aca="false">tg_k*MIN(1,Economy!O10/BK10)</f>
        <v>0.000117079691580358</v>
      </c>
      <c r="BD11" s="67" t="n">
        <f aca="false">emu_g*S11</f>
        <v>0</v>
      </c>
      <c r="BE11" s="68" t="n">
        <f aca="false">BE10*(1-BB11-BC11+BD11)</f>
        <v>0.999648886078327</v>
      </c>
      <c r="BF11" s="49" t="n">
        <v>1</v>
      </c>
      <c r="BG11" s="56" t="n">
        <f aca="false">AU11*BA11*BE11*(skill_rel-1+skill_spill)/1000000</f>
        <v>0</v>
      </c>
      <c r="BH11" s="56" t="n">
        <f aca="false">union_disp*(Champions!AP11+Champions!AZ11)*(1-IF(union_resp=2,mkt_cut*S11,0))</f>
        <v>0</v>
      </c>
      <c r="BI11" s="56" t="n">
        <f aca="false">AY11*BA11*BE11/1000000</f>
        <v>0</v>
      </c>
      <c r="BJ11" s="50" t="n">
        <f aca="false">V11*Economy!Q11*AZ11</f>
        <v>2113.75743</v>
      </c>
      <c r="BK11" s="50" t="n">
        <f aca="false">MAX(0.3*BJ11,AX11*Economy!Q11*AZ11*BE11*BF11-BG11-BH11-BI11)</f>
        <v>2113.01526033929</v>
      </c>
      <c r="BL11" s="66" t="n">
        <f aca="false">1-BK11/BJ11</f>
        <v>0.000351113921673085</v>
      </c>
      <c r="BM11" s="50" t="n">
        <f aca="false">MAX(0,BH11-BH10)*1000000/BA11</f>
        <v>0</v>
      </c>
      <c r="BN11" s="50" t="n">
        <f aca="false">BN10*(1-IF(AND($A11&gt;=1930,$A11&lt;=1932),0,union_reabsorb))+BM11</f>
        <v>0</v>
      </c>
      <c r="BO11" s="62" t="n">
        <v>0.04</v>
      </c>
      <c r="BP11" s="66" t="n">
        <f aca="false">BO11+BN11/(AX11*1000000*lf_rate)</f>
        <v>0.04</v>
      </c>
    </row>
    <row r="12" customFormat="false" ht="14.25" hidden="false" customHeight="false" outlineLevel="0" collapsed="false">
      <c r="A12" s="61" t="n">
        <v>1852</v>
      </c>
      <c r="B12" s="50" t="n">
        <f aca="false">Economy!B12*lf_rate</f>
        <v>137425.10024286</v>
      </c>
      <c r="C12" s="50" t="n">
        <f aca="false">Economy!O12*1000000/(B12+L12)</f>
        <v>864.488033242813</v>
      </c>
      <c r="D12" s="50" t="n">
        <f aca="false">Champions!AP12*1000000/(C12*champ_prem)</f>
        <v>0</v>
      </c>
      <c r="E12" s="50" t="n">
        <f aca="false">D12*job_mult</f>
        <v>0</v>
      </c>
      <c r="F12" s="50" t="n">
        <f aca="false">D12+E12</f>
        <v>0</v>
      </c>
      <c r="G12" s="66" t="n">
        <f aca="false">F12/B12</f>
        <v>0</v>
      </c>
      <c r="H12" s="50" t="n">
        <f aca="false">F12-F11</f>
        <v>0</v>
      </c>
      <c r="I12" s="66" t="n">
        <f aca="false">MAX(0.005,pac_u_base*IF(Paths!AC12=1,pac_u_war,1)+(okun*(1-Economy!G12)*(B12+L12)-MAX(0,L11-L12))/B12)</f>
        <v>0.015</v>
      </c>
      <c r="J12" s="50" t="n">
        <f aca="false">IF(AND(gw_on=1,$A12&gt;=gw_start),MIN(gw_cap*B11,gw_cover*F11+gw_gen*B11),0)</f>
        <v>0</v>
      </c>
      <c r="K12" s="50" t="n">
        <f aca="false">L11*gw_conv</f>
        <v>0</v>
      </c>
      <c r="L12" s="50" t="n">
        <f aca="false">MAX(0,L11-K12+gw_adj*(J12-L11))*MAX(0,1-gw_slump*(1-Economy!G12))</f>
        <v>0</v>
      </c>
      <c r="M12" s="50"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3.39327997042742</v>
      </c>
      <c r="U12" s="70" t="n">
        <f aca="false">MAX(0,T12-gap_base)</f>
        <v>1.89327997042742</v>
      </c>
      <c r="V12" s="71" t="n">
        <v>17.8</v>
      </c>
      <c r="W12" s="50" t="n">
        <f aca="false">V12*1000000*lf_rate*union_skill_share</f>
        <v>897120</v>
      </c>
      <c r="X12" s="48" t="n">
        <v>0</v>
      </c>
      <c r="Y12" s="50" t="n">
        <f aca="false">IF(AND(mig_endo=1,$A12&gt;=talent_start),talent_rate_u*W12*U12*(1-(1-bd_keep)*S12),0)</f>
        <v>0</v>
      </c>
      <c r="Z12" s="50" t="n">
        <f aca="false">IF(AND(mig_endo=1,$A12&gt;=talent_start),X12*MIN(0.5,talent_share_o*U12)*(1-eu_comp*S12),0)</f>
        <v>0</v>
      </c>
      <c r="AA12" s="48" t="n">
        <v>0</v>
      </c>
      <c r="AB12" s="50" t="n">
        <f aca="false">IF(AND(mig_endo=1,$A12&gt;=talent_start),AA12*MIN(0.5,talent_share_a*U12),0)</f>
        <v>0</v>
      </c>
      <c r="AC12" s="50" t="n">
        <f aca="false">entry_cap*People!B12</f>
        <v>902.77177179041</v>
      </c>
      <c r="AD12" s="50" t="n">
        <f aca="false">MIN(AC12,Y12+Z12+AB12)</f>
        <v>0</v>
      </c>
      <c r="AE12" s="50" t="n">
        <f aca="false">IF(Y12+Z12+AB12&gt;0,AD12*Y12/(Y12+Z12+AB12),0)</f>
        <v>0</v>
      </c>
      <c r="AF12" s="50" t="n">
        <f aca="false">IF(Y12+Z12+AB12&gt;0,AD12*AB12/(Y12+Z12+AB12),0)</f>
        <v>0</v>
      </c>
      <c r="AG12" s="50" t="n">
        <f aca="false">AD12*family_mult</f>
        <v>0</v>
      </c>
      <c r="AH12" s="50" t="n">
        <f aca="false">AH11*(1+Paths!C12)+AG12</f>
        <v>0</v>
      </c>
      <c r="AI12" s="50" t="n">
        <f aca="false">IF(AND(mig_endo=1,$A12&gt;=talent_start),chain_rate*AH11,0)</f>
        <v>0</v>
      </c>
      <c r="AJ12" s="50" t="n">
        <f aca="false">IF(AND(mig_endo=1,$A12&gt;=talent_start),IF(H11&gt;0,H11*job_fill,H11*job_return)*job_family,0)</f>
        <v>0</v>
      </c>
      <c r="AK12" s="50" t="n">
        <f aca="false">K12*gw_conv_family</f>
        <v>0</v>
      </c>
      <c r="AL12" s="50" t="n">
        <f aca="false">AG12+AI12+AJ12+AK12+AR12</f>
        <v>0</v>
      </c>
      <c r="AM12" s="50" t="n">
        <f aca="false">AM11*(1-skill_ret)+AD12</f>
        <v>0</v>
      </c>
      <c r="AN12" s="67" t="n">
        <f aca="false">AM12/B12</f>
        <v>0</v>
      </c>
      <c r="AO12" s="67" t="n">
        <f aca="false">(skill_rel-1+skill_spill)*AM11/B11-AT12</f>
        <v>0</v>
      </c>
      <c r="AP12" s="67" t="n">
        <f aca="false">talent_champ*AM11/(skill_base_share*B11)</f>
        <v>0</v>
      </c>
      <c r="AQ12" s="48" t="n">
        <v>400000</v>
      </c>
      <c r="AR12" s="50" t="n">
        <f aca="false">IF(AND(div_on=1,$A12&gt;=div_start),AQ12*MIN(div_max,div_rate*U12)*(1-div_comp*S12),0)</f>
        <v>0</v>
      </c>
      <c r="AS12" s="50" t="n">
        <f aca="false">AS11*(1-div_assim)+AR12</f>
        <v>0</v>
      </c>
      <c r="AT12" s="67" t="n">
        <f aca="false">(1-div_rel)*AS11/Economy!B11</f>
        <v>0</v>
      </c>
      <c r="AU12" s="50" t="n">
        <f aca="false">AU11*(1-skill_ret)+AE12</f>
        <v>0</v>
      </c>
      <c r="AV12" s="50" t="n">
        <f aca="false">AV11*(1+union_nat)+AR12</f>
        <v>0</v>
      </c>
      <c r="AW12" s="50" t="n">
        <f aca="false">AW11*(1+union_nat)+AE12*family_mult</f>
        <v>0</v>
      </c>
      <c r="AX12" s="70" t="n">
        <f aca="false">V12-(AV12+AW12)/1000000</f>
        <v>17.8</v>
      </c>
      <c r="AY12" s="50" t="n">
        <f aca="false">L12*gw_union</f>
        <v>0</v>
      </c>
      <c r="AZ12" s="49" t="n">
        <v>1.119</v>
      </c>
      <c r="BA12" s="50" t="n">
        <f aca="false">Economy!Q12*AZ12/lf_rate</f>
        <v>301.064285714286</v>
      </c>
      <c r="BB12" s="67" t="n">
        <f aca="false">bd_growth*AU11/W11</f>
        <v>0</v>
      </c>
      <c r="BC12" s="67" t="n">
        <f aca="false">tg_k*MIN(1,Economy!O11/BK11)</f>
        <v>0.000150061253956862</v>
      </c>
      <c r="BD12" s="67" t="n">
        <f aca="false">emu_g*S12</f>
        <v>0</v>
      </c>
      <c r="BE12" s="68" t="n">
        <f aca="false">BE11*(1-BB12-BC12+BD12)</f>
        <v>0.999498877512965</v>
      </c>
      <c r="BF12" s="49" t="n">
        <v>1</v>
      </c>
      <c r="BG12" s="56" t="n">
        <f aca="false">AU12*BA12*BE12*(skill_rel-1+skill_spill)/1000000</f>
        <v>0</v>
      </c>
      <c r="BH12" s="56" t="n">
        <f aca="false">union_disp*(Champions!AP12+Champions!AZ12)*(1-IF(union_resp=2,mkt_cut*S12,0))</f>
        <v>0</v>
      </c>
      <c r="BI12" s="56" t="n">
        <f aca="false">AY12*BA12*BE12/1000000</f>
        <v>0</v>
      </c>
      <c r="BJ12" s="50" t="n">
        <f aca="false">V12*Economy!Q12*AZ12</f>
        <v>2250.7566</v>
      </c>
      <c r="BK12" s="50" t="n">
        <f aca="false">MAX(0.3*BJ12,AX12*Economy!Q12*AZ12*BE12*BF12-BG12-BH12-BI12)</f>
        <v>2249.6286952549</v>
      </c>
      <c r="BL12" s="66" t="n">
        <f aca="false">1-BK12/BJ12</f>
        <v>0.0005011224870346</v>
      </c>
      <c r="BM12" s="50" t="n">
        <f aca="false">MAX(0,BH12-BH11)*1000000/BA12</f>
        <v>0</v>
      </c>
      <c r="BN12" s="50" t="n">
        <f aca="false">BN11*(1-IF(AND($A12&gt;=1930,$A12&lt;=1932),0,union_reabsorb))+BM12</f>
        <v>0</v>
      </c>
      <c r="BO12" s="62" t="n">
        <v>0.04</v>
      </c>
      <c r="BP12" s="66" t="n">
        <f aca="false">BO12+BN12/(AX12*1000000*lf_rate)</f>
        <v>0.04</v>
      </c>
    </row>
    <row r="13" customFormat="false" ht="14.25" hidden="false" customHeight="false" outlineLevel="0" collapsed="false">
      <c r="A13" s="61" t="n">
        <v>1853</v>
      </c>
      <c r="B13" s="50" t="n">
        <f aca="false">Economy!B13*lf_rate</f>
        <v>155423.201044803</v>
      </c>
      <c r="C13" s="50" t="n">
        <f aca="false">Economy!O13*1000000/(B13+L13)</f>
        <v>767.032628946205</v>
      </c>
      <c r="D13" s="50" t="n">
        <f aca="false">Champions!AP13*1000000/(C13*champ_prem)</f>
        <v>0</v>
      </c>
      <c r="E13" s="50" t="n">
        <f aca="false">D13*job_mult</f>
        <v>0</v>
      </c>
      <c r="F13" s="50" t="n">
        <f aca="false">D13+E13</f>
        <v>0</v>
      </c>
      <c r="G13" s="66" t="n">
        <f aca="false">F13/B13</f>
        <v>0</v>
      </c>
      <c r="H13" s="50" t="n">
        <f aca="false">F13-F12</f>
        <v>0</v>
      </c>
      <c r="I13" s="66" t="n">
        <f aca="false">MAX(0.005,pac_u_base*IF(Paths!AC13=1,pac_u_war,1)+(okun*(1-Economy!G13)*(B13+L13)-MAX(0,L12-L13))/B13)</f>
        <v>0.015</v>
      </c>
      <c r="J13" s="50" t="n">
        <f aca="false">IF(AND(gw_on=1,$A13&gt;=gw_start),MIN(gw_cap*B12,gw_cover*F12+gw_gen*B12),0)</f>
        <v>0</v>
      </c>
      <c r="K13" s="50" t="n">
        <f aca="false">L12*gw_conv</f>
        <v>0</v>
      </c>
      <c r="L13" s="50" t="n">
        <f aca="false">MAX(0,L12-K13+gw_adj*(J13-L12))*MAX(0,1-gw_slump*(1-Economy!G13))</f>
        <v>0</v>
      </c>
      <c r="M13" s="50"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3.21314136249541</v>
      </c>
      <c r="U13" s="70" t="n">
        <f aca="false">MAX(0,T13-gap_base)</f>
        <v>1.71314136249541</v>
      </c>
      <c r="V13" s="71" t="n">
        <v>18.27</v>
      </c>
      <c r="W13" s="50" t="n">
        <f aca="false">V13*1000000*lf_rate*union_skill_share</f>
        <v>920808</v>
      </c>
      <c r="X13" s="48" t="n">
        <v>0</v>
      </c>
      <c r="Y13" s="50" t="n">
        <f aca="false">IF(AND(mig_endo=1,$A13&gt;=talent_start),talent_rate_u*W13*U13*(1-(1-bd_keep)*S13),0)</f>
        <v>0</v>
      </c>
      <c r="Z13" s="50" t="n">
        <f aca="false">IF(AND(mig_endo=1,$A13&gt;=talent_start),X13*MIN(0.5,talent_share_o*U13)*(1-eu_comp*S13),0)</f>
        <v>0</v>
      </c>
      <c r="AA13" s="48" t="n">
        <v>0</v>
      </c>
      <c r="AB13" s="50" t="n">
        <f aca="false">IF(AND(mig_endo=1,$A13&gt;=talent_start),AA13*MIN(0.5,talent_share_a*U13),0)</f>
        <v>0</v>
      </c>
      <c r="AC13" s="50" t="n">
        <f aca="false">entry_cap*People!B13</f>
        <v>1060.44394596473</v>
      </c>
      <c r="AD13" s="50" t="n">
        <f aca="false">MIN(AC13,Y13+Z13+AB13)</f>
        <v>0</v>
      </c>
      <c r="AE13" s="50" t="n">
        <f aca="false">IF(Y13+Z13+AB13&gt;0,AD13*Y13/(Y13+Z13+AB13),0)</f>
        <v>0</v>
      </c>
      <c r="AF13" s="50" t="n">
        <f aca="false">IF(Y13+Z13+AB13&gt;0,AD13*AB13/(Y13+Z13+AB13),0)</f>
        <v>0</v>
      </c>
      <c r="AG13" s="50" t="n">
        <f aca="false">AD13*family_mult</f>
        <v>0</v>
      </c>
      <c r="AH13" s="50" t="n">
        <f aca="false">AH12*(1+Paths!C13)+AG13</f>
        <v>0</v>
      </c>
      <c r="AI13" s="50" t="n">
        <f aca="false">IF(AND(mig_endo=1,$A13&gt;=talent_start),chain_rate*AH12,0)</f>
        <v>0</v>
      </c>
      <c r="AJ13" s="50" t="n">
        <f aca="false">IF(AND(mig_endo=1,$A13&gt;=talent_start),IF(H12&gt;0,H12*job_fill,H12*job_return)*job_family,0)</f>
        <v>0</v>
      </c>
      <c r="AK13" s="50" t="n">
        <f aca="false">K13*gw_conv_family</f>
        <v>0</v>
      </c>
      <c r="AL13" s="50" t="n">
        <f aca="false">AG13+AI13+AJ13+AK13+AR13</f>
        <v>0</v>
      </c>
      <c r="AM13" s="50" t="n">
        <f aca="false">AM12*(1-skill_ret)+AD13</f>
        <v>0</v>
      </c>
      <c r="AN13" s="67" t="n">
        <f aca="false">AM13/B13</f>
        <v>0</v>
      </c>
      <c r="AO13" s="67" t="n">
        <f aca="false">(skill_rel-1+skill_spill)*AM12/B12-AT13</f>
        <v>0</v>
      </c>
      <c r="AP13" s="67" t="n">
        <f aca="false">talent_champ*AM12/(skill_base_share*B12)</f>
        <v>0</v>
      </c>
      <c r="AQ13" s="48" t="n">
        <v>415000</v>
      </c>
      <c r="AR13" s="50" t="n">
        <f aca="false">IF(AND(div_on=1,$A13&gt;=div_start),AQ13*MIN(div_max,div_rate*U13)*(1-div_comp*S13),0)</f>
        <v>0</v>
      </c>
      <c r="AS13" s="50" t="n">
        <f aca="false">AS12*(1-div_assim)+AR13</f>
        <v>0</v>
      </c>
      <c r="AT13" s="67" t="n">
        <f aca="false">(1-div_rel)*AS12/Economy!B12</f>
        <v>0</v>
      </c>
      <c r="AU13" s="50" t="n">
        <f aca="false">AU12*(1-skill_ret)+AE13</f>
        <v>0</v>
      </c>
      <c r="AV13" s="50" t="n">
        <f aca="false">AV12*(1+union_nat)+AR13</f>
        <v>0</v>
      </c>
      <c r="AW13" s="50" t="n">
        <f aca="false">AW12*(1+union_nat)+AE13*family_mult</f>
        <v>0</v>
      </c>
      <c r="AX13" s="70" t="n">
        <f aca="false">V13-(AV13+AW13)/1000000</f>
        <v>18.27</v>
      </c>
      <c r="AY13" s="50" t="n">
        <f aca="false">L13*gw_union</f>
        <v>0</v>
      </c>
      <c r="AZ13" s="49" t="n">
        <v>1.119</v>
      </c>
      <c r="BA13" s="50" t="n">
        <f aca="false">Economy!Q13*AZ13/lf_rate</f>
        <v>311.721428571429</v>
      </c>
      <c r="BB13" s="67" t="n">
        <f aca="false">bd_growth*AU12/W12</f>
        <v>0</v>
      </c>
      <c r="BC13" s="67" t="n">
        <f aca="false">tg_k*MIN(1,Economy!O12/BK12)</f>
        <v>0.000158429284189521</v>
      </c>
      <c r="BD13" s="67" t="n">
        <f aca="false">emu_g*S13</f>
        <v>0</v>
      </c>
      <c r="BE13" s="68" t="n">
        <f aca="false">BE12*(1-BB13-BC13+BD13)</f>
        <v>0.999340527621253</v>
      </c>
      <c r="BF13" s="49" t="n">
        <v>1</v>
      </c>
      <c r="BG13" s="56" t="n">
        <f aca="false">AU13*BA13*BE13*(skill_rel-1+skill_spill)/1000000</f>
        <v>0</v>
      </c>
      <c r="BH13" s="56" t="n">
        <f aca="false">union_disp*(Champions!AP13+Champions!AZ13)*(1-IF(union_resp=2,mkt_cut*S13,0))</f>
        <v>0</v>
      </c>
      <c r="BI13" s="56" t="n">
        <f aca="false">AY13*BA13*BE13/1000000</f>
        <v>0</v>
      </c>
      <c r="BJ13" s="50" t="n">
        <f aca="false">V13*Economy!Q13*AZ13</f>
        <v>2391.96321</v>
      </c>
      <c r="BK13" s="50" t="n">
        <f aca="false">MAX(0.3*BJ13,AX13*Economy!Q13*AZ13*BE13*BF13-BG13-BH13-BI13)</f>
        <v>2390.38577633203</v>
      </c>
      <c r="BL13" s="66" t="n">
        <f aca="false">1-BK13/BJ13</f>
        <v>0.000659472378747306</v>
      </c>
      <c r="BM13" s="50" t="n">
        <f aca="false">MAX(0,BH13-BH12)*1000000/BA13</f>
        <v>0</v>
      </c>
      <c r="BN13" s="50" t="n">
        <f aca="false">BN12*(1-IF(AND($A13&gt;=1930,$A13&lt;=1932),0,union_reabsorb))+BM13</f>
        <v>0</v>
      </c>
      <c r="BO13" s="62" t="n">
        <v>0.04</v>
      </c>
      <c r="BP13" s="66" t="n">
        <f aca="false">BO13+BN13/(AX13*1000000*lf_rate)</f>
        <v>0.04</v>
      </c>
    </row>
    <row r="14" customFormat="false" ht="14.25" hidden="false" customHeight="false" outlineLevel="0" collapsed="false">
      <c r="A14" s="61" t="n">
        <v>1854</v>
      </c>
      <c r="B14" s="50" t="n">
        <f aca="false">Economy!B14*lf_rate</f>
        <v>168718.486653161</v>
      </c>
      <c r="C14" s="50" t="n">
        <f aca="false">Economy!O14*1000000/(B14+L14)</f>
        <v>760.387104025194</v>
      </c>
      <c r="D14" s="50" t="n">
        <f aca="false">Champions!AP14*1000000/(C14*champ_prem)</f>
        <v>0</v>
      </c>
      <c r="E14" s="50" t="n">
        <f aca="false">D14*job_mult</f>
        <v>0</v>
      </c>
      <c r="F14" s="50" t="n">
        <f aca="false">D14+E14</f>
        <v>0</v>
      </c>
      <c r="G14" s="66" t="n">
        <f aca="false">F14/B14</f>
        <v>0</v>
      </c>
      <c r="H14" s="50" t="n">
        <f aca="false">F14-F13</f>
        <v>0</v>
      </c>
      <c r="I14" s="66" t="n">
        <f aca="false">MAX(0.005,pac_u_base*IF(Paths!AC14=1,pac_u_war,1)+(okun*(1-Economy!G14)*(B14+L14)-MAX(0,L13-L14))/B14)</f>
        <v>0.015</v>
      </c>
      <c r="J14" s="50" t="n">
        <f aca="false">IF(AND(gw_on=1,$A14&gt;=gw_start),MIN(gw_cap*B13,gw_cover*F13+gw_gen*B13),0)</f>
        <v>0</v>
      </c>
      <c r="K14" s="50" t="n">
        <f aca="false">L13*gw_conv</f>
        <v>0</v>
      </c>
      <c r="L14" s="50" t="n">
        <f aca="false">MAX(0,L13-K14+gw_adj*(J14-L13))*MAX(0,1-gw_slump*(1-Economy!G14))</f>
        <v>0</v>
      </c>
      <c r="M14" s="50"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2.75345046288381</v>
      </c>
      <c r="U14" s="70" t="n">
        <f aca="false">MAX(0,T14-gap_base)</f>
        <v>1.25345046288381</v>
      </c>
      <c r="V14" s="71" t="n">
        <v>18.73</v>
      </c>
      <c r="W14" s="50" t="n">
        <f aca="false">V14*1000000*lf_rate*union_skill_share</f>
        <v>943992</v>
      </c>
      <c r="X14" s="48" t="n">
        <v>0</v>
      </c>
      <c r="Y14" s="50" t="n">
        <f aca="false">IF(AND(mig_endo=1,$A14&gt;=talent_start),talent_rate_u*W14*U14*(1-(1-bd_keep)*S14),0)</f>
        <v>0</v>
      </c>
      <c r="Z14" s="50" t="n">
        <f aca="false">IF(AND(mig_endo=1,$A14&gt;=talent_start),X14*MIN(0.5,talent_share_o*U14)*(1-eu_comp*S14),0)</f>
        <v>0</v>
      </c>
      <c r="AA14" s="48" t="n">
        <v>0</v>
      </c>
      <c r="AB14" s="50" t="n">
        <f aca="false">IF(AND(mig_endo=1,$A14&gt;=talent_start),AA14*MIN(0.5,talent_share_a*U14),0)</f>
        <v>0</v>
      </c>
      <c r="AC14" s="50" t="n">
        <f aca="false">entry_cap*People!B14</f>
        <v>1159.88749753245</v>
      </c>
      <c r="AD14" s="50" t="n">
        <f aca="false">MIN(AC14,Y14+Z14+AB14)</f>
        <v>0</v>
      </c>
      <c r="AE14" s="50" t="n">
        <f aca="false">IF(Y14+Z14+AB14&gt;0,AD14*Y14/(Y14+Z14+AB14),0)</f>
        <v>0</v>
      </c>
      <c r="AF14" s="50" t="n">
        <f aca="false">IF(Y14+Z14+AB14&gt;0,AD14*AB14/(Y14+Z14+AB14),0)</f>
        <v>0</v>
      </c>
      <c r="AG14" s="50" t="n">
        <f aca="false">AD14*family_mult</f>
        <v>0</v>
      </c>
      <c r="AH14" s="50" t="n">
        <f aca="false">AH13*(1+Paths!C14)+AG14</f>
        <v>0</v>
      </c>
      <c r="AI14" s="50" t="n">
        <f aca="false">IF(AND(mig_endo=1,$A14&gt;=talent_start),chain_rate*AH13,0)</f>
        <v>0</v>
      </c>
      <c r="AJ14" s="50" t="n">
        <f aca="false">IF(AND(mig_endo=1,$A14&gt;=talent_start),IF(H13&gt;0,H13*job_fill,H13*job_return)*job_family,0)</f>
        <v>0</v>
      </c>
      <c r="AK14" s="50" t="n">
        <f aca="false">K14*gw_conv_family</f>
        <v>0</v>
      </c>
      <c r="AL14" s="50" t="n">
        <f aca="false">AG14+AI14+AJ14+AK14+AR14</f>
        <v>0</v>
      </c>
      <c r="AM14" s="50" t="n">
        <f aca="false">AM13*(1-skill_ret)+AD14</f>
        <v>0</v>
      </c>
      <c r="AN14" s="67" t="n">
        <f aca="false">AM14/B14</f>
        <v>0</v>
      </c>
      <c r="AO14" s="67" t="n">
        <f aca="false">(skill_rel-1+skill_spill)*AM13/B13-AT14</f>
        <v>0</v>
      </c>
      <c r="AP14" s="67" t="n">
        <f aca="false">talent_champ*AM13/(skill_base_share*B13)</f>
        <v>0</v>
      </c>
      <c r="AQ14" s="48" t="n">
        <v>430000</v>
      </c>
      <c r="AR14" s="50" t="n">
        <f aca="false">IF(AND(div_on=1,$A14&gt;=div_start),AQ14*MIN(div_max,div_rate*U14)*(1-div_comp*S14),0)</f>
        <v>0</v>
      </c>
      <c r="AS14" s="50" t="n">
        <f aca="false">AS13*(1-div_assim)+AR14</f>
        <v>0</v>
      </c>
      <c r="AT14" s="67" t="n">
        <f aca="false">(1-div_rel)*AS13/Economy!B13</f>
        <v>0</v>
      </c>
      <c r="AU14" s="50" t="n">
        <f aca="false">AU13*(1-skill_ret)+AE14</f>
        <v>0</v>
      </c>
      <c r="AV14" s="50" t="n">
        <f aca="false">AV13*(1+union_nat)+AR14</f>
        <v>0</v>
      </c>
      <c r="AW14" s="50" t="n">
        <f aca="false">AW13*(1+union_nat)+AE14*family_mult</f>
        <v>0</v>
      </c>
      <c r="AX14" s="70" t="n">
        <f aca="false">V14-(AV14+AW14)/1000000</f>
        <v>18.73</v>
      </c>
      <c r="AY14" s="50" t="n">
        <f aca="false">L14*gw_union</f>
        <v>0</v>
      </c>
      <c r="AZ14" s="49" t="n">
        <v>1.118</v>
      </c>
      <c r="BA14" s="50" t="n">
        <f aca="false">Economy!Q14*AZ14/lf_rate</f>
        <v>322.090476190476</v>
      </c>
      <c r="BB14" s="67" t="n">
        <f aca="false">bd_growth*AU13/W13</f>
        <v>0</v>
      </c>
      <c r="BC14" s="67" t="n">
        <f aca="false">tg_k*MIN(1,Economy!O13/BK13)</f>
        <v>0.000149617690596655</v>
      </c>
      <c r="BD14" s="67" t="n">
        <f aca="false">emu_g*S14</f>
        <v>0</v>
      </c>
      <c r="BE14" s="68" t="n">
        <f aca="false">BE13*(1-BB14-BC14+BD14)</f>
        <v>0.999191008599391</v>
      </c>
      <c r="BF14" s="49" t="n">
        <v>1</v>
      </c>
      <c r="BG14" s="56" t="n">
        <f aca="false">AU14*BA14*BE14*(skill_rel-1+skill_spill)/1000000</f>
        <v>0</v>
      </c>
      <c r="BH14" s="56" t="n">
        <f aca="false">union_disp*(Champions!AP14+Champions!AZ14)*(1-IF(union_resp=2,mkt_cut*S14,0))</f>
        <v>0</v>
      </c>
      <c r="BI14" s="56" t="n">
        <f aca="false">AY14*BA14*BE14/1000000</f>
        <v>0</v>
      </c>
      <c r="BJ14" s="50" t="n">
        <f aca="false">V14*Economy!Q14*AZ14</f>
        <v>2533.75694</v>
      </c>
      <c r="BK14" s="50" t="n">
        <f aca="false">MAX(0.3*BJ14,AX14*Economy!Q14*AZ14*BE14*BF14-BG14-BH14-BI14)</f>
        <v>2531.70715242431</v>
      </c>
      <c r="BL14" s="66" t="n">
        <f aca="false">1-BK14/BJ14</f>
        <v>0.000808991400609527</v>
      </c>
      <c r="BM14" s="50" t="n">
        <f aca="false">MAX(0,BH14-BH13)*1000000/BA14</f>
        <v>0</v>
      </c>
      <c r="BN14" s="50" t="n">
        <f aca="false">BN13*(1-IF(AND($A14&gt;=1930,$A14&lt;=1932),0,union_reabsorb))+BM14</f>
        <v>0</v>
      </c>
      <c r="BO14" s="62" t="n">
        <v>0.04</v>
      </c>
      <c r="BP14" s="66" t="n">
        <f aca="false">BO14+BN14/(AX14*1000000*lf_rate)</f>
        <v>0.04</v>
      </c>
    </row>
    <row r="15" customFormat="false" ht="14.25" hidden="false" customHeight="false" outlineLevel="0" collapsed="false">
      <c r="A15" s="61" t="n">
        <v>1855</v>
      </c>
      <c r="B15" s="50" t="n">
        <f aca="false">Economy!B15*lf_rate</f>
        <v>180755.134546387</v>
      </c>
      <c r="C15" s="50" t="n">
        <f aca="false">Economy!O15*1000000/(B15+L15)</f>
        <v>695.904697518398</v>
      </c>
      <c r="D15" s="50" t="n">
        <f aca="false">Champions!AP15*1000000/(C15*champ_prem)</f>
        <v>0</v>
      </c>
      <c r="E15" s="50" t="n">
        <f aca="false">D15*job_mult</f>
        <v>0</v>
      </c>
      <c r="F15" s="50" t="n">
        <f aca="false">D15+E15</f>
        <v>0</v>
      </c>
      <c r="G15" s="66" t="n">
        <f aca="false">F15/B15</f>
        <v>0</v>
      </c>
      <c r="H15" s="50" t="n">
        <f aca="false">F15-F14</f>
        <v>0</v>
      </c>
      <c r="I15" s="66" t="n">
        <f aca="false">MAX(0.005,pac_u_base*IF(Paths!AC15=1,pac_u_war,1)+(okun*(1-Economy!G15)*(B15+L15)-MAX(0,L14-L15))/B15)</f>
        <v>0.015</v>
      </c>
      <c r="J15" s="50" t="n">
        <f aca="false">IF(AND(gw_on=1,$A15&gt;=gw_start),MIN(gw_cap*B14,gw_cover*F14+gw_gen*B14),0)</f>
        <v>0</v>
      </c>
      <c r="K15" s="50" t="n">
        <f aca="false">L14*gw_conv</f>
        <v>0</v>
      </c>
      <c r="L15" s="50" t="n">
        <f aca="false">MAX(0,L14-K15+gw_adj*(J15-L14))*MAX(0,1-gw_slump*(1-Economy!G15))</f>
        <v>0</v>
      </c>
      <c r="M15" s="50"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2.63936019578993</v>
      </c>
      <c r="U15" s="70" t="n">
        <f aca="false">MAX(0,T15-gap_base)</f>
        <v>1.13936019578993</v>
      </c>
      <c r="V15" s="71" t="n">
        <v>19.2</v>
      </c>
      <c r="W15" s="50" t="n">
        <f aca="false">V15*1000000*lf_rate*union_skill_share</f>
        <v>967680</v>
      </c>
      <c r="X15" s="48" t="n">
        <v>0</v>
      </c>
      <c r="Y15" s="50" t="n">
        <f aca="false">IF(AND(mig_endo=1,$A15&gt;=talent_start),talent_rate_u*W15*U15*(1-(1-bd_keep)*S15),0)</f>
        <v>0</v>
      </c>
      <c r="Z15" s="50" t="n">
        <f aca="false">IF(AND(mig_endo=1,$A15&gt;=talent_start),X15*MIN(0.5,talent_share_o*U15)*(1-eu_comp*S15),0)</f>
        <v>0</v>
      </c>
      <c r="AA15" s="48" t="n">
        <v>0</v>
      </c>
      <c r="AB15" s="50" t="n">
        <f aca="false">IF(AND(mig_endo=1,$A15&gt;=talent_start),AA15*MIN(0.5,talent_share_a*U15),0)</f>
        <v>0</v>
      </c>
      <c r="AC15" s="50" t="n">
        <f aca="false">entry_cap*People!B15</f>
        <v>1250.37659751271</v>
      </c>
      <c r="AD15" s="50" t="n">
        <f aca="false">MIN(AC15,Y15+Z15+AB15)</f>
        <v>0</v>
      </c>
      <c r="AE15" s="50" t="n">
        <f aca="false">IF(Y15+Z15+AB15&gt;0,AD15*Y15/(Y15+Z15+AB15),0)</f>
        <v>0</v>
      </c>
      <c r="AF15" s="50" t="n">
        <f aca="false">IF(Y15+Z15+AB15&gt;0,AD15*AB15/(Y15+Z15+AB15),0)</f>
        <v>0</v>
      </c>
      <c r="AG15" s="50" t="n">
        <f aca="false">AD15*family_mult</f>
        <v>0</v>
      </c>
      <c r="AH15" s="50" t="n">
        <f aca="false">AH14*(1+Paths!C15)+AG15</f>
        <v>0</v>
      </c>
      <c r="AI15" s="50" t="n">
        <f aca="false">IF(AND(mig_endo=1,$A15&gt;=talent_start),chain_rate*AH14,0)</f>
        <v>0</v>
      </c>
      <c r="AJ15" s="50" t="n">
        <f aca="false">IF(AND(mig_endo=1,$A15&gt;=talent_start),IF(H14&gt;0,H14*job_fill,H14*job_return)*job_family,0)</f>
        <v>0</v>
      </c>
      <c r="AK15" s="50" t="n">
        <f aca="false">K15*gw_conv_family</f>
        <v>0</v>
      </c>
      <c r="AL15" s="50" t="n">
        <f aca="false">AG15+AI15+AJ15+AK15+AR15</f>
        <v>0</v>
      </c>
      <c r="AM15" s="50" t="n">
        <f aca="false">AM14*(1-skill_ret)+AD15</f>
        <v>0</v>
      </c>
      <c r="AN15" s="67" t="n">
        <f aca="false">AM15/B15</f>
        <v>0</v>
      </c>
      <c r="AO15" s="67" t="n">
        <f aca="false">(skill_rel-1+skill_spill)*AM14/B14-AT15</f>
        <v>0</v>
      </c>
      <c r="AP15" s="67" t="n">
        <f aca="false">talent_champ*AM14/(skill_base_share*B14)</f>
        <v>0</v>
      </c>
      <c r="AQ15" s="48" t="n">
        <v>315000</v>
      </c>
      <c r="AR15" s="50" t="n">
        <f aca="false">IF(AND(div_on=1,$A15&gt;=div_start),AQ15*MIN(div_max,div_rate*U15)*(1-div_comp*S15),0)</f>
        <v>0</v>
      </c>
      <c r="AS15" s="50" t="n">
        <f aca="false">AS14*(1-div_assim)+AR15</f>
        <v>0</v>
      </c>
      <c r="AT15" s="67" t="n">
        <f aca="false">(1-div_rel)*AS14/Economy!B14</f>
        <v>0</v>
      </c>
      <c r="AU15" s="50" t="n">
        <f aca="false">AU14*(1-skill_ret)+AE15</f>
        <v>0</v>
      </c>
      <c r="AV15" s="50" t="n">
        <f aca="false">AV14*(1+union_nat)+AR15</f>
        <v>0</v>
      </c>
      <c r="AW15" s="50" t="n">
        <f aca="false">AW14*(1+union_nat)+AE15*family_mult</f>
        <v>0</v>
      </c>
      <c r="AX15" s="70" t="n">
        <f aca="false">V15-(AV15+AW15)/1000000</f>
        <v>19.2</v>
      </c>
      <c r="AY15" s="50" t="n">
        <f aca="false">L15*gw_union</f>
        <v>0</v>
      </c>
      <c r="AZ15" s="49" t="n">
        <v>1.118</v>
      </c>
      <c r="BA15" s="50" t="n">
        <f aca="false">Economy!Q15*AZ15/lf_rate</f>
        <v>332.738095238095</v>
      </c>
      <c r="BB15" s="67" t="n">
        <f aca="false">bd_growth*AU14/W14</f>
        <v>0</v>
      </c>
      <c r="BC15" s="67" t="n">
        <f aca="false">tg_k*MIN(1,Economy!O14/BK14)</f>
        <v>0.00015202156537599</v>
      </c>
      <c r="BD15" s="67" t="n">
        <f aca="false">emu_g*S15</f>
        <v>0</v>
      </c>
      <c r="BE15" s="68" t="n">
        <f aca="false">BE14*(1-BB15-BC15+BD15)</f>
        <v>0.999039110018154</v>
      </c>
      <c r="BF15" s="49" t="n">
        <v>1</v>
      </c>
      <c r="BG15" s="56" t="n">
        <f aca="false">AU15*BA15*BE15*(skill_rel-1+skill_spill)/1000000</f>
        <v>0</v>
      </c>
      <c r="BH15" s="56" t="n">
        <f aca="false">union_disp*(Champions!AP15+Champions!AZ15)*(1-IF(union_resp=2,mkt_cut*S15,0))</f>
        <v>0</v>
      </c>
      <c r="BI15" s="56" t="n">
        <f aca="false">AY15*BA15*BE15/1000000</f>
        <v>0</v>
      </c>
      <c r="BJ15" s="50" t="n">
        <f aca="false">V15*Economy!Q15*AZ15</f>
        <v>2683.2</v>
      </c>
      <c r="BK15" s="50" t="n">
        <f aca="false">MAX(0.3*BJ15,AX15*Economy!Q15*AZ15*BE15*BF15-BG15-BH15-BI15)</f>
        <v>2680.62174000071</v>
      </c>
      <c r="BL15" s="66" t="n">
        <f aca="false">1-BK15/BJ15</f>
        <v>0.000960889981846402</v>
      </c>
      <c r="BM15" s="50" t="n">
        <f aca="false">MAX(0,BH15-BH14)*1000000/BA15</f>
        <v>0</v>
      </c>
      <c r="BN15" s="50" t="n">
        <f aca="false">BN14*(1-IF(AND($A15&gt;=1930,$A15&lt;=1932),0,union_reabsorb))+BM15</f>
        <v>0</v>
      </c>
      <c r="BO15" s="62" t="n">
        <v>0.04</v>
      </c>
      <c r="BP15" s="66" t="n">
        <f aca="false">BO15+BN15/(AX15*1000000*lf_rate)</f>
        <v>0.04</v>
      </c>
    </row>
    <row r="16" customFormat="false" ht="14.25" hidden="false" customHeight="false" outlineLevel="0" collapsed="false">
      <c r="A16" s="61" t="n">
        <v>1856</v>
      </c>
      <c r="B16" s="50" t="n">
        <f aca="false">Economy!B16*lf_rate</f>
        <v>208550.261940919</v>
      </c>
      <c r="C16" s="50" t="n">
        <f aca="false">Economy!O16*1000000/(B16+L16)</f>
        <v>678.487378056771</v>
      </c>
      <c r="D16" s="50" t="n">
        <f aca="false">Champions!AP16*1000000/(C16*champ_prem)</f>
        <v>0</v>
      </c>
      <c r="E16" s="50" t="n">
        <f aca="false">D16*job_mult</f>
        <v>0</v>
      </c>
      <c r="F16" s="50" t="n">
        <f aca="false">D16+E16</f>
        <v>0</v>
      </c>
      <c r="G16" s="66" t="n">
        <f aca="false">F16/B16</f>
        <v>0</v>
      </c>
      <c r="H16" s="50" t="n">
        <f aca="false">F16-F15</f>
        <v>0</v>
      </c>
      <c r="I16" s="66" t="n">
        <f aca="false">MAX(0.005,pac_u_base*IF(Paths!AC16=1,pac_u_war,1)+(okun*(1-Economy!G16)*(B16+L16)-MAX(0,L15-L16))/B16)</f>
        <v>0.015</v>
      </c>
      <c r="J16" s="50" t="n">
        <f aca="false">IF(AND(gw_on=1,$A16&gt;=gw_start),MIN(gw_cap*B15,gw_cover*F15+gw_gen*B15),0)</f>
        <v>0</v>
      </c>
      <c r="K16" s="50" t="n">
        <f aca="false">L15*gw_conv</f>
        <v>0</v>
      </c>
      <c r="L16" s="50" t="n">
        <f aca="false">MAX(0,L15-K16+gw_adj*(J16-L15))*MAX(0,1-gw_slump*(1-Economy!G16))</f>
        <v>0</v>
      </c>
      <c r="M16" s="50"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2.33823978366182</v>
      </c>
      <c r="U16" s="70" t="n">
        <f aca="false">MAX(0,T16-gap_base)</f>
        <v>0.838239783661818</v>
      </c>
      <c r="V16" s="71" t="n">
        <v>19.67</v>
      </c>
      <c r="W16" s="50" t="n">
        <f aca="false">V16*1000000*lf_rate*union_skill_share</f>
        <v>991368</v>
      </c>
      <c r="X16" s="48" t="n">
        <v>0</v>
      </c>
      <c r="Y16" s="50" t="n">
        <f aca="false">IF(AND(mig_endo=1,$A16&gt;=talent_start),talent_rate_u*W16*U16*(1-(1-bd_keep)*S16),0)</f>
        <v>0</v>
      </c>
      <c r="Z16" s="50" t="n">
        <f aca="false">IF(AND(mig_endo=1,$A16&gt;=talent_start),X16*MIN(0.5,talent_share_o*U16)*(1-eu_comp*S16),0)</f>
        <v>0</v>
      </c>
      <c r="AA16" s="48" t="n">
        <v>0</v>
      </c>
      <c r="AB16" s="50" t="n">
        <f aca="false">IF(AND(mig_endo=1,$A16&gt;=talent_start),AA16*MIN(0.5,talent_share_a*U16),0)</f>
        <v>0</v>
      </c>
      <c r="AC16" s="50" t="n">
        <f aca="false">entry_cap*People!B16</f>
        <v>1331.83961029281</v>
      </c>
      <c r="AD16" s="50" t="n">
        <f aca="false">MIN(AC16,Y16+Z16+AB16)</f>
        <v>0</v>
      </c>
      <c r="AE16" s="50" t="n">
        <f aca="false">IF(Y16+Z16+AB16&gt;0,AD16*Y16/(Y16+Z16+AB16),0)</f>
        <v>0</v>
      </c>
      <c r="AF16" s="50" t="n">
        <f aca="false">IF(Y16+Z16+AB16&gt;0,AD16*AB16/(Y16+Z16+AB16),0)</f>
        <v>0</v>
      </c>
      <c r="AG16" s="50" t="n">
        <f aca="false">AD16*family_mult</f>
        <v>0</v>
      </c>
      <c r="AH16" s="50" t="n">
        <f aca="false">AH15*(1+Paths!C16)+AG16</f>
        <v>0</v>
      </c>
      <c r="AI16" s="50" t="n">
        <f aca="false">IF(AND(mig_endo=1,$A16&gt;=talent_start),chain_rate*AH15,0)</f>
        <v>0</v>
      </c>
      <c r="AJ16" s="50" t="n">
        <f aca="false">IF(AND(mig_endo=1,$A16&gt;=talent_start),IF(H15&gt;0,H15*job_fill,H15*job_return)*job_family,0)</f>
        <v>0</v>
      </c>
      <c r="AK16" s="50" t="n">
        <f aca="false">K16*gw_conv_family</f>
        <v>0</v>
      </c>
      <c r="AL16" s="50" t="n">
        <f aca="false">AG16+AI16+AJ16+AK16+AR16</f>
        <v>0</v>
      </c>
      <c r="AM16" s="50" t="n">
        <f aca="false">AM15*(1-skill_ret)+AD16</f>
        <v>0</v>
      </c>
      <c r="AN16" s="67" t="n">
        <f aca="false">AM16/B16</f>
        <v>0</v>
      </c>
      <c r="AO16" s="67" t="n">
        <f aca="false">(skill_rel-1+skill_spill)*AM15/B15-AT16</f>
        <v>0</v>
      </c>
      <c r="AP16" s="67" t="n">
        <f aca="false">talent_champ*AM15/(skill_base_share*B15)</f>
        <v>0</v>
      </c>
      <c r="AQ16" s="48" t="n">
        <v>200000</v>
      </c>
      <c r="AR16" s="50" t="n">
        <f aca="false">IF(AND(div_on=1,$A16&gt;=div_start),AQ16*MIN(div_max,div_rate*U16)*(1-div_comp*S16),0)</f>
        <v>0</v>
      </c>
      <c r="AS16" s="50" t="n">
        <f aca="false">AS15*(1-div_assim)+AR16</f>
        <v>0</v>
      </c>
      <c r="AT16" s="67" t="n">
        <f aca="false">(1-div_rel)*AS15/Economy!B15</f>
        <v>0</v>
      </c>
      <c r="AU16" s="50" t="n">
        <f aca="false">AU15*(1-skill_ret)+AE16</f>
        <v>0</v>
      </c>
      <c r="AV16" s="50" t="n">
        <f aca="false">AV15*(1+union_nat)+AR16</f>
        <v>0</v>
      </c>
      <c r="AW16" s="50" t="n">
        <f aca="false">AW15*(1+union_nat)+AE16*family_mult</f>
        <v>0</v>
      </c>
      <c r="AX16" s="70" t="n">
        <f aca="false">V16-(AV16+AW16)/1000000</f>
        <v>19.67</v>
      </c>
      <c r="AY16" s="50" t="n">
        <f aca="false">L16*gw_union</f>
        <v>0</v>
      </c>
      <c r="AZ16" s="49" t="n">
        <v>1.118</v>
      </c>
      <c r="BA16" s="50" t="n">
        <f aca="false">Economy!Q16*AZ16/lf_rate</f>
        <v>340.72380952381</v>
      </c>
      <c r="BB16" s="67" t="n">
        <f aca="false">bd_growth*AU15/W15</f>
        <v>0</v>
      </c>
      <c r="BC16" s="67" t="n">
        <f aca="false">tg_k*MIN(1,Economy!O15/BK15)</f>
        <v>0.000140775192584278</v>
      </c>
      <c r="BD16" s="67" t="n">
        <f aca="false">emu_g*S16</f>
        <v>0</v>
      </c>
      <c r="BE16" s="68" t="n">
        <f aca="false">BE15*(1-BB16-BC16+BD16)</f>
        <v>0.998898470095042</v>
      </c>
      <c r="BF16" s="49" t="n">
        <v>1</v>
      </c>
      <c r="BG16" s="56" t="n">
        <f aca="false">AU16*BA16*BE16*(skill_rel-1+skill_spill)/1000000</f>
        <v>0</v>
      </c>
      <c r="BH16" s="56" t="n">
        <f aca="false">union_disp*(Champions!AP16+Champions!AZ16)*(1-IF(union_resp=2,mkt_cut*S16,0))</f>
        <v>0</v>
      </c>
      <c r="BI16" s="56" t="n">
        <f aca="false">AY16*BA16*BE16/1000000</f>
        <v>0</v>
      </c>
      <c r="BJ16" s="50" t="n">
        <f aca="false">V16*Economy!Q16*AZ16</f>
        <v>2814.85568</v>
      </c>
      <c r="BK16" s="50" t="n">
        <f aca="false">MAX(0.3*BJ16,AX16*Economy!Q16*AZ16*BE16*BF16-BG16-BH16-BI16)</f>
        <v>2811.75503229034</v>
      </c>
      <c r="BL16" s="66" t="n">
        <f aca="false">1-BK16/BJ16</f>
        <v>0.00110152990495838</v>
      </c>
      <c r="BM16" s="50" t="n">
        <f aca="false">MAX(0,BH16-BH15)*1000000/BA16</f>
        <v>0</v>
      </c>
      <c r="BN16" s="50" t="n">
        <f aca="false">BN15*(1-IF(AND($A16&gt;=1930,$A16&lt;=1932),0,union_reabsorb))+BM16</f>
        <v>0</v>
      </c>
      <c r="BO16" s="62" t="n">
        <v>0.04</v>
      </c>
      <c r="BP16" s="66" t="n">
        <f aca="false">BO16+BN16/(AX16*1000000*lf_rate)</f>
        <v>0.04</v>
      </c>
    </row>
    <row r="17" customFormat="false" ht="14.25" hidden="false" customHeight="false" outlineLevel="0" collapsed="false">
      <c r="A17" s="61" t="n">
        <v>1857</v>
      </c>
      <c r="B17" s="50" t="n">
        <f aca="false">Economy!B17*lf_rate</f>
        <v>237858.714822269</v>
      </c>
      <c r="C17" s="50" t="n">
        <f aca="false">Economy!O17*1000000/(B17+L17)</f>
        <v>603.140526879989</v>
      </c>
      <c r="D17" s="50" t="n">
        <f aca="false">Champions!AP17*1000000/(C17*champ_prem)</f>
        <v>0</v>
      </c>
      <c r="E17" s="50" t="n">
        <f aca="false">D17*job_mult</f>
        <v>0</v>
      </c>
      <c r="F17" s="50" t="n">
        <f aca="false">D17+E17</f>
        <v>0</v>
      </c>
      <c r="G17" s="66" t="n">
        <f aca="false">F17/B17</f>
        <v>0</v>
      </c>
      <c r="H17" s="50" t="n">
        <f aca="false">F17-F16</f>
        <v>0</v>
      </c>
      <c r="I17" s="66" t="n">
        <f aca="false">MAX(0.005,pac_u_base*IF(Paths!AC17=1,pac_u_war,1)+(okun*(1-Economy!G17)*(B17+L17)-MAX(0,L16-L17))/B17)</f>
        <v>0.03</v>
      </c>
      <c r="J17" s="50" t="n">
        <f aca="false">IF(AND(gw_on=1,$A17&gt;=gw_start),MIN(gw_cap*B16,gw_cover*F16+gw_gen*B16),0)</f>
        <v>0</v>
      </c>
      <c r="K17" s="50" t="n">
        <f aca="false">L16*gw_conv</f>
        <v>0</v>
      </c>
      <c r="L17" s="50" t="n">
        <f aca="false">MAX(0,L16-K17+gw_adj*(J17-L16))*MAX(0,1-gw_slump*(1-Economy!G17))</f>
        <v>0</v>
      </c>
      <c r="M17" s="50"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2.22628670924878</v>
      </c>
      <c r="U17" s="70" t="n">
        <f aca="false">MAX(0,T17-gap_base)</f>
        <v>0.726286709248779</v>
      </c>
      <c r="V17" s="71" t="n">
        <v>20.13</v>
      </c>
      <c r="W17" s="50" t="n">
        <f aca="false">V17*1000000*lf_rate*union_skill_share</f>
        <v>1014552</v>
      </c>
      <c r="X17" s="48" t="n">
        <v>0</v>
      </c>
      <c r="Y17" s="50" t="n">
        <f aca="false">IF(AND(mig_endo=1,$A17&gt;=talent_start),talent_rate_u*W17*U17*(1-(1-bd_keep)*S17),0)</f>
        <v>0</v>
      </c>
      <c r="Z17" s="50" t="n">
        <f aca="false">IF(AND(mig_endo=1,$A17&gt;=talent_start),X17*MIN(0.5,talent_share_o*U17)*(1-eu_comp*S17),0)</f>
        <v>0</v>
      </c>
      <c r="AA17" s="48" t="n">
        <v>0</v>
      </c>
      <c r="AB17" s="50" t="n">
        <f aca="false">IF(AND(mig_endo=1,$A17&gt;=talent_start),AA17*MIN(0.5,talent_share_a*U17),0)</f>
        <v>0</v>
      </c>
      <c r="AC17" s="50" t="n">
        <f aca="false">entry_cap*People!B17</f>
        <v>1647.44984600603</v>
      </c>
      <c r="AD17" s="50" t="n">
        <f aca="false">MIN(AC17,Y17+Z17+AB17)</f>
        <v>0</v>
      </c>
      <c r="AE17" s="50" t="n">
        <f aca="false">IF(Y17+Z17+AB17&gt;0,AD17*Y17/(Y17+Z17+AB17),0)</f>
        <v>0</v>
      </c>
      <c r="AF17" s="50" t="n">
        <f aca="false">IF(Y17+Z17+AB17&gt;0,AD17*AB17/(Y17+Z17+AB17),0)</f>
        <v>0</v>
      </c>
      <c r="AG17" s="50" t="n">
        <f aca="false">AD17*family_mult</f>
        <v>0</v>
      </c>
      <c r="AH17" s="50" t="n">
        <f aca="false">AH16*(1+Paths!C17)+AG17</f>
        <v>0</v>
      </c>
      <c r="AI17" s="50" t="n">
        <f aca="false">IF(AND(mig_endo=1,$A17&gt;=talent_start),chain_rate*AH16,0)</f>
        <v>0</v>
      </c>
      <c r="AJ17" s="50" t="n">
        <f aca="false">IF(AND(mig_endo=1,$A17&gt;=talent_start),IF(H16&gt;0,H16*job_fill,H16*job_return)*job_family,0)</f>
        <v>0</v>
      </c>
      <c r="AK17" s="50" t="n">
        <f aca="false">K17*gw_conv_family</f>
        <v>0</v>
      </c>
      <c r="AL17" s="50" t="n">
        <f aca="false">AG17+AI17+AJ17+AK17+AR17</f>
        <v>0</v>
      </c>
      <c r="AM17" s="50" t="n">
        <f aca="false">AM16*(1-skill_ret)+AD17</f>
        <v>0</v>
      </c>
      <c r="AN17" s="67" t="n">
        <f aca="false">AM17/B17</f>
        <v>0</v>
      </c>
      <c r="AO17" s="67" t="n">
        <f aca="false">(skill_rel-1+skill_spill)*AM16/B16-AT17</f>
        <v>0</v>
      </c>
      <c r="AP17" s="67" t="n">
        <f aca="false">talent_champ*AM16/(skill_base_share*B16)</f>
        <v>0</v>
      </c>
      <c r="AQ17" s="48" t="n">
        <v>188000</v>
      </c>
      <c r="AR17" s="50" t="n">
        <f aca="false">IF(AND(div_on=1,$A17&gt;=div_start),AQ17*MIN(div_max,div_rate*U17)*(1-div_comp*S17),0)</f>
        <v>0</v>
      </c>
      <c r="AS17" s="50" t="n">
        <f aca="false">AS16*(1-div_assim)+AR17</f>
        <v>0</v>
      </c>
      <c r="AT17" s="67" t="n">
        <f aca="false">(1-div_rel)*AS16/Economy!B16</f>
        <v>0</v>
      </c>
      <c r="AU17" s="50" t="n">
        <f aca="false">AU16*(1-skill_ret)+AE17</f>
        <v>0</v>
      </c>
      <c r="AV17" s="50" t="n">
        <f aca="false">AV16*(1+union_nat)+AR17</f>
        <v>0</v>
      </c>
      <c r="AW17" s="50" t="n">
        <f aca="false">AW16*(1+union_nat)+AE17*family_mult</f>
        <v>0</v>
      </c>
      <c r="AX17" s="70" t="n">
        <f aca="false">V17-(AV17+AW17)/1000000</f>
        <v>20.13</v>
      </c>
      <c r="AY17" s="50" t="n">
        <f aca="false">L17*gw_union</f>
        <v>0</v>
      </c>
      <c r="AZ17" s="49" t="n">
        <v>1.118</v>
      </c>
      <c r="BA17" s="50" t="n">
        <f aca="false">Economy!Q17*AZ17/lf_rate</f>
        <v>348.709523809524</v>
      </c>
      <c r="BB17" s="67" t="n">
        <f aca="false">bd_growth*AU16/W16</f>
        <v>0</v>
      </c>
      <c r="BC17" s="67" t="n">
        <f aca="false">tg_k*MIN(1,Economy!O16/BK16)</f>
        <v>0.000150971957505937</v>
      </c>
      <c r="BD17" s="67" t="n">
        <f aca="false">emu_g*S17</f>
        <v>0</v>
      </c>
      <c r="BE17" s="68" t="n">
        <f aca="false">BE16*(1-BB17-BC17+BD17)</f>
        <v>0.998747664437662</v>
      </c>
      <c r="BF17" s="49" t="n">
        <v>1</v>
      </c>
      <c r="BG17" s="56" t="n">
        <f aca="false">AU17*BA17*BE17*(skill_rel-1+skill_spill)/1000000</f>
        <v>0</v>
      </c>
      <c r="BH17" s="56" t="n">
        <f aca="false">union_disp*(Champions!AP17+Champions!AZ17)*(1-IF(union_resp=2,mkt_cut*S17,0))</f>
        <v>0</v>
      </c>
      <c r="BI17" s="56" t="n">
        <f aca="false">AY17*BA17*BE17/1000000</f>
        <v>0</v>
      </c>
      <c r="BJ17" s="50" t="n">
        <f aca="false">V17*Economy!Q17*AZ17</f>
        <v>2948.19954</v>
      </c>
      <c r="BK17" s="50" t="n">
        <f aca="false">MAX(0.3*BJ17,AX17*Economy!Q17*AZ17*BE17*BF17-BG17-BH17-BI17)</f>
        <v>2944.50740487119</v>
      </c>
      <c r="BL17" s="66" t="n">
        <f aca="false">1-BK17/BJ17</f>
        <v>0.00125233556233828</v>
      </c>
      <c r="BM17" s="50" t="n">
        <f aca="false">MAX(0,BH17-BH16)*1000000/BA17</f>
        <v>0</v>
      </c>
      <c r="BN17" s="50" t="n">
        <f aca="false">BN16*(1-IF(AND($A17&gt;=1930,$A17&lt;=1932),0,union_reabsorb))+BM17</f>
        <v>0</v>
      </c>
      <c r="BO17" s="62" t="n">
        <v>0.04</v>
      </c>
      <c r="BP17" s="66" t="n">
        <f aca="false">BO17+BN17/(AX17*1000000*lf_rate)</f>
        <v>0.04</v>
      </c>
    </row>
    <row r="18" customFormat="false" ht="14.25" hidden="false" customHeight="false" outlineLevel="0" collapsed="false">
      <c r="A18" s="61" t="n">
        <v>1858</v>
      </c>
      <c r="B18" s="50" t="n">
        <f aca="false">Economy!B18*lf_rate</f>
        <v>252369.560685314</v>
      </c>
      <c r="C18" s="50" t="n">
        <f aca="false">Economy!O18*1000000/(B18+L18)</f>
        <v>616.775287634293</v>
      </c>
      <c r="D18" s="50" t="n">
        <f aca="false">Champions!AP18*1000000/(C18*champ_prem)</f>
        <v>0</v>
      </c>
      <c r="E18" s="50" t="n">
        <f aca="false">D18*job_mult</f>
        <v>0</v>
      </c>
      <c r="F18" s="50" t="n">
        <f aca="false">D18+E18</f>
        <v>0</v>
      </c>
      <c r="G18" s="66" t="n">
        <f aca="false">F18/B18</f>
        <v>0</v>
      </c>
      <c r="H18" s="50" t="n">
        <f aca="false">F18-F17</f>
        <v>0</v>
      </c>
      <c r="I18" s="66" t="n">
        <f aca="false">MAX(0.005,pac_u_base*IF(Paths!AC18=1,pac_u_war,1)+(okun*(1-Economy!G18)*(B18+L18)-MAX(0,L17-L18))/B18)</f>
        <v>0.025</v>
      </c>
      <c r="J18" s="50" t="n">
        <f aca="false">IF(AND(gw_on=1,$A18&gt;=gw_start),MIN(gw_cap*B17,gw_cover*F17+gw_gen*B17),0)</f>
        <v>0</v>
      </c>
      <c r="K18" s="50" t="n">
        <f aca="false">L17*gw_conv</f>
        <v>0</v>
      </c>
      <c r="L18" s="50" t="n">
        <f aca="false">MAX(0,L17-K18+gw_adj*(J18-L17))*MAX(0,1-gw_slump*(1-Economy!G18))</f>
        <v>0</v>
      </c>
      <c r="M18" s="50"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1.93373298694348</v>
      </c>
      <c r="U18" s="70" t="n">
        <f aca="false">MAX(0,T18-gap_base)</f>
        <v>0.433732986943476</v>
      </c>
      <c r="V18" s="71" t="n">
        <v>20.6</v>
      </c>
      <c r="W18" s="50" t="n">
        <f aca="false">V18*1000000*lf_rate*union_skill_share</f>
        <v>1038240</v>
      </c>
      <c r="X18" s="48" t="n">
        <v>0</v>
      </c>
      <c r="Y18" s="50" t="n">
        <f aca="false">IF(AND(mig_endo=1,$A18&gt;=talent_start),talent_rate_u*W18*U18*(1-(1-bd_keep)*S18),0)</f>
        <v>0</v>
      </c>
      <c r="Z18" s="50" t="n">
        <f aca="false">IF(AND(mig_endo=1,$A18&gt;=talent_start),X18*MIN(0.5,talent_share_o*U18)*(1-eu_comp*S18),0)</f>
        <v>0</v>
      </c>
      <c r="AA18" s="48" t="n">
        <v>0</v>
      </c>
      <c r="AB18" s="50" t="n">
        <f aca="false">IF(AND(mig_endo=1,$A18&gt;=talent_start),AA18*MIN(0.5,talent_share_a*U18),0)</f>
        <v>0</v>
      </c>
      <c r="AC18" s="50" t="n">
        <f aca="false">entry_cap*People!B18</f>
        <v>1750.5317943121</v>
      </c>
      <c r="AD18" s="50" t="n">
        <f aca="false">MIN(AC18,Y18+Z18+AB18)</f>
        <v>0</v>
      </c>
      <c r="AE18" s="50" t="n">
        <f aca="false">IF(Y18+Z18+AB18&gt;0,AD18*Y18/(Y18+Z18+AB18),0)</f>
        <v>0</v>
      </c>
      <c r="AF18" s="50" t="n">
        <f aca="false">IF(Y18+Z18+AB18&gt;0,AD18*AB18/(Y18+Z18+AB18),0)</f>
        <v>0</v>
      </c>
      <c r="AG18" s="50" t="n">
        <f aca="false">AD18*family_mult</f>
        <v>0</v>
      </c>
      <c r="AH18" s="50" t="n">
        <f aca="false">AH17*(1+Paths!C18)+AG18</f>
        <v>0</v>
      </c>
      <c r="AI18" s="50" t="n">
        <f aca="false">IF(AND(mig_endo=1,$A18&gt;=talent_start),chain_rate*AH17,0)</f>
        <v>0</v>
      </c>
      <c r="AJ18" s="50" t="n">
        <f aca="false">IF(AND(mig_endo=1,$A18&gt;=talent_start),IF(H17&gt;0,H17*job_fill,H17*job_return)*job_family,0)</f>
        <v>0</v>
      </c>
      <c r="AK18" s="50" t="n">
        <f aca="false">K18*gw_conv_family</f>
        <v>0</v>
      </c>
      <c r="AL18" s="50" t="n">
        <f aca="false">AG18+AI18+AJ18+AK18+AR18</f>
        <v>0</v>
      </c>
      <c r="AM18" s="50" t="n">
        <f aca="false">AM17*(1-skill_ret)+AD18</f>
        <v>0</v>
      </c>
      <c r="AN18" s="67" t="n">
        <f aca="false">AM18/B18</f>
        <v>0</v>
      </c>
      <c r="AO18" s="67" t="n">
        <f aca="false">(skill_rel-1+skill_spill)*AM17/B17-AT18</f>
        <v>0</v>
      </c>
      <c r="AP18" s="67" t="n">
        <f aca="false">talent_champ*AM17/(skill_base_share*B17)</f>
        <v>0</v>
      </c>
      <c r="AQ18" s="48" t="n">
        <v>175000</v>
      </c>
      <c r="AR18" s="50" t="n">
        <f aca="false">IF(AND(div_on=1,$A18&gt;=div_start),AQ18*MIN(div_max,div_rate*U18)*(1-div_comp*S18),0)</f>
        <v>0</v>
      </c>
      <c r="AS18" s="50" t="n">
        <f aca="false">AS17*(1-div_assim)+AR18</f>
        <v>0</v>
      </c>
      <c r="AT18" s="67" t="n">
        <f aca="false">(1-div_rel)*AS17/Economy!B17</f>
        <v>0</v>
      </c>
      <c r="AU18" s="50" t="n">
        <f aca="false">AU17*(1-skill_ret)+AE18</f>
        <v>0</v>
      </c>
      <c r="AV18" s="50" t="n">
        <f aca="false">AV17*(1+union_nat)+AR18</f>
        <v>0</v>
      </c>
      <c r="AW18" s="50" t="n">
        <f aca="false">AW17*(1+union_nat)+AE18*family_mult</f>
        <v>0</v>
      </c>
      <c r="AX18" s="70" t="n">
        <f aca="false">V18-(AV18+AW18)/1000000</f>
        <v>20.6</v>
      </c>
      <c r="AY18" s="50" t="n">
        <f aca="false">L18*gw_union</f>
        <v>0</v>
      </c>
      <c r="AZ18" s="49" t="n">
        <v>1.118</v>
      </c>
      <c r="BA18" s="50" t="n">
        <f aca="false">Economy!Q18*AZ18/lf_rate</f>
        <v>356.695238095238</v>
      </c>
      <c r="BB18" s="67" t="n">
        <f aca="false">bd_growth*AU17/W17</f>
        <v>0</v>
      </c>
      <c r="BC18" s="67" t="n">
        <f aca="false">tg_k*MIN(1,Economy!O17/BK17)</f>
        <v>0.00014616593968509</v>
      </c>
      <c r="BD18" s="67" t="n">
        <f aca="false">emu_g*S18</f>
        <v>0</v>
      </c>
      <c r="BE18" s="68" t="n">
        <f aca="false">BE17*(1-BB18-BC18+BD18)</f>
        <v>0.998601681546781</v>
      </c>
      <c r="BF18" s="49" t="n">
        <v>1</v>
      </c>
      <c r="BG18" s="56" t="n">
        <f aca="false">AU18*BA18*BE18*(skill_rel-1+skill_spill)/1000000</f>
        <v>0</v>
      </c>
      <c r="BH18" s="56" t="n">
        <f aca="false">union_disp*(Champions!AP18+Champions!AZ18)*(1-IF(union_resp=2,mkt_cut*S18,0))</f>
        <v>0</v>
      </c>
      <c r="BI18" s="56" t="n">
        <f aca="false">AY18*BA18*BE18/1000000</f>
        <v>0</v>
      </c>
      <c r="BJ18" s="50" t="n">
        <f aca="false">V18*Economy!Q18*AZ18</f>
        <v>3086.1272</v>
      </c>
      <c r="BK18" s="50" t="n">
        <f aca="false">MAX(0.3*BJ18,AX18*Economy!Q18*AZ18*BE18*BF18-BG18-BH18-BI18)</f>
        <v>3081.81181138726</v>
      </c>
      <c r="BL18" s="66" t="n">
        <f aca="false">1-BK18/BJ18</f>
        <v>0.00139831845321914</v>
      </c>
      <c r="BM18" s="50" t="n">
        <f aca="false">MAX(0,BH18-BH17)*1000000/BA18</f>
        <v>0</v>
      </c>
      <c r="BN18" s="50" t="n">
        <f aca="false">BN17*(1-IF(AND($A18&gt;=1930,$A18&lt;=1932),0,union_reabsorb))+BM18</f>
        <v>0</v>
      </c>
      <c r="BO18" s="62" t="n">
        <v>0.04</v>
      </c>
      <c r="BP18" s="66" t="n">
        <f aca="false">BO18+BN18/(AX18*1000000*lf_rate)</f>
        <v>0.04</v>
      </c>
    </row>
    <row r="19" customFormat="false" ht="14.25" hidden="false" customHeight="false" outlineLevel="0" collapsed="false">
      <c r="A19" s="61" t="n">
        <v>1859</v>
      </c>
      <c r="B19" s="50" t="n">
        <f aca="false">Economy!B19*lf_rate</f>
        <v>267040.025852853</v>
      </c>
      <c r="C19" s="50" t="n">
        <f aca="false">Economy!O19*1000000/(B19+L19)</f>
        <v>621.808590677116</v>
      </c>
      <c r="D19" s="50" t="n">
        <f aca="false">Champions!AP19*1000000/(C19*champ_prem)</f>
        <v>0</v>
      </c>
      <c r="E19" s="50" t="n">
        <f aca="false">D19*job_mult</f>
        <v>0</v>
      </c>
      <c r="F19" s="50" t="n">
        <f aca="false">D19+E19</f>
        <v>0</v>
      </c>
      <c r="G19" s="66" t="n">
        <f aca="false">F19/B19</f>
        <v>0</v>
      </c>
      <c r="H19" s="50" t="n">
        <f aca="false">F19-F18</f>
        <v>0</v>
      </c>
      <c r="I19" s="66" t="n">
        <f aca="false">MAX(0.005,pac_u_base*IF(Paths!AC19=1,pac_u_war,1)+(okun*(1-Economy!G19)*(B19+L19)-MAX(0,L18-L19))/B19)</f>
        <v>0.015</v>
      </c>
      <c r="J19" s="50" t="n">
        <f aca="false">IF(AND(gw_on=1,$A19&gt;=gw_start),MIN(gw_cap*B18,gw_cover*F18+gw_gen*B18),0)</f>
        <v>0</v>
      </c>
      <c r="K19" s="50" t="n">
        <f aca="false">L18*gw_conv</f>
        <v>0</v>
      </c>
      <c r="L19" s="50" t="n">
        <f aca="false">MAX(0,L18-K19+gw_adj*(J19-L18))*MAX(0,1-gw_slump*(1-Economy!G19))</f>
        <v>0</v>
      </c>
      <c r="M19" s="50"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1.93317627467465</v>
      </c>
      <c r="U19" s="70" t="n">
        <f aca="false">MAX(0,T19-gap_base)</f>
        <v>0.433176274674649</v>
      </c>
      <c r="V19" s="71" t="n">
        <v>21.07</v>
      </c>
      <c r="W19" s="50" t="n">
        <f aca="false">V19*1000000*lf_rate*union_skill_share</f>
        <v>1061928</v>
      </c>
      <c r="X19" s="48" t="n">
        <v>0</v>
      </c>
      <c r="Y19" s="50" t="n">
        <f aca="false">IF(AND(mig_endo=1,$A19&gt;=talent_start),talent_rate_u*W19*U19*(1-(1-bd_keep)*S19),0)</f>
        <v>0</v>
      </c>
      <c r="Z19" s="50" t="n">
        <f aca="false">IF(AND(mig_endo=1,$A19&gt;=talent_start),X19*MIN(0.5,talent_share_o*U19)*(1-eu_comp*S19),0)</f>
        <v>0</v>
      </c>
      <c r="AA19" s="48" t="n">
        <v>0</v>
      </c>
      <c r="AB19" s="50" t="n">
        <f aca="false">IF(AND(mig_endo=1,$A19&gt;=talent_start),AA19*MIN(0.5,talent_share_a*U19),0)</f>
        <v>0</v>
      </c>
      <c r="AC19" s="50" t="n">
        <f aca="false">entry_cap*People!B19</f>
        <v>1854.74764404953</v>
      </c>
      <c r="AD19" s="50" t="n">
        <f aca="false">MIN(AC19,Y19+Z19+AB19)</f>
        <v>0</v>
      </c>
      <c r="AE19" s="50" t="n">
        <f aca="false">IF(Y19+Z19+AB19&gt;0,AD19*Y19/(Y19+Z19+AB19),0)</f>
        <v>0</v>
      </c>
      <c r="AF19" s="50" t="n">
        <f aca="false">IF(Y19+Z19+AB19&gt;0,AD19*AB19/(Y19+Z19+AB19),0)</f>
        <v>0</v>
      </c>
      <c r="AG19" s="50" t="n">
        <f aca="false">AD19*family_mult</f>
        <v>0</v>
      </c>
      <c r="AH19" s="50" t="n">
        <f aca="false">AH18*(1+Paths!C19)+AG19</f>
        <v>0</v>
      </c>
      <c r="AI19" s="50" t="n">
        <f aca="false">IF(AND(mig_endo=1,$A19&gt;=talent_start),chain_rate*AH18,0)</f>
        <v>0</v>
      </c>
      <c r="AJ19" s="50" t="n">
        <f aca="false">IF(AND(mig_endo=1,$A19&gt;=talent_start),IF(H18&gt;0,H18*job_fill,H18*job_return)*job_family,0)</f>
        <v>0</v>
      </c>
      <c r="AK19" s="50" t="n">
        <f aca="false">K19*gw_conv_family</f>
        <v>0</v>
      </c>
      <c r="AL19" s="50" t="n">
        <f aca="false">AG19+AI19+AJ19+AK19+AR19</f>
        <v>0</v>
      </c>
      <c r="AM19" s="50" t="n">
        <f aca="false">AM18*(1-skill_ret)+AD19</f>
        <v>0</v>
      </c>
      <c r="AN19" s="67" t="n">
        <f aca="false">AM19/B19</f>
        <v>0</v>
      </c>
      <c r="AO19" s="67" t="n">
        <f aca="false">(skill_rel-1+skill_spill)*AM18/B18-AT19</f>
        <v>0</v>
      </c>
      <c r="AP19" s="67" t="n">
        <f aca="false">talent_champ*AM18/(skill_base_share*B18)</f>
        <v>0</v>
      </c>
      <c r="AQ19" s="48" t="n">
        <v>162000</v>
      </c>
      <c r="AR19" s="50" t="n">
        <f aca="false">IF(AND(div_on=1,$A19&gt;=div_start),AQ19*MIN(div_max,div_rate*U19)*(1-div_comp*S19),0)</f>
        <v>0</v>
      </c>
      <c r="AS19" s="50" t="n">
        <f aca="false">AS18*(1-div_assim)+AR19</f>
        <v>0</v>
      </c>
      <c r="AT19" s="67" t="n">
        <f aca="false">(1-div_rel)*AS18/Economy!B18</f>
        <v>0</v>
      </c>
      <c r="AU19" s="50" t="n">
        <f aca="false">AU18*(1-skill_ret)+AE19</f>
        <v>0</v>
      </c>
      <c r="AV19" s="50" t="n">
        <f aca="false">AV18*(1+union_nat)+AR19</f>
        <v>0</v>
      </c>
      <c r="AW19" s="50" t="n">
        <f aca="false">AW18*(1+union_nat)+AE19*family_mult</f>
        <v>0</v>
      </c>
      <c r="AX19" s="70" t="n">
        <f aca="false">V19-(AV19+AW19)/1000000</f>
        <v>21.07</v>
      </c>
      <c r="AY19" s="50" t="n">
        <f aca="false">L19*gw_union</f>
        <v>0</v>
      </c>
      <c r="AZ19" s="49" t="n">
        <v>1.117</v>
      </c>
      <c r="BA19" s="50" t="n">
        <f aca="false">Economy!Q19*AZ19/lf_rate</f>
        <v>364.354761904762</v>
      </c>
      <c r="BB19" s="67" t="n">
        <f aca="false">bd_growth*AU18/W18</f>
        <v>0</v>
      </c>
      <c r="BC19" s="67" t="n">
        <f aca="false">tg_k*MIN(1,Economy!O18/BK18)</f>
        <v>0.000151523179780167</v>
      </c>
      <c r="BD19" s="67" t="n">
        <f aca="false">emu_g*S19</f>
        <v>0</v>
      </c>
      <c r="BE19" s="68" t="n">
        <f aca="false">BE18*(1-BB19-BC19+BD19)</f>
        <v>0.998450370244659</v>
      </c>
      <c r="BF19" s="49" t="n">
        <v>1</v>
      </c>
      <c r="BG19" s="56" t="n">
        <f aca="false">AU19*BA19*BE19*(skill_rel-1+skill_spill)/1000000</f>
        <v>0</v>
      </c>
      <c r="BH19" s="56" t="n">
        <f aca="false">union_disp*(Champions!AP19+Champions!AZ19)*(1-IF(union_resp=2,mkt_cut*S19,0))</f>
        <v>0</v>
      </c>
      <c r="BI19" s="56" t="n">
        <f aca="false">AY19*BA19*BE19/1000000</f>
        <v>0</v>
      </c>
      <c r="BJ19" s="50" t="n">
        <f aca="false">V19*Economy!Q19*AZ19</f>
        <v>3224.32103</v>
      </c>
      <c r="BK19" s="50" t="n">
        <f aca="false">MAX(0.3*BJ19,AX19*Economy!Q19*AZ19*BE19*BF19-BG19-BH19-BI19)</f>
        <v>3219.32452619114</v>
      </c>
      <c r="BL19" s="66" t="n">
        <f aca="false">1-BK19/BJ19</f>
        <v>0.0015496297553409</v>
      </c>
      <c r="BM19" s="50" t="n">
        <f aca="false">MAX(0,BH19-BH18)*1000000/BA19</f>
        <v>0</v>
      </c>
      <c r="BN19" s="50" t="n">
        <f aca="false">BN18*(1-IF(AND($A19&gt;=1930,$A19&lt;=1932),0,union_reabsorb))+BM19</f>
        <v>0</v>
      </c>
      <c r="BO19" s="62" t="n">
        <v>0.04</v>
      </c>
      <c r="BP19" s="66" t="n">
        <f aca="false">BO19+BN19/(AX19*1000000*lf_rate)</f>
        <v>0.04</v>
      </c>
    </row>
    <row r="20" customFormat="false" ht="14.25" hidden="false" customHeight="false" outlineLevel="0" collapsed="false">
      <c r="A20" s="61" t="n">
        <v>1860</v>
      </c>
      <c r="B20" s="50" t="n">
        <f aca="false">Economy!B20*lf_rate</f>
        <v>282174.266137234</v>
      </c>
      <c r="C20" s="50" t="n">
        <f aca="false">Economy!O20*1000000/(B20+L20)</f>
        <v>620.203145102412</v>
      </c>
      <c r="D20" s="50" t="n">
        <f aca="false">Champions!AP20*1000000/(C20*champ_prem)</f>
        <v>895.763847608058</v>
      </c>
      <c r="E20" s="50" t="n">
        <f aca="false">D20*job_mult</f>
        <v>627.034693325641</v>
      </c>
      <c r="F20" s="50" t="n">
        <f aca="false">D20+E20</f>
        <v>1522.7985409337</v>
      </c>
      <c r="G20" s="66" t="n">
        <f aca="false">F20/B20</f>
        <v>0.00539665987894549</v>
      </c>
      <c r="H20" s="50" t="n">
        <f aca="false">F20-F19</f>
        <v>1522.7985409337</v>
      </c>
      <c r="I20" s="66" t="n">
        <f aca="false">MAX(0.005,pac_u_base*IF(Paths!AC20=1,pac_u_war,1)+(okun*(1-Economy!G20)*(B20+L20)-MAX(0,L19-L20))/B20)</f>
        <v>0.015</v>
      </c>
      <c r="J20" s="50" t="n">
        <f aca="false">IF(AND(gw_on=1,$A20&gt;=gw_start),MIN(gw_cap*B19,gw_cover*F19+gw_gen*B19),0)</f>
        <v>0</v>
      </c>
      <c r="K20" s="50" t="n">
        <f aca="false">L19*gw_conv</f>
        <v>0</v>
      </c>
      <c r="L20" s="50" t="n">
        <f aca="false">MAX(0,L19-K20+gw_adj*(J20-L19))*MAX(0,1-gw_slump*(1-Economy!G20))</f>
        <v>0</v>
      </c>
      <c r="M20" s="50"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1.90627451156488</v>
      </c>
      <c r="U20" s="70" t="n">
        <f aca="false">MAX(0,T20-gap_base)</f>
        <v>0.406274511564882</v>
      </c>
      <c r="V20" s="71" t="n">
        <v>21.53</v>
      </c>
      <c r="W20" s="50" t="n">
        <f aca="false">V20*1000000*lf_rate*union_skill_share</f>
        <v>1085112</v>
      </c>
      <c r="X20" s="48" t="n">
        <v>0</v>
      </c>
      <c r="Y20" s="50" t="n">
        <f aca="false">IF(AND(mig_endo=1,$A20&gt;=talent_start),talent_rate_u*W20*U20*(1-(1-bd_keep)*S20),0)</f>
        <v>0</v>
      </c>
      <c r="Z20" s="50" t="n">
        <f aca="false">IF(AND(mig_endo=1,$A20&gt;=talent_start),X20*MIN(0.5,talent_share_o*U20)*(1-eu_comp*S20),0)</f>
        <v>0</v>
      </c>
      <c r="AA20" s="48" t="n">
        <v>0</v>
      </c>
      <c r="AB20" s="50" t="n">
        <f aca="false">IF(AND(mig_endo=1,$A20&gt;=talent_start),AA20*MIN(0.5,talent_share_a*U20),0)</f>
        <v>0</v>
      </c>
      <c r="AC20" s="50" t="n">
        <f aca="false">entry_cap*People!B20</f>
        <v>1960.10986813408</v>
      </c>
      <c r="AD20" s="50" t="n">
        <f aca="false">MIN(AC20,Y20+Z20+AB20)</f>
        <v>0</v>
      </c>
      <c r="AE20" s="50" t="n">
        <f aca="false">IF(Y20+Z20+AB20&gt;0,AD20*Y20/(Y20+Z20+AB20),0)</f>
        <v>0</v>
      </c>
      <c r="AF20" s="50" t="n">
        <f aca="false">IF(Y20+Z20+AB20&gt;0,AD20*AB20/(Y20+Z20+AB20),0)</f>
        <v>0</v>
      </c>
      <c r="AG20" s="50" t="n">
        <f aca="false">AD20*family_mult</f>
        <v>0</v>
      </c>
      <c r="AH20" s="50" t="n">
        <f aca="false">AH19*(1+Paths!C20)+AG20</f>
        <v>0</v>
      </c>
      <c r="AI20" s="50" t="n">
        <f aca="false">IF(AND(mig_endo=1,$A20&gt;=talent_start),chain_rate*AH19,0)</f>
        <v>0</v>
      </c>
      <c r="AJ20" s="50" t="n">
        <f aca="false">IF(AND(mig_endo=1,$A20&gt;=talent_start),IF(H19&gt;0,H19*job_fill,H19*job_return)*job_family,0)</f>
        <v>0</v>
      </c>
      <c r="AK20" s="50" t="n">
        <f aca="false">K20*gw_conv_family</f>
        <v>0</v>
      </c>
      <c r="AL20" s="50" t="n">
        <f aca="false">AG20+AI20+AJ20+AK20+AR20</f>
        <v>0</v>
      </c>
      <c r="AM20" s="50" t="n">
        <f aca="false">AM19*(1-skill_ret)+AD20</f>
        <v>0</v>
      </c>
      <c r="AN20" s="67" t="n">
        <f aca="false">AM20/B20</f>
        <v>0</v>
      </c>
      <c r="AO20" s="67" t="n">
        <f aca="false">(skill_rel-1+skill_spill)*AM19/B19-AT20</f>
        <v>0</v>
      </c>
      <c r="AP20" s="67" t="n">
        <f aca="false">talent_champ*AM19/(skill_base_share*B19)</f>
        <v>0</v>
      </c>
      <c r="AQ20" s="48" t="n">
        <v>150000</v>
      </c>
      <c r="AR20" s="50" t="n">
        <f aca="false">IF(AND(div_on=1,$A20&gt;=div_start),AQ20*MIN(div_max,div_rate*U20)*(1-div_comp*S20),0)</f>
        <v>0</v>
      </c>
      <c r="AS20" s="50" t="n">
        <f aca="false">AS19*(1-div_assim)+AR20</f>
        <v>0</v>
      </c>
      <c r="AT20" s="67" t="n">
        <f aca="false">(1-div_rel)*AS19/Economy!B19</f>
        <v>0</v>
      </c>
      <c r="AU20" s="50" t="n">
        <f aca="false">AU19*(1-skill_ret)+AE20</f>
        <v>0</v>
      </c>
      <c r="AV20" s="50" t="n">
        <f aca="false">AV19*(1+union_nat)+AR20</f>
        <v>0</v>
      </c>
      <c r="AW20" s="50" t="n">
        <f aca="false">AW19*(1+union_nat)+AE20*family_mult</f>
        <v>0</v>
      </c>
      <c r="AX20" s="70" t="n">
        <f aca="false">V20-(AV20+AW20)/1000000</f>
        <v>21.53</v>
      </c>
      <c r="AY20" s="50" t="n">
        <f aca="false">L20*gw_union</f>
        <v>0</v>
      </c>
      <c r="AZ20" s="49" t="n">
        <v>1.117</v>
      </c>
      <c r="BA20" s="50" t="n">
        <f aca="false">Economy!Q20*AZ20/lf_rate</f>
        <v>372.333333333333</v>
      </c>
      <c r="BB20" s="67" t="n">
        <f aca="false">bd_growth*AU19/W19</f>
        <v>0</v>
      </c>
      <c r="BC20" s="67" t="n">
        <f aca="false">tg_k*MIN(1,Economy!O19/BK19)</f>
        <v>0.000154735362134862</v>
      </c>
      <c r="BD20" s="67" t="n">
        <f aca="false">emu_g*S20</f>
        <v>0</v>
      </c>
      <c r="BE20" s="68" t="n">
        <f aca="false">BE19*(1-BB20-BC20+BD20)</f>
        <v>0.998295874665046</v>
      </c>
      <c r="BF20" s="49" t="n">
        <v>1</v>
      </c>
      <c r="BG20" s="56" t="n">
        <f aca="false">AU20*BA20*BE20*(skill_rel-1+skill_spill)/1000000</f>
        <v>0</v>
      </c>
      <c r="BH20" s="56" t="n">
        <f aca="false">union_disp*(Champions!AP20+Champions!AZ20)*(1-IF(union_resp=2,mkt_cut*S20,0))</f>
        <v>0.3</v>
      </c>
      <c r="BI20" s="56" t="n">
        <f aca="false">AY20*BA20*BE20/1000000</f>
        <v>0</v>
      </c>
      <c r="BJ20" s="50" t="n">
        <f aca="false">V20*Economy!Q20*AZ20</f>
        <v>3366.8614</v>
      </c>
      <c r="BK20" s="50" t="n">
        <f aca="false">MAX(0.3*BJ20,AX20*Economy!Q20*AZ20*BE20*BF20-BG20-BH20-BI20)</f>
        <v>3360.82384618898</v>
      </c>
      <c r="BL20" s="66" t="n">
        <f aca="false">1-BK20/BJ20</f>
        <v>0.00179322909194313</v>
      </c>
      <c r="BM20" s="50" t="n">
        <f aca="false">MAX(0,BH20-BH19)*1000000/BA20</f>
        <v>805.729632945389</v>
      </c>
      <c r="BN20" s="50" t="n">
        <f aca="false">BN19*(1-IF(AND($A20&gt;=1930,$A20&lt;=1932),0,union_reabsorb))+BM20</f>
        <v>805.729632945389</v>
      </c>
      <c r="BO20" s="62" t="n">
        <v>0.04</v>
      </c>
      <c r="BP20" s="66" t="n">
        <f aca="false">BO20+BN20/(AX20*1000000*lf_rate)</f>
        <v>0.0400891037569886</v>
      </c>
    </row>
    <row r="21" customFormat="false" ht="14.25" hidden="false" customHeight="false" outlineLevel="0" collapsed="false">
      <c r="A21" s="64" t="n">
        <v>1861</v>
      </c>
      <c r="B21" s="50" t="n">
        <f aca="false">Economy!B21*lf_rate</f>
        <v>298617.383064744</v>
      </c>
      <c r="C21" s="50" t="n">
        <f aca="false">Economy!O21*1000000/(B21+L21)</f>
        <v>604.341652923364</v>
      </c>
      <c r="D21" s="50" t="n">
        <f aca="false">Champions!AP21*1000000/(C21*champ_prem)</f>
        <v>919.273978333585</v>
      </c>
      <c r="E21" s="50" t="n">
        <f aca="false">D21*job_mult</f>
        <v>643.491784833509</v>
      </c>
      <c r="F21" s="50" t="n">
        <f aca="false">D21+E21</f>
        <v>1562.76576316709</v>
      </c>
      <c r="G21" s="66" t="n">
        <f aca="false">F21/B21</f>
        <v>0.00523333821738123</v>
      </c>
      <c r="H21" s="50" t="n">
        <f aca="false">F21-F20</f>
        <v>39.9672222333948</v>
      </c>
      <c r="I21" s="66" t="n">
        <f aca="false">MAX(0.005,pac_u_base*IF(Paths!AC21=1,pac_u_war,1)+(okun*(1-Economy!G21)*(B21+L21)-MAX(0,L20-L21))/B21)</f>
        <v>0.019</v>
      </c>
      <c r="J21" s="50" t="n">
        <f aca="false">IF(AND(gw_on=1,$A21&gt;=gw_start),MIN(gw_cap*B20,gw_cover*F20+gw_gen*B20),0)</f>
        <v>0</v>
      </c>
      <c r="K21" s="50" t="n">
        <f aca="false">L20*gw_conv</f>
        <v>0</v>
      </c>
      <c r="L21" s="50" t="n">
        <f aca="false">MAX(0,L20-K21+gw_adj*(J21-L20))*MAX(0,1-gw_slump*(1-Economy!G21))</f>
        <v>0</v>
      </c>
      <c r="M21" s="50"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1.86060943530724</v>
      </c>
      <c r="U21" s="70" t="n">
        <f aca="false">MAX(0,T21-gap_base)</f>
        <v>0.360609435307236</v>
      </c>
      <c r="V21" s="71" t="n">
        <v>22</v>
      </c>
      <c r="W21" s="50" t="n">
        <f aca="false">V21*1000000*lf_rate*union_skill_share</f>
        <v>1108800</v>
      </c>
      <c r="X21" s="48" t="n">
        <v>0</v>
      </c>
      <c r="Y21" s="50" t="n">
        <f aca="false">IF(AND(mig_endo=1,$A21&gt;=talent_start),talent_rate_u*W21*U21*(1-(1-bd_keep)*S21),0)</f>
        <v>0</v>
      </c>
      <c r="Z21" s="50" t="n">
        <f aca="false">IF(AND(mig_endo=1,$A21&gt;=talent_start),X21*MIN(0.5,talent_share_o*U21)*(1-eu_comp*S21),0)</f>
        <v>0</v>
      </c>
      <c r="AA21" s="48" t="n">
        <v>0</v>
      </c>
      <c r="AB21" s="50" t="n">
        <f aca="false">IF(AND(mig_endo=1,$A21&gt;=talent_start),AA21*MIN(0.5,talent_share_a*U21),0)</f>
        <v>0</v>
      </c>
      <c r="AC21" s="50" t="n">
        <f aca="false">entry_cap*People!B21</f>
        <v>2070.95107668355</v>
      </c>
      <c r="AD21" s="50" t="n">
        <f aca="false">MIN(AC21,Y21+Z21+AB21)</f>
        <v>0</v>
      </c>
      <c r="AE21" s="50" t="n">
        <f aca="false">IF(Y21+Z21+AB21&gt;0,AD21*Y21/(Y21+Z21+AB21),0)</f>
        <v>0</v>
      </c>
      <c r="AF21" s="50" t="n">
        <f aca="false">IF(Y21+Z21+AB21&gt;0,AD21*AB21/(Y21+Z21+AB21),0)</f>
        <v>0</v>
      </c>
      <c r="AG21" s="50" t="n">
        <f aca="false">AD21*family_mult</f>
        <v>0</v>
      </c>
      <c r="AH21" s="50" t="n">
        <f aca="false">AH20*(1+Paths!C21)+AG21</f>
        <v>0</v>
      </c>
      <c r="AI21" s="50" t="n">
        <f aca="false">IF(AND(mig_endo=1,$A21&gt;=talent_start),chain_rate*AH20,0)</f>
        <v>0</v>
      </c>
      <c r="AJ21" s="50" t="n">
        <f aca="false">IF(AND(mig_endo=1,$A21&gt;=talent_start),IF(H20&gt;0,H20*job_fill,H20*job_return)*job_family,0)</f>
        <v>0</v>
      </c>
      <c r="AK21" s="50" t="n">
        <f aca="false">K21*gw_conv_family</f>
        <v>0</v>
      </c>
      <c r="AL21" s="50" t="n">
        <f aca="false">AG21+AI21+AJ21+AK21+AR21</f>
        <v>0</v>
      </c>
      <c r="AM21" s="50" t="n">
        <f aca="false">AM20*(1-skill_ret)+AD21</f>
        <v>0</v>
      </c>
      <c r="AN21" s="67" t="n">
        <f aca="false">AM21/B21</f>
        <v>0</v>
      </c>
      <c r="AO21" s="67" t="n">
        <f aca="false">(skill_rel-1+skill_spill)*AM20/B20-AT21</f>
        <v>0</v>
      </c>
      <c r="AP21" s="67" t="n">
        <f aca="false">talent_champ*AM20/(skill_base_share*B20)</f>
        <v>0</v>
      </c>
      <c r="AQ21" s="48" t="n">
        <v>178000</v>
      </c>
      <c r="AR21" s="50" t="n">
        <f aca="false">IF(AND(div_on=1,$A21&gt;=div_start),AQ21*MIN(div_max,div_rate*U21)*(1-div_comp*S21),0)</f>
        <v>0</v>
      </c>
      <c r="AS21" s="50" t="n">
        <f aca="false">AS20*(1-div_assim)+AR21</f>
        <v>0</v>
      </c>
      <c r="AT21" s="67" t="n">
        <f aca="false">(1-div_rel)*AS20/Economy!B20</f>
        <v>0</v>
      </c>
      <c r="AU21" s="50" t="n">
        <f aca="false">AU20*(1-skill_ret)+AE21</f>
        <v>0</v>
      </c>
      <c r="AV21" s="50" t="n">
        <f aca="false">AV20*(1+union_nat)+AR21</f>
        <v>0</v>
      </c>
      <c r="AW21" s="50" t="n">
        <f aca="false">AW20*(1+union_nat)+AE21*family_mult</f>
        <v>0</v>
      </c>
      <c r="AX21" s="70" t="n">
        <f aca="false">V21-(AV21+AW21)/1000000</f>
        <v>22</v>
      </c>
      <c r="AY21" s="50" t="n">
        <f aca="false">L21*gw_union</f>
        <v>0</v>
      </c>
      <c r="AZ21" s="49" t="n">
        <v>1.117</v>
      </c>
      <c r="BA21" s="50" t="n">
        <f aca="false">Economy!Q21*AZ21/lf_rate</f>
        <v>377.652380952381</v>
      </c>
      <c r="BB21" s="67" t="n">
        <f aca="false">bd_growth*AU20/W20</f>
        <v>0</v>
      </c>
      <c r="BC21" s="67" t="n">
        <f aca="false">tg_k*MIN(1,Economy!O20/BK20)</f>
        <v>0.000156216489171599</v>
      </c>
      <c r="BD21" s="67" t="n">
        <f aca="false">emu_g*S21</f>
        <v>0</v>
      </c>
      <c r="BE21" s="68" t="n">
        <f aca="false">BE20*(1-BB21-BC21+BD21)</f>
        <v>0.998139924388351</v>
      </c>
      <c r="BF21" s="49" t="n">
        <v>1</v>
      </c>
      <c r="BG21" s="56" t="n">
        <f aca="false">AU21*BA21*BE21*(skill_rel-1+skill_spill)/1000000</f>
        <v>0</v>
      </c>
      <c r="BH21" s="56" t="n">
        <f aca="false">union_disp*(Champions!AP21+Champions!AZ21)*(1-IF(union_resp=2,mkt_cut*S21,0))</f>
        <v>0.3</v>
      </c>
      <c r="BI21" s="56" t="n">
        <f aca="false">AY21*BA21*BE21/1000000</f>
        <v>0</v>
      </c>
      <c r="BJ21" s="50" t="n">
        <f aca="false">V21*Economy!Q21*AZ21</f>
        <v>3489.508</v>
      </c>
      <c r="BK21" s="50" t="n">
        <f aca="false">MAX(0.3*BJ21,AX21*Economy!Q21*AZ21*BE21*BF21-BG21-BH21-BI21)</f>
        <v>3482.71725127255</v>
      </c>
      <c r="BL21" s="66" t="n">
        <f aca="false">1-BK21/BJ21</f>
        <v>0.00194604761687156</v>
      </c>
      <c r="BM21" s="50" t="n">
        <f aca="false">MAX(0,BH21-BH20)*1000000/BA21</f>
        <v>0</v>
      </c>
      <c r="BN21" s="50" t="n">
        <f aca="false">BN20*(1-IF(AND($A21&gt;=1930,$A21&lt;=1932),0,union_reabsorb))+BM21</f>
        <v>604.297224709042</v>
      </c>
      <c r="BO21" s="62" t="n">
        <v>0.04</v>
      </c>
      <c r="BP21" s="66" t="n">
        <f aca="false">BO21+BN21/(AX21*1000000*lf_rate)</f>
        <v>0.0400654001325443</v>
      </c>
    </row>
    <row r="22" customFormat="false" ht="14.25" hidden="false" customHeight="false" outlineLevel="0" collapsed="false">
      <c r="A22" s="64" t="n">
        <v>1862</v>
      </c>
      <c r="B22" s="50" t="n">
        <f aca="false">Economy!B22*lf_rate</f>
        <v>353712.326701547</v>
      </c>
      <c r="C22" s="50" t="n">
        <f aca="false">Economy!O22*1000000/(B22+L22)</f>
        <v>587.924741819462</v>
      </c>
      <c r="D22" s="50" t="n">
        <f aca="false">Champions!AP22*1000000/(C22*champ_prem)</f>
        <v>944.943316786205</v>
      </c>
      <c r="E22" s="50" t="n">
        <f aca="false">D22*job_mult</f>
        <v>661.460321750344</v>
      </c>
      <c r="F22" s="50" t="n">
        <f aca="false">D22+E22</f>
        <v>1606.40363853655</v>
      </c>
      <c r="G22" s="66" t="n">
        <f aca="false">F22/B22</f>
        <v>0.00454155401796893</v>
      </c>
      <c r="H22" s="50" t="n">
        <f aca="false">F22-F21</f>
        <v>43.6378753694553</v>
      </c>
      <c r="I22" s="66" t="n">
        <f aca="false">MAX(0.005,pac_u_base*IF(Paths!AC22=1,pac_u_war,1)+(okun*(1-Economy!G22)*(B22+L22)-MAX(0,L21-L22))/B22)</f>
        <v>0.024</v>
      </c>
      <c r="J22" s="50" t="n">
        <f aca="false">IF(AND(gw_on=1,$A22&gt;=gw_start),MIN(gw_cap*B21,gw_cover*F21+gw_gen*B21),0)</f>
        <v>0</v>
      </c>
      <c r="K22" s="50" t="n">
        <f aca="false">L21*gw_conv</f>
        <v>0</v>
      </c>
      <c r="L22" s="50" t="n">
        <f aca="false">MAX(0,L21-K22+gw_adj*(J22-L21))*MAX(0,1-gw_slump*(1-Economy!G22))</f>
        <v>0</v>
      </c>
      <c r="M22" s="50"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1.78748939597051</v>
      </c>
      <c r="U22" s="70" t="n">
        <f aca="false">MAX(0,T22-gap_base)</f>
        <v>0.287489395970514</v>
      </c>
      <c r="V22" s="71" t="n">
        <v>22.75</v>
      </c>
      <c r="W22" s="50" t="n">
        <f aca="false">V22*1000000*lf_rate*union_skill_share</f>
        <v>1146600</v>
      </c>
      <c r="X22" s="48" t="n">
        <v>0</v>
      </c>
      <c r="Y22" s="50" t="n">
        <f aca="false">IF(AND(mig_endo=1,$A22&gt;=talent_start),talent_rate_u*W22*U22*(1-(1-bd_keep)*S22),0)</f>
        <v>0</v>
      </c>
      <c r="Z22" s="50" t="n">
        <f aca="false">IF(AND(mig_endo=1,$A22&gt;=talent_start),X22*MIN(0.5,talent_share_o*U22)*(1-eu_comp*S22),0)</f>
        <v>0</v>
      </c>
      <c r="AA22" s="48" t="n">
        <v>0</v>
      </c>
      <c r="AB22" s="50" t="n">
        <f aca="false">IF(AND(mig_endo=1,$A22&gt;=talent_start),AA22*MIN(0.5,talent_share_a*U22),0)</f>
        <v>0</v>
      </c>
      <c r="AC22" s="50" t="n">
        <f aca="false">entry_cap*People!B22</f>
        <v>2195.01153852707</v>
      </c>
      <c r="AD22" s="50" t="n">
        <f aca="false">MIN(AC22,Y22+Z22+AB22)</f>
        <v>0</v>
      </c>
      <c r="AE22" s="50" t="n">
        <f aca="false">IF(Y22+Z22+AB22&gt;0,AD22*Y22/(Y22+Z22+AB22),0)</f>
        <v>0</v>
      </c>
      <c r="AF22" s="50" t="n">
        <f aca="false">IF(Y22+Z22+AB22&gt;0,AD22*AB22/(Y22+Z22+AB22),0)</f>
        <v>0</v>
      </c>
      <c r="AG22" s="50" t="n">
        <f aca="false">AD22*family_mult</f>
        <v>0</v>
      </c>
      <c r="AH22" s="50" t="n">
        <f aca="false">AH21*(1+Paths!C22)+AG22</f>
        <v>0</v>
      </c>
      <c r="AI22" s="50" t="n">
        <f aca="false">IF(AND(mig_endo=1,$A22&gt;=talent_start),chain_rate*AH21,0)</f>
        <v>0</v>
      </c>
      <c r="AJ22" s="50" t="n">
        <f aca="false">IF(AND(mig_endo=1,$A22&gt;=talent_start),IF(H21&gt;0,H21*job_fill,H21*job_return)*job_family,0)</f>
        <v>0</v>
      </c>
      <c r="AK22" s="50" t="n">
        <f aca="false">K22*gw_conv_family</f>
        <v>0</v>
      </c>
      <c r="AL22" s="50" t="n">
        <f aca="false">AG22+AI22+AJ22+AK22+AR22</f>
        <v>0</v>
      </c>
      <c r="AM22" s="50" t="n">
        <f aca="false">AM21*(1-skill_ret)+AD22</f>
        <v>0</v>
      </c>
      <c r="AN22" s="67" t="n">
        <f aca="false">AM22/B22</f>
        <v>0</v>
      </c>
      <c r="AO22" s="67" t="n">
        <f aca="false">(skill_rel-1+skill_spill)*AM21/B21-AT22</f>
        <v>0</v>
      </c>
      <c r="AP22" s="67" t="n">
        <f aca="false">talent_champ*AM21/(skill_base_share*B21)</f>
        <v>0</v>
      </c>
      <c r="AQ22" s="48" t="n">
        <v>207000</v>
      </c>
      <c r="AR22" s="50" t="n">
        <f aca="false">IF(AND(div_on=1,$A22&gt;=div_start),AQ22*MIN(div_max,div_rate*U22)*(1-div_comp*S22),0)</f>
        <v>0</v>
      </c>
      <c r="AS22" s="50" t="n">
        <f aca="false">AS21*(1-div_assim)+AR22</f>
        <v>0</v>
      </c>
      <c r="AT22" s="67" t="n">
        <f aca="false">(1-div_rel)*AS21/Economy!B21</f>
        <v>0</v>
      </c>
      <c r="AU22" s="50" t="n">
        <f aca="false">AU21*(1-skill_ret)+AE22</f>
        <v>0</v>
      </c>
      <c r="AV22" s="50" t="n">
        <f aca="false">AV21*(1+union_nat)+AR22</f>
        <v>0</v>
      </c>
      <c r="AW22" s="50" t="n">
        <f aca="false">AW21*(1+union_nat)+AE22*family_mult</f>
        <v>0</v>
      </c>
      <c r="AX22" s="70" t="n">
        <f aca="false">V22-(AV22+AW22)/1000000</f>
        <v>22.75</v>
      </c>
      <c r="AY22" s="50" t="n">
        <f aca="false">L22*gw_union</f>
        <v>0</v>
      </c>
      <c r="AZ22" s="49" t="n">
        <v>1.117</v>
      </c>
      <c r="BA22" s="50" t="n">
        <f aca="false">Economy!Q22*AZ22/lf_rate</f>
        <v>382.971428571429</v>
      </c>
      <c r="BB22" s="67" t="n">
        <f aca="false">bd_growth*AU21/W21</f>
        <v>0</v>
      </c>
      <c r="BC22" s="67" t="n">
        <f aca="false">tg_k*MIN(1,Economy!O21/BK21)</f>
        <v>0.000155453552372409</v>
      </c>
      <c r="BD22" s="67" t="n">
        <f aca="false">emu_g*S22</f>
        <v>0</v>
      </c>
      <c r="BE22" s="68" t="n">
        <f aca="false">BE21*(1-BB22-BC22+BD22)</f>
        <v>0.99798475999134</v>
      </c>
      <c r="BF22" s="49" t="n">
        <v>1</v>
      </c>
      <c r="BG22" s="56" t="n">
        <f aca="false">AU22*BA22*BE22*(skill_rel-1+skill_spill)/1000000</f>
        <v>0</v>
      </c>
      <c r="BH22" s="56" t="n">
        <f aca="false">union_disp*(Champions!AP22+Champions!AZ22)*(1-IF(union_resp=2,mkt_cut*S22,0))</f>
        <v>0.3</v>
      </c>
      <c r="BI22" s="56" t="n">
        <f aca="false">AY22*BA22*BE22/1000000</f>
        <v>0</v>
      </c>
      <c r="BJ22" s="50" t="n">
        <f aca="false">V22*Economy!Q22*AZ22</f>
        <v>3659.292</v>
      </c>
      <c r="BK22" s="50" t="n">
        <f aca="false">MAX(0.3*BJ22,AX22*Economy!Q22*AZ22*BE22*BF22-BG22-BH22-BI22)</f>
        <v>3651.61764835823</v>
      </c>
      <c r="BL22" s="66" t="n">
        <f aca="false">1-BK22/BJ22</f>
        <v>0.0020972230807953</v>
      </c>
      <c r="BM22" s="50" t="n">
        <f aca="false">MAX(0,BH22-BH21)*1000000/BA22</f>
        <v>0</v>
      </c>
      <c r="BN22" s="50" t="n">
        <f aca="false">BN21*(1-IF(AND($A22&gt;=1930,$A22&lt;=1932),0,union_reabsorb))+BM22</f>
        <v>453.222918531782</v>
      </c>
      <c r="BO22" s="62" t="n">
        <v>0.04</v>
      </c>
      <c r="BP22" s="66" t="n">
        <f aca="false">BO22+BN22/(AX22*1000000*lf_rate)</f>
        <v>0.040047433063164</v>
      </c>
    </row>
    <row r="23" customFormat="false" ht="14.25" hidden="false" customHeight="false" outlineLevel="0" collapsed="false">
      <c r="A23" s="64" t="n">
        <v>1863</v>
      </c>
      <c r="B23" s="50" t="n">
        <f aca="false">Economy!B23*lf_rate</f>
        <v>427863.499275368</v>
      </c>
      <c r="C23" s="50" t="n">
        <f aca="false">Economy!O23*1000000/(B23+L23)</f>
        <v>605.697210091242</v>
      </c>
      <c r="D23" s="50" t="n">
        <f aca="false">Champions!AP23*1000000/(C23*champ_prem)</f>
        <v>1834.67586364516</v>
      </c>
      <c r="E23" s="50" t="n">
        <f aca="false">D23*job_mult</f>
        <v>1284.27310455161</v>
      </c>
      <c r="F23" s="50" t="n">
        <f aca="false">D23+E23</f>
        <v>3118.94896819677</v>
      </c>
      <c r="G23" s="66" t="n">
        <f aca="false">F23/B23</f>
        <v>0.00728958879053492</v>
      </c>
      <c r="H23" s="50" t="n">
        <f aca="false">F23-F22</f>
        <v>1512.54532966022</v>
      </c>
      <c r="I23" s="66" t="n">
        <f aca="false">MAX(0.005,pac_u_base*IF(Paths!AC23=1,pac_u_war,1)+(okun*(1-Economy!G23)*(B23+L23)-MAX(0,L22-L23))/B23)</f>
        <v>0.019</v>
      </c>
      <c r="J23" s="50" t="n">
        <f aca="false">IF(AND(gw_on=1,$A23&gt;=gw_start),MIN(gw_cap*B22,gw_cover*F22+gw_gen*B22),0)</f>
        <v>0</v>
      </c>
      <c r="K23" s="50" t="n">
        <f aca="false">L22*gw_conv</f>
        <v>0</v>
      </c>
      <c r="L23" s="50" t="n">
        <f aca="false">MAX(0,L22-K23+gw_adj*(J23-L22))*MAX(0,1-gw_slump*(1-Economy!G23))</f>
        <v>0</v>
      </c>
      <c r="M23" s="50"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1.71478049697343</v>
      </c>
      <c r="U23" s="70" t="n">
        <f aca="false">MAX(0,T23-gap_base)</f>
        <v>0.21478049697343</v>
      </c>
      <c r="V23" s="71" t="n">
        <v>23.5</v>
      </c>
      <c r="W23" s="50" t="n">
        <f aca="false">V23*1000000*lf_rate*union_skill_share</f>
        <v>1184400</v>
      </c>
      <c r="X23" s="48" t="n">
        <v>0</v>
      </c>
      <c r="Y23" s="50" t="n">
        <f aca="false">IF(AND(mig_endo=1,$A23&gt;=talent_start),talent_rate_u*W23*U23*(1-(1-bd_keep)*S23),0)</f>
        <v>0</v>
      </c>
      <c r="Z23" s="50" t="n">
        <f aca="false">IF(AND(mig_endo=1,$A23&gt;=talent_start),X23*MIN(0.5,talent_share_o*U23)*(1-eu_comp*S23),0)</f>
        <v>0</v>
      </c>
      <c r="AA23" s="48" t="n">
        <v>0</v>
      </c>
      <c r="AB23" s="50" t="n">
        <f aca="false">IF(AND(mig_endo=1,$A23&gt;=talent_start),AA23*MIN(0.5,talent_share_a*U23),0)</f>
        <v>0</v>
      </c>
      <c r="AC23" s="50" t="n">
        <f aca="false">entry_cap*People!B23</f>
        <v>2858.02170006645</v>
      </c>
      <c r="AD23" s="50" t="n">
        <f aca="false">MIN(AC23,Y23+Z23+AB23)</f>
        <v>0</v>
      </c>
      <c r="AE23" s="50" t="n">
        <f aca="false">IF(Y23+Z23+AB23&gt;0,AD23*Y23/(Y23+Z23+AB23),0)</f>
        <v>0</v>
      </c>
      <c r="AF23" s="50" t="n">
        <f aca="false">IF(Y23+Z23+AB23&gt;0,AD23*AB23/(Y23+Z23+AB23),0)</f>
        <v>0</v>
      </c>
      <c r="AG23" s="50" t="n">
        <f aca="false">AD23*family_mult</f>
        <v>0</v>
      </c>
      <c r="AH23" s="50" t="n">
        <f aca="false">AH22*(1+Paths!C23)+AG23</f>
        <v>0</v>
      </c>
      <c r="AI23" s="50" t="n">
        <f aca="false">IF(AND(mig_endo=1,$A23&gt;=talent_start),chain_rate*AH22,0)</f>
        <v>0</v>
      </c>
      <c r="AJ23" s="50" t="n">
        <f aca="false">IF(AND(mig_endo=1,$A23&gt;=talent_start),IF(H22&gt;0,H22*job_fill,H22*job_return)*job_family,0)</f>
        <v>0</v>
      </c>
      <c r="AK23" s="50" t="n">
        <f aca="false">K23*gw_conv_family</f>
        <v>0</v>
      </c>
      <c r="AL23" s="50" t="n">
        <f aca="false">AG23+AI23+AJ23+AK23+AR23</f>
        <v>0</v>
      </c>
      <c r="AM23" s="50" t="n">
        <f aca="false">AM22*(1-skill_ret)+AD23</f>
        <v>0</v>
      </c>
      <c r="AN23" s="67" t="n">
        <f aca="false">AM23/B23</f>
        <v>0</v>
      </c>
      <c r="AO23" s="67" t="n">
        <f aca="false">(skill_rel-1+skill_spill)*AM22/B22-AT23</f>
        <v>0</v>
      </c>
      <c r="AP23" s="67" t="n">
        <f aca="false">talent_champ*AM22/(skill_base_share*B22)</f>
        <v>0</v>
      </c>
      <c r="AQ23" s="48" t="n">
        <v>235000</v>
      </c>
      <c r="AR23" s="50" t="n">
        <f aca="false">IF(AND(div_on=1,$A23&gt;=div_start),AQ23*MIN(div_max,div_rate*U23)*(1-div_comp*S23),0)</f>
        <v>0</v>
      </c>
      <c r="AS23" s="50" t="n">
        <f aca="false">AS22*(1-div_assim)+AR23</f>
        <v>0</v>
      </c>
      <c r="AT23" s="67" t="n">
        <f aca="false">(1-div_rel)*AS22/Economy!B22</f>
        <v>0</v>
      </c>
      <c r="AU23" s="50" t="n">
        <f aca="false">AU22*(1-skill_ret)+AE23</f>
        <v>0</v>
      </c>
      <c r="AV23" s="50" t="n">
        <f aca="false">AV22*(1+union_nat)+AR23</f>
        <v>0</v>
      </c>
      <c r="AW23" s="50" t="n">
        <f aca="false">AW22*(1+union_nat)+AE23*family_mult</f>
        <v>0</v>
      </c>
      <c r="AX23" s="70" t="n">
        <f aca="false">V23-(AV23+AW23)/1000000</f>
        <v>23.5</v>
      </c>
      <c r="AY23" s="50" t="n">
        <f aca="false">L23*gw_union</f>
        <v>0</v>
      </c>
      <c r="AZ23" s="49" t="n">
        <v>1.116</v>
      </c>
      <c r="BA23" s="50" t="n">
        <f aca="false">Economy!Q23*AZ23/lf_rate</f>
        <v>387.942857142857</v>
      </c>
      <c r="BB23" s="67" t="n">
        <f aca="false">bd_growth*AU22/W22</f>
        <v>0</v>
      </c>
      <c r="BC23" s="67" t="n">
        <f aca="false">tg_k*MIN(1,Economy!O22/BK22)</f>
        <v>0.000170847209412408</v>
      </c>
      <c r="BD23" s="67" t="n">
        <f aca="false">emu_g*S23</f>
        <v>0</v>
      </c>
      <c r="BE23" s="68" t="n">
        <f aca="false">BE22*(1-BB23-BC23+BD23)</f>
        <v>0.997814257080059</v>
      </c>
      <c r="BF23" s="49" t="n">
        <v>1</v>
      </c>
      <c r="BG23" s="56" t="n">
        <f aca="false">AU23*BA23*BE23*(skill_rel-1+skill_spill)/1000000</f>
        <v>0</v>
      </c>
      <c r="BH23" s="56" t="n">
        <f aca="false">union_disp*(Champions!AP23+Champions!AZ23)*(1-IF(union_resp=2,mkt_cut*S23,0))</f>
        <v>0.600079348097071</v>
      </c>
      <c r="BI23" s="56" t="n">
        <f aca="false">AY23*BA23*BE23/1000000</f>
        <v>0</v>
      </c>
      <c r="BJ23" s="50" t="n">
        <f aca="false">V23*Economy!Q23*AZ23</f>
        <v>3828.996</v>
      </c>
      <c r="BK23" s="50" t="n">
        <f aca="false">MAX(0.3*BJ23,AX23*Economy!Q23*AZ23*BE23*BF23-BG23-BH23-BI23)</f>
        <v>3820.02671975442</v>
      </c>
      <c r="BL23" s="66" t="n">
        <f aca="false">1-BK23/BJ23</f>
        <v>0.00234246268358018</v>
      </c>
      <c r="BM23" s="50" t="n">
        <f aca="false">MAX(0,BH23-BH22)*1000000/BA23</f>
        <v>773.514301325489</v>
      </c>
      <c r="BN23" s="50" t="n">
        <f aca="false">BN22*(1-IF(AND($A23&gt;=1930,$A23&lt;=1932),0,union_reabsorb))+BM23</f>
        <v>1113.43149022432</v>
      </c>
      <c r="BO23" s="62" t="n">
        <v>0.04</v>
      </c>
      <c r="BP23" s="66" t="n">
        <f aca="false">BO23+BN23/(AX23*1000000*lf_rate)</f>
        <v>0.0401128096747948</v>
      </c>
    </row>
    <row r="24" customFormat="false" ht="14.25" hidden="false" customHeight="false" outlineLevel="0" collapsed="false">
      <c r="A24" s="64" t="n">
        <v>1864</v>
      </c>
      <c r="B24" s="50" t="n">
        <f aca="false">Economy!B24*lf_rate</f>
        <v>471132.788265223</v>
      </c>
      <c r="C24" s="50" t="n">
        <f aca="false">Economy!O24*1000000/(B24+L24)</f>
        <v>667.51072797606</v>
      </c>
      <c r="D24" s="50" t="n">
        <f aca="false">Champions!AP24*1000000/(C24*champ_prem)</f>
        <v>1665.01786197244</v>
      </c>
      <c r="E24" s="50" t="n">
        <f aca="false">D24*job_mult</f>
        <v>1165.51250338071</v>
      </c>
      <c r="F24" s="50" t="n">
        <f aca="false">D24+E24</f>
        <v>2830.53036535316</v>
      </c>
      <c r="G24" s="66" t="n">
        <f aca="false">F24/B24</f>
        <v>0.00600792480560643</v>
      </c>
      <c r="H24" s="50" t="n">
        <f aca="false">F24-F23</f>
        <v>-288.418602843616</v>
      </c>
      <c r="I24" s="66" t="n">
        <f aca="false">MAX(0.005,pac_u_base*IF(Paths!AC24=1,pac_u_war,1)+(okun*(1-Economy!G24)*(B24+L24)-MAX(0,L23-L24))/B24)</f>
        <v>0.009</v>
      </c>
      <c r="J24" s="50" t="n">
        <f aca="false">IF(AND(gw_on=1,$A24&gt;=gw_start),MIN(gw_cap*B23,gw_cover*F23+gw_gen*B23),0)</f>
        <v>0</v>
      </c>
      <c r="K24" s="50" t="n">
        <f aca="false">L23*gw_conv</f>
        <v>0</v>
      </c>
      <c r="L24" s="50" t="n">
        <f aca="false">MAX(0,L23-K24+gw_adj*(J24-L23))*MAX(0,1-gw_slump*(1-Economy!G24))</f>
        <v>0</v>
      </c>
      <c r="M24" s="50"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1.74241663176933</v>
      </c>
      <c r="U24" s="70" t="n">
        <f aca="false">MAX(0,T24-gap_base)</f>
        <v>0.242416631769326</v>
      </c>
      <c r="V24" s="71" t="n">
        <v>24.25</v>
      </c>
      <c r="W24" s="50" t="n">
        <f aca="false">V24*1000000*lf_rate*union_skill_share</f>
        <v>1222200</v>
      </c>
      <c r="X24" s="48" t="n">
        <v>0</v>
      </c>
      <c r="Y24" s="50" t="n">
        <f aca="false">IF(AND(mig_endo=1,$A24&gt;=talent_start),talent_rate_u*W24*U24*(1-(1-bd_keep)*S24),0)</f>
        <v>0</v>
      </c>
      <c r="Z24" s="50" t="n">
        <f aca="false">IF(AND(mig_endo=1,$A24&gt;=talent_start),X24*MIN(0.5,talent_share_o*U24)*(1-eu_comp*S24),0)</f>
        <v>0</v>
      </c>
      <c r="AA24" s="48" t="n">
        <v>0</v>
      </c>
      <c r="AB24" s="50" t="n">
        <f aca="false">IF(AND(mig_endo=1,$A24&gt;=talent_start),AA24*MIN(0.5,talent_share_a*U24),0)</f>
        <v>0</v>
      </c>
      <c r="AC24" s="50" t="n">
        <f aca="false">entry_cap*People!B24</f>
        <v>3254.31400386738</v>
      </c>
      <c r="AD24" s="50" t="n">
        <f aca="false">MIN(AC24,Y24+Z24+AB24)</f>
        <v>0</v>
      </c>
      <c r="AE24" s="50" t="n">
        <f aca="false">IF(Y24+Z24+AB24&gt;0,AD24*Y24/(Y24+Z24+AB24),0)</f>
        <v>0</v>
      </c>
      <c r="AF24" s="50" t="n">
        <f aca="false">IF(Y24+Z24+AB24&gt;0,AD24*AB24/(Y24+Z24+AB24),0)</f>
        <v>0</v>
      </c>
      <c r="AG24" s="50" t="n">
        <f aca="false">AD24*family_mult</f>
        <v>0</v>
      </c>
      <c r="AH24" s="50" t="n">
        <f aca="false">AH23*(1+Paths!C24)+AG24</f>
        <v>0</v>
      </c>
      <c r="AI24" s="50" t="n">
        <f aca="false">IF(AND(mig_endo=1,$A24&gt;=talent_start),chain_rate*AH23,0)</f>
        <v>0</v>
      </c>
      <c r="AJ24" s="50" t="n">
        <f aca="false">IF(AND(mig_endo=1,$A24&gt;=talent_start),IF(H23&gt;0,H23*job_fill,H23*job_return)*job_family,0)</f>
        <v>0</v>
      </c>
      <c r="AK24" s="50" t="n">
        <f aca="false">K24*gw_conv_family</f>
        <v>0</v>
      </c>
      <c r="AL24" s="50" t="n">
        <f aca="false">AG24+AI24+AJ24+AK24+AR24</f>
        <v>0</v>
      </c>
      <c r="AM24" s="50" t="n">
        <f aca="false">AM23*(1-skill_ret)+AD24</f>
        <v>0</v>
      </c>
      <c r="AN24" s="67" t="n">
        <f aca="false">AM24/B24</f>
        <v>0</v>
      </c>
      <c r="AO24" s="67" t="n">
        <f aca="false">(skill_rel-1+skill_spill)*AM23/B23-AT24</f>
        <v>0</v>
      </c>
      <c r="AP24" s="67" t="n">
        <f aca="false">talent_champ*AM23/(skill_base_share*B23)</f>
        <v>0</v>
      </c>
      <c r="AQ24" s="48" t="n">
        <v>263000</v>
      </c>
      <c r="AR24" s="50" t="n">
        <f aca="false">IF(AND(div_on=1,$A24&gt;=div_start),AQ24*MIN(div_max,div_rate*U24)*(1-div_comp*S24),0)</f>
        <v>0</v>
      </c>
      <c r="AS24" s="50" t="n">
        <f aca="false">AS23*(1-div_assim)+AR24</f>
        <v>0</v>
      </c>
      <c r="AT24" s="67" t="n">
        <f aca="false">(1-div_rel)*AS23/Economy!B23</f>
        <v>0</v>
      </c>
      <c r="AU24" s="50" t="n">
        <f aca="false">AU23*(1-skill_ret)+AE24</f>
        <v>0</v>
      </c>
      <c r="AV24" s="50" t="n">
        <f aca="false">AV23*(1+union_nat)+AR24</f>
        <v>0</v>
      </c>
      <c r="AW24" s="50" t="n">
        <f aca="false">AW23*(1+union_nat)+AE24*family_mult</f>
        <v>0</v>
      </c>
      <c r="AX24" s="70" t="n">
        <f aca="false">V24-(AV24+AW24)/1000000</f>
        <v>24.25</v>
      </c>
      <c r="AY24" s="50" t="n">
        <f aca="false">L24*gw_union</f>
        <v>0</v>
      </c>
      <c r="AZ24" s="49" t="n">
        <v>1.116</v>
      </c>
      <c r="BA24" s="50" t="n">
        <f aca="false">Economy!Q24*AZ24/lf_rate</f>
        <v>393.257142857143</v>
      </c>
      <c r="BB24" s="67" t="n">
        <f aca="false">bd_growth*AU23/W23</f>
        <v>0</v>
      </c>
      <c r="BC24" s="67" t="n">
        <f aca="false">tg_k*MIN(1,Economy!O23/BK23)</f>
        <v>0.000203524017099776</v>
      </c>
      <c r="BD24" s="67" t="n">
        <f aca="false">emu_g*S24</f>
        <v>0</v>
      </c>
      <c r="BE24" s="68" t="n">
        <f aca="false">BE23*(1-BB24-BC24+BD24)</f>
        <v>0.997611177914139</v>
      </c>
      <c r="BF24" s="49" t="n">
        <v>1</v>
      </c>
      <c r="BG24" s="56" t="n">
        <f aca="false">AU24*BA24*BE24*(skill_rel-1+skill_spill)/1000000</f>
        <v>0</v>
      </c>
      <c r="BH24" s="56" t="n">
        <f aca="false">union_disp*(Champions!AP24+Champions!AZ24)*(1-IF(union_resp=2,mkt_cut*S24,0))</f>
        <v>0.60016533397472</v>
      </c>
      <c r="BI24" s="56" t="n">
        <f aca="false">AY24*BA24*BE24/1000000</f>
        <v>0</v>
      </c>
      <c r="BJ24" s="50" t="n">
        <f aca="false">V24*Economy!Q24*AZ24</f>
        <v>4005.324</v>
      </c>
      <c r="BK24" s="50" t="n">
        <f aca="false">MAX(0.3*BJ24,AX24*Economy!Q24*AZ24*BE24*BF24-BG24-BH24-BI24)</f>
        <v>3995.1558282338</v>
      </c>
      <c r="BL24" s="66" t="n">
        <f aca="false">1-BK24/BJ24</f>
        <v>0.00253866397979374</v>
      </c>
      <c r="BM24" s="50" t="n">
        <f aca="false">MAX(0,BH24-BH23)*1000000/BA24</f>
        <v>0.218650517124252</v>
      </c>
      <c r="BN24" s="50" t="n">
        <f aca="false">BN23*(1-IF(AND($A24&gt;=1930,$A24&lt;=1932),0,union_reabsorb))+BM24</f>
        <v>835.292268185368</v>
      </c>
      <c r="BO24" s="62" t="n">
        <v>0.04</v>
      </c>
      <c r="BP24" s="66" t="n">
        <f aca="false">BO24+BN24/(AX24*1000000*lf_rate)</f>
        <v>0.040082012004731</v>
      </c>
    </row>
    <row r="25" customFormat="false" ht="14.25" hidden="false" customHeight="false" outlineLevel="0" collapsed="false">
      <c r="A25" s="64" t="n">
        <v>1865</v>
      </c>
      <c r="B25" s="50" t="n">
        <f aca="false">Economy!B25*lf_rate</f>
        <v>499257.847300936</v>
      </c>
      <c r="C25" s="50" t="n">
        <f aca="false">Economy!O25*1000000/(B25+L25)</f>
        <v>687.337819516351</v>
      </c>
      <c r="D25" s="50" t="n">
        <f aca="false">Champions!AP25*1000000/(C25*champ_prem)</f>
        <v>1617.2433589248</v>
      </c>
      <c r="E25" s="50" t="n">
        <f aca="false">D25*job_mult</f>
        <v>1132.07035124736</v>
      </c>
      <c r="F25" s="50" t="n">
        <f aca="false">D25+E25</f>
        <v>2749.31371017216</v>
      </c>
      <c r="G25" s="66" t="n">
        <f aca="false">F25/B25</f>
        <v>0.0055068011950846</v>
      </c>
      <c r="H25" s="50" t="n">
        <f aca="false">F25-F24</f>
        <v>-81.2166551809955</v>
      </c>
      <c r="I25" s="66" t="n">
        <f aca="false">MAX(0.005,pac_u_base*IF(Paths!AC25=1,pac_u_war,1)+(okun*(1-Economy!G25)*(B25+L25)-MAX(0,L24-L25))/B25)</f>
        <v>0.009</v>
      </c>
      <c r="J25" s="50" t="n">
        <f aca="false">IF(AND(gw_on=1,$A25&gt;=gw_start),MIN(gw_cap*B24,gw_cover*F24+gw_gen*B24),0)</f>
        <v>0</v>
      </c>
      <c r="K25" s="50" t="n">
        <f aca="false">L24*gw_conv</f>
        <v>0</v>
      </c>
      <c r="L25" s="50" t="n">
        <f aca="false">MAX(0,L24-K25+gw_adj*(J25-L24))*MAX(0,1-gw_slump*(1-Economy!G25))</f>
        <v>0</v>
      </c>
      <c r="M25" s="50"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1.89428720101314</v>
      </c>
      <c r="U25" s="70" t="n">
        <f aca="false">MAX(0,T25-gap_base)</f>
        <v>0.394287201013143</v>
      </c>
      <c r="V25" s="71" t="n">
        <v>25</v>
      </c>
      <c r="W25" s="50" t="n">
        <f aca="false">V25*1000000*lf_rate*union_skill_share</f>
        <v>1260000</v>
      </c>
      <c r="X25" s="48" t="n">
        <v>0</v>
      </c>
      <c r="Y25" s="50" t="n">
        <f aca="false">IF(AND(mig_endo=1,$A25&gt;=talent_start),talent_rate_u*W25*U25*(1-(1-bd_keep)*S25),0)</f>
        <v>0</v>
      </c>
      <c r="Z25" s="50" t="n">
        <f aca="false">IF(AND(mig_endo=1,$A25&gt;=talent_start),X25*MIN(0.5,talent_share_o*U25)*(1-eu_comp*S25),0)</f>
        <v>0</v>
      </c>
      <c r="AA25" s="48" t="n">
        <v>0</v>
      </c>
      <c r="AB25" s="50" t="n">
        <f aca="false">IF(AND(mig_endo=1,$A25&gt;=talent_start),AA25*MIN(0.5,talent_share_a*U25),0)</f>
        <v>0</v>
      </c>
      <c r="AC25" s="50" t="n">
        <f aca="false">entry_cap*People!B25</f>
        <v>3476.15439992152</v>
      </c>
      <c r="AD25" s="50" t="n">
        <f aca="false">MIN(AC25,Y25+Z25+AB25)</f>
        <v>0</v>
      </c>
      <c r="AE25" s="50" t="n">
        <f aca="false">IF(Y25+Z25+AB25&gt;0,AD25*Y25/(Y25+Z25+AB25),0)</f>
        <v>0</v>
      </c>
      <c r="AF25" s="50" t="n">
        <f aca="false">IF(Y25+Z25+AB25&gt;0,AD25*AB25/(Y25+Z25+AB25),0)</f>
        <v>0</v>
      </c>
      <c r="AG25" s="50" t="n">
        <f aca="false">AD25*family_mult</f>
        <v>0</v>
      </c>
      <c r="AH25" s="50" t="n">
        <f aca="false">AH24*(1+Paths!C25)+AG25</f>
        <v>0</v>
      </c>
      <c r="AI25" s="50" t="n">
        <f aca="false">IF(AND(mig_endo=1,$A25&gt;=talent_start),chain_rate*AH24,0)</f>
        <v>0</v>
      </c>
      <c r="AJ25" s="50" t="n">
        <f aca="false">IF(AND(mig_endo=1,$A25&gt;=talent_start),IF(H24&gt;0,H24*job_fill,H24*job_return)*job_family,0)</f>
        <v>0</v>
      </c>
      <c r="AK25" s="50" t="n">
        <f aca="false">K25*gw_conv_family</f>
        <v>0</v>
      </c>
      <c r="AL25" s="50" t="n">
        <f aca="false">AG25+AI25+AJ25+AK25+AR25</f>
        <v>0</v>
      </c>
      <c r="AM25" s="50" t="n">
        <f aca="false">AM24*(1-skill_ret)+AD25</f>
        <v>0</v>
      </c>
      <c r="AN25" s="67" t="n">
        <f aca="false">AM25/B25</f>
        <v>0</v>
      </c>
      <c r="AO25" s="67" t="n">
        <f aca="false">(skill_rel-1+skill_spill)*AM24/B24-AT25</f>
        <v>0</v>
      </c>
      <c r="AP25" s="67" t="n">
        <f aca="false">talent_champ*AM24/(skill_base_share*B24)</f>
        <v>0</v>
      </c>
      <c r="AQ25" s="48" t="n">
        <v>292000</v>
      </c>
      <c r="AR25" s="50" t="n">
        <f aca="false">IF(AND(div_on=1,$A25&gt;=div_start),AQ25*MIN(div_max,div_rate*U25)*(1-div_comp*S25),0)</f>
        <v>0</v>
      </c>
      <c r="AS25" s="50" t="n">
        <f aca="false">AS24*(1-div_assim)+AR25</f>
        <v>0</v>
      </c>
      <c r="AT25" s="67" t="n">
        <f aca="false">(1-div_rel)*AS24/Economy!B24</f>
        <v>0</v>
      </c>
      <c r="AU25" s="50" t="n">
        <f aca="false">AU24*(1-skill_ret)+AE25</f>
        <v>0</v>
      </c>
      <c r="AV25" s="50" t="n">
        <f aca="false">AV24*(1+union_nat)+AR25</f>
        <v>0</v>
      </c>
      <c r="AW25" s="50" t="n">
        <f aca="false">AW24*(1+union_nat)+AE25*family_mult</f>
        <v>0</v>
      </c>
      <c r="AX25" s="70" t="n">
        <f aca="false">V25-(AV25+AW25)/1000000</f>
        <v>25</v>
      </c>
      <c r="AY25" s="50" t="n">
        <f aca="false">L25*gw_union</f>
        <v>0</v>
      </c>
      <c r="AZ25" s="49" t="n">
        <v>1.116</v>
      </c>
      <c r="BA25" s="50" t="n">
        <f aca="false">Economy!Q25*AZ25/lf_rate</f>
        <v>398.571428571429</v>
      </c>
      <c r="BB25" s="67" t="n">
        <f aca="false">bd_growth*AU24/W24</f>
        <v>0</v>
      </c>
      <c r="BC25" s="67" t="n">
        <f aca="false">tg_k*MIN(1,Economy!O24/BK24)</f>
        <v>0.00023615063140654</v>
      </c>
      <c r="BD25" s="67" t="n">
        <f aca="false">emu_g*S25</f>
        <v>0</v>
      </c>
      <c r="BE25" s="68" t="n">
        <f aca="false">BE24*(1-BB25-BC25+BD25)</f>
        <v>0.997375591404576</v>
      </c>
      <c r="BF25" s="49" t="n">
        <v>1</v>
      </c>
      <c r="BG25" s="56" t="n">
        <f aca="false">AU25*BA25*BE25*(skill_rel-1+skill_spill)/1000000</f>
        <v>0</v>
      </c>
      <c r="BH25" s="56" t="n">
        <f aca="false">union_disp*(Champions!AP25+Champions!AZ25)*(1-IF(union_resp=2,mkt_cut*S25,0))</f>
        <v>0.600259962933363</v>
      </c>
      <c r="BI25" s="56" t="n">
        <f aca="false">AY25*BA25*BE25/1000000</f>
        <v>0</v>
      </c>
      <c r="BJ25" s="50" t="n">
        <f aca="false">V25*Economy!Q25*AZ25</f>
        <v>4185</v>
      </c>
      <c r="BK25" s="50" t="n">
        <f aca="false">MAX(0.3*BJ25,AX25*Economy!Q25*AZ25*BE25*BF25-BG25-BH25-BI25)</f>
        <v>4173.41659006522</v>
      </c>
      <c r="BL25" s="66" t="n">
        <f aca="false">1-BK25/BJ25</f>
        <v>0.00276783988883667</v>
      </c>
      <c r="BM25" s="50" t="n">
        <f aca="false">MAX(0,BH25-BH24)*1000000/BA25</f>
        <v>0.237420326344404</v>
      </c>
      <c r="BN25" s="50" t="n">
        <f aca="false">BN24*(1-IF(AND($A25&gt;=1930,$A25&lt;=1932),0,union_reabsorb))+BM25</f>
        <v>626.70662146537</v>
      </c>
      <c r="BO25" s="62" t="n">
        <v>0.04</v>
      </c>
      <c r="BP25" s="66" t="n">
        <f aca="false">BO25+BN25/(AX25*1000000*lf_rate)</f>
        <v>0.0400596863449015</v>
      </c>
    </row>
    <row r="26" customFormat="false" ht="14.25" hidden="false" customHeight="false" outlineLevel="0" collapsed="false">
      <c r="A26" s="61" t="n">
        <v>1866</v>
      </c>
      <c r="B26" s="50" t="n">
        <f aca="false">Economy!B26*lf_rate</f>
        <v>530086.65716315</v>
      </c>
      <c r="C26" s="50" t="n">
        <f aca="false">Economy!O26*1000000/(B26+L26)</f>
        <v>691.870544432431</v>
      </c>
      <c r="D26" s="50" t="n">
        <f aca="false">Champions!AP26*1000000/(C26*champ_prem)</f>
        <v>1606.91601346787</v>
      </c>
      <c r="E26" s="50" t="n">
        <f aca="false">D26*job_mult</f>
        <v>1124.84120942751</v>
      </c>
      <c r="F26" s="50" t="n">
        <f aca="false">D26+E26</f>
        <v>2731.75722289537</v>
      </c>
      <c r="G26" s="66" t="n">
        <f aca="false">F26/B26</f>
        <v>0.005153416306524</v>
      </c>
      <c r="H26" s="50" t="n">
        <f aca="false">F26-F25</f>
        <v>-17.5564872767864</v>
      </c>
      <c r="I26" s="66" t="n">
        <f aca="false">MAX(0.005,pac_u_base*IF(Paths!AC26=1,pac_u_war,1)+(okun*(1-Economy!G26)*(B26+L26)-MAX(0,L25-L26))/B26)</f>
        <v>0.015</v>
      </c>
      <c r="J26" s="50" t="n">
        <f aca="false">IF(AND(gw_on=1,$A26&gt;=gw_start),MIN(gw_cap*B25,gw_cover*F25+gw_gen*B25),0)</f>
        <v>0</v>
      </c>
      <c r="K26" s="50" t="n">
        <f aca="false">L25*gw_conv</f>
        <v>0</v>
      </c>
      <c r="L26" s="50" t="n">
        <f aca="false">MAX(0,L25-K26+gw_adj*(J26-L25))*MAX(0,1-gw_slump*(1-Economy!G26))</f>
        <v>0</v>
      </c>
      <c r="M26" s="50"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1.92454589464578</v>
      </c>
      <c r="U26" s="70" t="n">
        <f aca="false">MAX(0,T26-gap_base)</f>
        <v>0.424545894645782</v>
      </c>
      <c r="V26" s="71" t="n">
        <v>25.88</v>
      </c>
      <c r="W26" s="50" t="n">
        <f aca="false">V26*1000000*lf_rate*union_skill_share</f>
        <v>1304352</v>
      </c>
      <c r="X26" s="48" t="n">
        <v>0</v>
      </c>
      <c r="Y26" s="50" t="n">
        <f aca="false">IF(AND(mig_endo=1,$A26&gt;=talent_start),talent_rate_u*W26*U26*(1-(1-bd_keep)*S26),0)</f>
        <v>0</v>
      </c>
      <c r="Z26" s="50" t="n">
        <f aca="false">IF(AND(mig_endo=1,$A26&gt;=talent_start),X26*MIN(0.5,talent_share_o*U26)*(1-eu_comp*S26),0)</f>
        <v>0</v>
      </c>
      <c r="AA26" s="48" t="n">
        <v>0</v>
      </c>
      <c r="AB26" s="50" t="n">
        <f aca="false">IF(AND(mig_endo=1,$A26&gt;=talent_start),AA26*MIN(0.5,talent_share_a*U26),0)</f>
        <v>0</v>
      </c>
      <c r="AC26" s="50" t="n">
        <f aca="false">entry_cap*People!B26</f>
        <v>3656.10056152043</v>
      </c>
      <c r="AD26" s="50" t="n">
        <f aca="false">MIN(AC26,Y26+Z26+AB26)</f>
        <v>0</v>
      </c>
      <c r="AE26" s="50" t="n">
        <f aca="false">IF(Y26+Z26+AB26&gt;0,AD26*Y26/(Y26+Z26+AB26),0)</f>
        <v>0</v>
      </c>
      <c r="AF26" s="50" t="n">
        <f aca="false">IF(Y26+Z26+AB26&gt;0,AD26*AB26/(Y26+Z26+AB26),0)</f>
        <v>0</v>
      </c>
      <c r="AG26" s="50" t="n">
        <f aca="false">AD26*family_mult</f>
        <v>0</v>
      </c>
      <c r="AH26" s="50" t="n">
        <f aca="false">AH25*(1+Paths!C26)+AG26</f>
        <v>0</v>
      </c>
      <c r="AI26" s="50" t="n">
        <f aca="false">IF(AND(mig_endo=1,$A26&gt;=talent_start),chain_rate*AH25,0)</f>
        <v>0</v>
      </c>
      <c r="AJ26" s="50" t="n">
        <f aca="false">IF(AND(mig_endo=1,$A26&gt;=talent_start),IF(H25&gt;0,H25*job_fill,H25*job_return)*job_family,0)</f>
        <v>0</v>
      </c>
      <c r="AK26" s="50" t="n">
        <f aca="false">K26*gw_conv_family</f>
        <v>0</v>
      </c>
      <c r="AL26" s="50" t="n">
        <f aca="false">AG26+AI26+AJ26+AK26+AR26</f>
        <v>0</v>
      </c>
      <c r="AM26" s="50" t="n">
        <f aca="false">AM25*(1-skill_ret)+AD26</f>
        <v>0</v>
      </c>
      <c r="AN26" s="67" t="n">
        <f aca="false">AM26/B26</f>
        <v>0</v>
      </c>
      <c r="AO26" s="67" t="n">
        <f aca="false">(skill_rel-1+skill_spill)*AM25/B25-AT26</f>
        <v>0</v>
      </c>
      <c r="AP26" s="67" t="n">
        <f aca="false">talent_champ*AM25/(skill_base_share*B25)</f>
        <v>0</v>
      </c>
      <c r="AQ26" s="48" t="n">
        <v>320000</v>
      </c>
      <c r="AR26" s="50" t="n">
        <f aca="false">IF(AND(div_on=1,$A26&gt;=div_start),AQ26*MIN(div_max,div_rate*U26)*(1-div_comp*S26),0)</f>
        <v>0</v>
      </c>
      <c r="AS26" s="50" t="n">
        <f aca="false">AS25*(1-div_assim)+AR26</f>
        <v>0</v>
      </c>
      <c r="AT26" s="67" t="n">
        <f aca="false">(1-div_rel)*AS25/Economy!B25</f>
        <v>0</v>
      </c>
      <c r="AU26" s="50" t="n">
        <f aca="false">AU25*(1-skill_ret)+AE26</f>
        <v>0</v>
      </c>
      <c r="AV26" s="50" t="n">
        <f aca="false">AV25*(1+union_nat)+AR26</f>
        <v>0</v>
      </c>
      <c r="AW26" s="50" t="n">
        <f aca="false">AW25*(1+union_nat)+AE26*family_mult</f>
        <v>0</v>
      </c>
      <c r="AX26" s="70" t="n">
        <f aca="false">V26-(AV26+AW26)/1000000</f>
        <v>25.88</v>
      </c>
      <c r="AY26" s="50" t="n">
        <f aca="false">L26*gw_union</f>
        <v>0</v>
      </c>
      <c r="AZ26" s="49" t="n">
        <v>1.116</v>
      </c>
      <c r="BA26" s="50" t="n">
        <f aca="false">Economy!Q26*AZ26/lf_rate</f>
        <v>409.2</v>
      </c>
      <c r="BB26" s="67" t="n">
        <f aca="false">bd_growth*AU25/W25</f>
        <v>0</v>
      </c>
      <c r="BC26" s="67" t="n">
        <f aca="false">tg_k*MIN(1,Economy!O25/BK25)</f>
        <v>0.000246674727577261</v>
      </c>
      <c r="BD26" s="67" t="n">
        <f aca="false">emu_g*S26</f>
        <v>0</v>
      </c>
      <c r="BE26" s="68" t="n">
        <f aca="false">BE25*(1-BB26-BC26+BD26)</f>
        <v>0.997129564052275</v>
      </c>
      <c r="BF26" s="49" t="n">
        <v>1</v>
      </c>
      <c r="BG26" s="56" t="n">
        <f aca="false">AU26*BA26*BE26*(skill_rel-1+skill_spill)/1000000</f>
        <v>0</v>
      </c>
      <c r="BH26" s="56" t="n">
        <f aca="false">union_disp*(Champions!AP26+Champions!AZ26)*(1-IF(union_resp=2,mkt_cut*S26,0))</f>
        <v>0.600360042831411</v>
      </c>
      <c r="BI26" s="56" t="n">
        <f aca="false">AY26*BA26*BE26/1000000</f>
        <v>0</v>
      </c>
      <c r="BJ26" s="50" t="n">
        <f aca="false">V26*Economy!Q26*AZ26</f>
        <v>4447.84032</v>
      </c>
      <c r="BK26" s="50" t="n">
        <f aca="false">MAX(0.3*BJ26,AX26*Economy!Q26*AZ26*BE26*BF26-BG26-BH26-BI26)</f>
        <v>4434.4727192129</v>
      </c>
      <c r="BL26" s="66" t="n">
        <f aca="false">1-BK26/BJ26</f>
        <v>0.00300541382454611</v>
      </c>
      <c r="BM26" s="50" t="n">
        <f aca="false">MAX(0,BH26-BH25)*1000000/BA26</f>
        <v>0.244574530909498</v>
      </c>
      <c r="BN26" s="50" t="n">
        <f aca="false">BN25*(1-IF(AND($A26&gt;=1930,$A26&lt;=1932),0,union_reabsorb))+BM26</f>
        <v>470.274540629937</v>
      </c>
      <c r="BO26" s="62" t="n">
        <v>0.04</v>
      </c>
      <c r="BP26" s="66" t="n">
        <f aca="false">BO26+BN26/(AX26*1000000*lf_rate)</f>
        <v>0.0400432651192896</v>
      </c>
    </row>
    <row r="27" customFormat="false" ht="14.25" hidden="false" customHeight="false" outlineLevel="0" collapsed="false">
      <c r="A27" s="61" t="n">
        <v>1867</v>
      </c>
      <c r="B27" s="50" t="n">
        <f aca="false">Economy!B27*lf_rate</f>
        <v>577307.070363434</v>
      </c>
      <c r="C27" s="50" t="n">
        <f aca="false">Economy!O27*1000000/(B27+L27)</f>
        <v>690.963683676642</v>
      </c>
      <c r="D27" s="50" t="n">
        <f aca="false">Champions!AP27*1000000/(C27*champ_prem)</f>
        <v>1826.56726684812</v>
      </c>
      <c r="E27" s="50" t="n">
        <f aca="false">D27*job_mult</f>
        <v>1278.59708679369</v>
      </c>
      <c r="F27" s="50" t="n">
        <f aca="false">D27+E27</f>
        <v>3105.16435364181</v>
      </c>
      <c r="G27" s="66" t="n">
        <f aca="false">F27/B27</f>
        <v>0.00537870487483724</v>
      </c>
      <c r="H27" s="50" t="n">
        <f aca="false">F27-F26</f>
        <v>373.407130746434</v>
      </c>
      <c r="I27" s="66" t="n">
        <f aca="false">MAX(0.005,pac_u_base*IF(Paths!AC27=1,pac_u_war,1)+(okun*(1-Economy!G27)*(B27+L27)-MAX(0,L26-L27))/B27)</f>
        <v>0.015</v>
      </c>
      <c r="J27" s="50" t="n">
        <f aca="false">IF(AND(gw_on=1,$A27&gt;=gw_start),MIN(gw_cap*B26,gw_cover*F26+gw_gen*B26),0)</f>
        <v>0</v>
      </c>
      <c r="K27" s="50" t="n">
        <f aca="false">L26*gw_conv</f>
        <v>0</v>
      </c>
      <c r="L27" s="50" t="n">
        <f aca="false">MAX(0,L26-K27+gw_adj*(J27-L26))*MAX(0,1-gw_slump*(1-Economy!G27))</f>
        <v>0</v>
      </c>
      <c r="M27" s="50"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1.8869196666339</v>
      </c>
      <c r="U27" s="70" t="n">
        <f aca="false">MAX(0,T27-gap_base)</f>
        <v>0.386919666633903</v>
      </c>
      <c r="V27" s="71" t="n">
        <v>26.76</v>
      </c>
      <c r="W27" s="50" t="n">
        <f aca="false">V27*1000000*lf_rate*union_skill_share</f>
        <v>1348704</v>
      </c>
      <c r="X27" s="48" t="n">
        <v>0</v>
      </c>
      <c r="Y27" s="50" t="n">
        <f aca="false">IF(AND(mig_endo=1,$A27&gt;=talent_start),talent_rate_u*W27*U27*(1-(1-bd_keep)*S27),0)</f>
        <v>0</v>
      </c>
      <c r="Z27" s="50" t="n">
        <f aca="false">IF(AND(mig_endo=1,$A27&gt;=talent_start),X27*MIN(0.5,talent_share_o*U27)*(1-eu_comp*S27),0)</f>
        <v>0</v>
      </c>
      <c r="AA27" s="48" t="n">
        <v>0</v>
      </c>
      <c r="AB27" s="50" t="n">
        <f aca="false">IF(AND(mig_endo=1,$A27&gt;=talent_start),AA27*MIN(0.5,talent_share_a*U27),0)</f>
        <v>0</v>
      </c>
      <c r="AC27" s="50" t="n">
        <f aca="false">entry_cap*People!B27</f>
        <v>3916.56596938171</v>
      </c>
      <c r="AD27" s="50" t="n">
        <f aca="false">MIN(AC27,Y27+Z27+AB27)</f>
        <v>0</v>
      </c>
      <c r="AE27" s="50" t="n">
        <f aca="false">IF(Y27+Z27+AB27&gt;0,AD27*Y27/(Y27+Z27+AB27),0)</f>
        <v>0</v>
      </c>
      <c r="AF27" s="50" t="n">
        <f aca="false">IF(Y27+Z27+AB27&gt;0,AD27*AB27/(Y27+Z27+AB27),0)</f>
        <v>0</v>
      </c>
      <c r="AG27" s="50" t="n">
        <f aca="false">AD27*family_mult</f>
        <v>0</v>
      </c>
      <c r="AH27" s="50" t="n">
        <f aca="false">AH26*(1+Paths!C27)+AG27</f>
        <v>0</v>
      </c>
      <c r="AI27" s="50" t="n">
        <f aca="false">IF(AND(mig_endo=1,$A27&gt;=talent_start),chain_rate*AH26,0)</f>
        <v>0</v>
      </c>
      <c r="AJ27" s="50" t="n">
        <f aca="false">IF(AND(mig_endo=1,$A27&gt;=talent_start),IF(H26&gt;0,H26*job_fill,H26*job_return)*job_family,0)</f>
        <v>0</v>
      </c>
      <c r="AK27" s="50" t="n">
        <f aca="false">K27*gw_conv_family</f>
        <v>0</v>
      </c>
      <c r="AL27" s="50" t="n">
        <f aca="false">AG27+AI27+AJ27+AK27+AR27</f>
        <v>0</v>
      </c>
      <c r="AM27" s="50" t="n">
        <f aca="false">AM26*(1-skill_ret)+AD27</f>
        <v>0</v>
      </c>
      <c r="AN27" s="67" t="n">
        <f aca="false">AM27/B27</f>
        <v>0</v>
      </c>
      <c r="AO27" s="67" t="n">
        <f aca="false">(skill_rel-1+skill_spill)*AM26/B26-AT27</f>
        <v>0</v>
      </c>
      <c r="AP27" s="67" t="n">
        <f aca="false">talent_champ*AM26/(skill_base_share*B26)</f>
        <v>0</v>
      </c>
      <c r="AQ27" s="48" t="n">
        <v>340000</v>
      </c>
      <c r="AR27" s="50" t="n">
        <f aca="false">IF(AND(div_on=1,$A27&gt;=div_start),AQ27*MIN(div_max,div_rate*U27)*(1-div_comp*S27),0)</f>
        <v>0</v>
      </c>
      <c r="AS27" s="50" t="n">
        <f aca="false">AS26*(1-div_assim)+AR27</f>
        <v>0</v>
      </c>
      <c r="AT27" s="67" t="n">
        <f aca="false">(1-div_rel)*AS26/Economy!B26</f>
        <v>0</v>
      </c>
      <c r="AU27" s="50" t="n">
        <f aca="false">AU26*(1-skill_ret)+AE27</f>
        <v>0</v>
      </c>
      <c r="AV27" s="50" t="n">
        <f aca="false">AV26*(1+union_nat)+AR27</f>
        <v>0</v>
      </c>
      <c r="AW27" s="50" t="n">
        <f aca="false">AW26*(1+union_nat)+AE27*family_mult</f>
        <v>0</v>
      </c>
      <c r="AX27" s="70" t="n">
        <f aca="false">V27-(AV27+AW27)/1000000</f>
        <v>26.76</v>
      </c>
      <c r="AY27" s="50" t="n">
        <f aca="false">L27*gw_union</f>
        <v>0</v>
      </c>
      <c r="AZ27" s="49" t="n">
        <v>1.116</v>
      </c>
      <c r="BA27" s="50" t="n">
        <f aca="false">Economy!Q27*AZ27/lf_rate</f>
        <v>422.485714285714</v>
      </c>
      <c r="BB27" s="67" t="n">
        <f aca="false">bd_growth*AU26/W26</f>
        <v>0</v>
      </c>
      <c r="BC27" s="67" t="n">
        <f aca="false">tg_k*MIN(1,Economy!O26/BK26)</f>
        <v>0.000248113834931608</v>
      </c>
      <c r="BD27" s="67" t="n">
        <f aca="false">emu_g*S27</f>
        <v>0</v>
      </c>
      <c r="BE27" s="68" t="n">
        <f aca="false">BE26*(1-BB27-BC27+BD27)</f>
        <v>0.996882162412214</v>
      </c>
      <c r="BF27" s="49" t="n">
        <v>1</v>
      </c>
      <c r="BG27" s="56" t="n">
        <f aca="false">AU27*BA27*BE27*(skill_rel-1+skill_spill)/1000000</f>
        <v>0</v>
      </c>
      <c r="BH27" s="56" t="n">
        <f aca="false">union_disp*(Champions!AP27+Champions!AZ27)*(1-IF(union_resp=2,mkt_cut*S27,0))</f>
        <v>0.686933688074652</v>
      </c>
      <c r="BI27" s="56" t="n">
        <f aca="false">AY27*BA27*BE27/1000000</f>
        <v>0</v>
      </c>
      <c r="BJ27" s="50" t="n">
        <f aca="false">V27*Economy!Q27*AZ27</f>
        <v>4748.40144</v>
      </c>
      <c r="BK27" s="50" t="n">
        <f aca="false">MAX(0.3*BJ27,AX27*Economy!Q27*AZ27*BE27*BF27-BG27-BH27-BI27)</f>
        <v>4732.9097618204</v>
      </c>
      <c r="BL27" s="66" t="n">
        <f aca="false">1-BK27/BJ27</f>
        <v>0.00326250389217397</v>
      </c>
      <c r="BM27" s="50" t="n">
        <f aca="false">MAX(0,BH27-BH26)*1000000/BA27</f>
        <v>204.914964733446</v>
      </c>
      <c r="BN27" s="50" t="n">
        <f aca="false">BN26*(1-IF(AND($A27&gt;=1930,$A27&lt;=1932),0,union_reabsorb))+BM27</f>
        <v>557.620870205899</v>
      </c>
      <c r="BO27" s="62" t="n">
        <v>0.04</v>
      </c>
      <c r="BP27" s="66" t="n">
        <f aca="false">BO27+BN27/(AX27*1000000*lf_rate)</f>
        <v>0.0400496139289457</v>
      </c>
    </row>
    <row r="28" customFormat="false" ht="14.25" hidden="false" customHeight="false" outlineLevel="0" collapsed="false">
      <c r="A28" s="61" t="n">
        <v>1868</v>
      </c>
      <c r="B28" s="50" t="n">
        <f aca="false">Economy!B28*lf_rate</f>
        <v>627762.706611055</v>
      </c>
      <c r="C28" s="50" t="n">
        <f aca="false">Economy!O28*1000000/(B28+L28)</f>
        <v>691.759270919201</v>
      </c>
      <c r="D28" s="50" t="n">
        <f aca="false">Champions!AP28*1000000/(C28*champ_prem)</f>
        <v>2922.94975119445</v>
      </c>
      <c r="E28" s="50" t="n">
        <f aca="false">D28*job_mult</f>
        <v>2046.06482583611</v>
      </c>
      <c r="F28" s="50" t="n">
        <f aca="false">D28+E28</f>
        <v>4969.01457703056</v>
      </c>
      <c r="G28" s="66" t="n">
        <f aca="false">F28/B28</f>
        <v>0.00791543448615406</v>
      </c>
      <c r="H28" s="50" t="n">
        <f aca="false">F28-F27</f>
        <v>1863.85022338875</v>
      </c>
      <c r="I28" s="66" t="n">
        <f aca="false">MAX(0.005,pac_u_base*IF(Paths!AC28=1,pac_u_war,1)+(okun*(1-Economy!G28)*(B28+L28)-MAX(0,L27-L28))/B28)</f>
        <v>0.015</v>
      </c>
      <c r="J28" s="50" t="n">
        <f aca="false">IF(AND(gw_on=1,$A28&gt;=gw_start),MIN(gw_cap*B27,gw_cover*F27+gw_gen*B27),0)</f>
        <v>0</v>
      </c>
      <c r="K28" s="50" t="n">
        <f aca="false">L27*gw_conv</f>
        <v>0</v>
      </c>
      <c r="L28" s="50" t="n">
        <f aca="false">MAX(0,L27-K28+gw_adj*(J28-L27))*MAX(0,1-gw_slump*(1-Economy!G28))</f>
        <v>0</v>
      </c>
      <c r="M28" s="50"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1.82518708895717</v>
      </c>
      <c r="U28" s="70" t="n">
        <f aca="false">MAX(0,T28-gap_base)</f>
        <v>0.325187088957168</v>
      </c>
      <c r="V28" s="71" t="n">
        <v>27.64</v>
      </c>
      <c r="W28" s="50" t="n">
        <f aca="false">V28*1000000*lf_rate*union_skill_share</f>
        <v>1393056</v>
      </c>
      <c r="X28" s="48" t="n">
        <v>0</v>
      </c>
      <c r="Y28" s="50" t="n">
        <f aca="false">IF(AND(mig_endo=1,$A28&gt;=talent_start),talent_rate_u*W28*U28*(1-(1-bd_keep)*S28),0)</f>
        <v>0</v>
      </c>
      <c r="Z28" s="50" t="n">
        <f aca="false">IF(AND(mig_endo=1,$A28&gt;=talent_start),X28*MIN(0.5,talent_share_o*U28)*(1-eu_comp*S28),0)</f>
        <v>0</v>
      </c>
      <c r="AA28" s="48" t="n">
        <v>0</v>
      </c>
      <c r="AB28" s="50" t="n">
        <f aca="false">IF(AND(mig_endo=1,$A28&gt;=talent_start),AA28*MIN(0.5,talent_share_a*U28),0)</f>
        <v>0</v>
      </c>
      <c r="AC28" s="50" t="n">
        <f aca="false">entry_cap*People!B28</f>
        <v>4330.67789295306</v>
      </c>
      <c r="AD28" s="50" t="n">
        <f aca="false">MIN(AC28,Y28+Z28+AB28)</f>
        <v>0</v>
      </c>
      <c r="AE28" s="50" t="n">
        <f aca="false">IF(Y28+Z28+AB28&gt;0,AD28*Y28/(Y28+Z28+AB28),0)</f>
        <v>0</v>
      </c>
      <c r="AF28" s="50" t="n">
        <f aca="false">IF(Y28+Z28+AB28&gt;0,AD28*AB28/(Y28+Z28+AB28),0)</f>
        <v>0</v>
      </c>
      <c r="AG28" s="50" t="n">
        <f aca="false">AD28*family_mult</f>
        <v>0</v>
      </c>
      <c r="AH28" s="50" t="n">
        <f aca="false">AH27*(1+Paths!C28)+AG28</f>
        <v>0</v>
      </c>
      <c r="AI28" s="50" t="n">
        <f aca="false">IF(AND(mig_endo=1,$A28&gt;=talent_start),chain_rate*AH27,0)</f>
        <v>0</v>
      </c>
      <c r="AJ28" s="50" t="n">
        <f aca="false">IF(AND(mig_endo=1,$A28&gt;=talent_start),IF(H27&gt;0,H27*job_fill,H27*job_return)*job_family,0)</f>
        <v>0</v>
      </c>
      <c r="AK28" s="50" t="n">
        <f aca="false">K28*gw_conv_family</f>
        <v>0</v>
      </c>
      <c r="AL28" s="50" t="n">
        <f aca="false">AG28+AI28+AJ28+AK28+AR28</f>
        <v>0</v>
      </c>
      <c r="AM28" s="50" t="n">
        <f aca="false">AM27*(1-skill_ret)+AD28</f>
        <v>0</v>
      </c>
      <c r="AN28" s="67" t="n">
        <f aca="false">AM28/B28</f>
        <v>0</v>
      </c>
      <c r="AO28" s="67" t="n">
        <f aca="false">(skill_rel-1+skill_spill)*AM27/B27-AT28</f>
        <v>0</v>
      </c>
      <c r="AP28" s="67" t="n">
        <f aca="false">talent_champ*AM27/(skill_base_share*B27)</f>
        <v>0</v>
      </c>
      <c r="AQ28" s="48" t="n">
        <v>360000</v>
      </c>
      <c r="AR28" s="50" t="n">
        <f aca="false">IF(AND(div_on=1,$A28&gt;=div_start),AQ28*MIN(div_max,div_rate*U28)*(1-div_comp*S28),0)</f>
        <v>0</v>
      </c>
      <c r="AS28" s="50" t="n">
        <f aca="false">AS27*(1-div_assim)+AR28</f>
        <v>0</v>
      </c>
      <c r="AT28" s="67" t="n">
        <f aca="false">(1-div_rel)*AS27/Economy!B27</f>
        <v>0</v>
      </c>
      <c r="AU28" s="50" t="n">
        <f aca="false">AU27*(1-skill_ret)+AE28</f>
        <v>0</v>
      </c>
      <c r="AV28" s="50" t="n">
        <f aca="false">AV27*(1+union_nat)+AR28</f>
        <v>0</v>
      </c>
      <c r="AW28" s="50" t="n">
        <f aca="false">AW27*(1+union_nat)+AE28*family_mult</f>
        <v>0</v>
      </c>
      <c r="AX28" s="70" t="n">
        <f aca="false">V28-(AV28+AW28)/1000000</f>
        <v>27.64</v>
      </c>
      <c r="AY28" s="50" t="n">
        <f aca="false">L28*gw_union</f>
        <v>0</v>
      </c>
      <c r="AZ28" s="49" t="n">
        <v>1.115</v>
      </c>
      <c r="BA28" s="50" t="n">
        <f aca="false">Economy!Q28*AZ28/lf_rate</f>
        <v>432.726190476191</v>
      </c>
      <c r="BB28" s="67" t="n">
        <f aca="false">bd_growth*AU27/W27</f>
        <v>0</v>
      </c>
      <c r="BC28" s="67" t="n">
        <f aca="false">tg_k*MIN(1,Economy!O27/BK27)</f>
        <v>0.000252845441826549</v>
      </c>
      <c r="BD28" s="67" t="n">
        <f aca="false">emu_g*S28</f>
        <v>0</v>
      </c>
      <c r="BE28" s="68" t="n">
        <f aca="false">BE27*(1-BB28-BC28+BD28)</f>
        <v>0.99663010530141</v>
      </c>
      <c r="BF28" s="49" t="n">
        <v>1</v>
      </c>
      <c r="BG28" s="56" t="n">
        <f aca="false">AU28*BA28*BE28*(skill_rel-1+skill_spill)/1000000</f>
        <v>0</v>
      </c>
      <c r="BH28" s="56" t="n">
        <f aca="false">union_disp*(Champions!AP28+Champions!AZ28)*(1-IF(union_resp=2,mkt_cut*S28,0))</f>
        <v>1.09768750986637</v>
      </c>
      <c r="BI28" s="56" t="n">
        <f aca="false">AY28*BA28*BE28/1000000</f>
        <v>0</v>
      </c>
      <c r="BJ28" s="50" t="n">
        <f aca="false">V28*Economy!Q28*AZ28</f>
        <v>5023.4318</v>
      </c>
      <c r="BK28" s="50" t="n">
        <f aca="false">MAX(0.3*BJ28,AX28*Economy!Q28*AZ28*BE28*BF28-BG28-BH28-BI28)</f>
        <v>5005.40567629858</v>
      </c>
      <c r="BL28" s="66" t="n">
        <f aca="false">1-BK28/BJ28</f>
        <v>0.00358840816778216</v>
      </c>
      <c r="BM28" s="50" t="n">
        <f aca="false">MAX(0,BH28-BH27)*1000000/BA28</f>
        <v>949.223390753653</v>
      </c>
      <c r="BN28" s="50" t="n">
        <f aca="false">BN27*(1-IF(AND($A28&gt;=1930,$A28&lt;=1932),0,union_reabsorb))+BM28</f>
        <v>1367.43904340808</v>
      </c>
      <c r="BO28" s="62" t="n">
        <v>0.04</v>
      </c>
      <c r="BP28" s="66" t="n">
        <f aca="false">BO28+BN28/(AX28*1000000*lf_rate)</f>
        <v>0.0401177933157095</v>
      </c>
    </row>
    <row r="29" customFormat="false" ht="14.25" hidden="false" customHeight="false" outlineLevel="0" collapsed="false">
      <c r="A29" s="61" t="n">
        <v>1869</v>
      </c>
      <c r="B29" s="50" t="n">
        <f aca="false">Economy!B29*lf_rate</f>
        <v>672648.438036665</v>
      </c>
      <c r="C29" s="50" t="n">
        <f aca="false">Economy!O29*1000000/(B29+L29)</f>
        <v>701.12712271328</v>
      </c>
      <c r="D29" s="50" t="n">
        <f aca="false">Champions!AP29*1000000/(C29*champ_prem)</f>
        <v>3156.38552152025</v>
      </c>
      <c r="E29" s="50" t="n">
        <f aca="false">D29*job_mult</f>
        <v>2209.46986506417</v>
      </c>
      <c r="F29" s="50" t="n">
        <f aca="false">D29+E29</f>
        <v>5365.85538658442</v>
      </c>
      <c r="G29" s="66" t="n">
        <f aca="false">F29/B29</f>
        <v>0.00797720634310301</v>
      </c>
      <c r="H29" s="50" t="n">
        <f aca="false">F29-F28</f>
        <v>396.840809553856</v>
      </c>
      <c r="I29" s="66" t="n">
        <f aca="false">MAX(0.005,pac_u_base*IF(Paths!AC29=1,pac_u_war,1)+(okun*(1-Economy!G29)*(B29+L29)-MAX(0,L28-L29))/B29)</f>
        <v>0.015</v>
      </c>
      <c r="J29" s="50" t="n">
        <f aca="false">IF(AND(gw_on=1,$A29&gt;=gw_start),MIN(gw_cap*B28,gw_cover*F28+gw_gen*B28),0)</f>
        <v>0</v>
      </c>
      <c r="K29" s="50" t="n">
        <f aca="false">L28*gw_conv</f>
        <v>0</v>
      </c>
      <c r="L29" s="50" t="n">
        <f aca="false">MAX(0,L28-K29+gw_adj*(J29-L28))*MAX(0,1-gw_slump*(1-Economy!G29))</f>
        <v>0</v>
      </c>
      <c r="M29" s="50"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1.7824472011415</v>
      </c>
      <c r="U29" s="70" t="n">
        <f aca="false">MAX(0,T29-gap_base)</f>
        <v>0.282447201141499</v>
      </c>
      <c r="V29" s="71" t="n">
        <v>28.52</v>
      </c>
      <c r="W29" s="50" t="n">
        <f aca="false">V29*1000000*lf_rate*union_skill_share</f>
        <v>1437408</v>
      </c>
      <c r="X29" s="48" t="n">
        <v>0</v>
      </c>
      <c r="Y29" s="50" t="n">
        <f aca="false">IF(AND(mig_endo=1,$A29&gt;=talent_start),talent_rate_u*W29*U29*(1-(1-bd_keep)*S29),0)</f>
        <v>0</v>
      </c>
      <c r="Z29" s="50" t="n">
        <f aca="false">IF(AND(mig_endo=1,$A29&gt;=talent_start),X29*MIN(0.5,talent_share_o*U29)*(1-eu_comp*S29),0)</f>
        <v>0</v>
      </c>
      <c r="AA29" s="48" t="n">
        <v>0</v>
      </c>
      <c r="AB29" s="50" t="n">
        <f aca="false">IF(AND(mig_endo=1,$A29&gt;=talent_start),AA29*MIN(0.5,talent_share_a*U29),0)</f>
        <v>0</v>
      </c>
      <c r="AC29" s="50" t="n">
        <f aca="false">entry_cap*People!B29</f>
        <v>4637.36077291916</v>
      </c>
      <c r="AD29" s="50" t="n">
        <f aca="false">MIN(AC29,Y29+Z29+AB29)</f>
        <v>0</v>
      </c>
      <c r="AE29" s="50" t="n">
        <f aca="false">IF(Y29+Z29+AB29&gt;0,AD29*Y29/(Y29+Z29+AB29),0)</f>
        <v>0</v>
      </c>
      <c r="AF29" s="50" t="n">
        <f aca="false">IF(Y29+Z29+AB29&gt;0,AD29*AB29/(Y29+Z29+AB29),0)</f>
        <v>0</v>
      </c>
      <c r="AG29" s="50" t="n">
        <f aca="false">AD29*family_mult</f>
        <v>0</v>
      </c>
      <c r="AH29" s="50" t="n">
        <f aca="false">AH28*(1+Paths!C29)+AG29</f>
        <v>0</v>
      </c>
      <c r="AI29" s="50" t="n">
        <f aca="false">IF(AND(mig_endo=1,$A29&gt;=talent_start),chain_rate*AH28,0)</f>
        <v>0</v>
      </c>
      <c r="AJ29" s="50" t="n">
        <f aca="false">IF(AND(mig_endo=1,$A29&gt;=talent_start),IF(H28&gt;0,H28*job_fill,H28*job_return)*job_family,0)</f>
        <v>0</v>
      </c>
      <c r="AK29" s="50" t="n">
        <f aca="false">K29*gw_conv_family</f>
        <v>0</v>
      </c>
      <c r="AL29" s="50" t="n">
        <f aca="false">AG29+AI29+AJ29+AK29+AR29</f>
        <v>0</v>
      </c>
      <c r="AM29" s="50" t="n">
        <f aca="false">AM28*(1-skill_ret)+AD29</f>
        <v>0</v>
      </c>
      <c r="AN29" s="67" t="n">
        <f aca="false">AM29/B29</f>
        <v>0</v>
      </c>
      <c r="AO29" s="67" t="n">
        <f aca="false">(skill_rel-1+skill_spill)*AM28/B28-AT29</f>
        <v>0</v>
      </c>
      <c r="AP29" s="67" t="n">
        <f aca="false">talent_champ*AM28/(skill_base_share*B28)</f>
        <v>0</v>
      </c>
      <c r="AQ29" s="48" t="n">
        <v>380000</v>
      </c>
      <c r="AR29" s="50" t="n">
        <f aca="false">IF(AND(div_on=1,$A29&gt;=div_start),AQ29*MIN(div_max,div_rate*U29)*(1-div_comp*S29),0)</f>
        <v>0</v>
      </c>
      <c r="AS29" s="50" t="n">
        <f aca="false">AS28*(1-div_assim)+AR29</f>
        <v>0</v>
      </c>
      <c r="AT29" s="67" t="n">
        <f aca="false">(1-div_rel)*AS28/Economy!B28</f>
        <v>0</v>
      </c>
      <c r="AU29" s="50" t="n">
        <f aca="false">AU28*(1-skill_ret)+AE29</f>
        <v>0</v>
      </c>
      <c r="AV29" s="50" t="n">
        <f aca="false">AV28*(1+union_nat)+AR29</f>
        <v>0</v>
      </c>
      <c r="AW29" s="50" t="n">
        <f aca="false">AW28*(1+union_nat)+AE29*family_mult</f>
        <v>0</v>
      </c>
      <c r="AX29" s="70" t="n">
        <f aca="false">V29-(AV29+AW29)/1000000</f>
        <v>28.52</v>
      </c>
      <c r="AY29" s="50" t="n">
        <f aca="false">L29*gw_union</f>
        <v>0</v>
      </c>
      <c r="AZ29" s="49" t="n">
        <v>1.115</v>
      </c>
      <c r="BA29" s="50" t="n">
        <f aca="false">Economy!Q29*AZ29/lf_rate</f>
        <v>446</v>
      </c>
      <c r="BB29" s="67" t="n">
        <f aca="false">bd_growth*AU28/W28</f>
        <v>0</v>
      </c>
      <c r="BC29" s="67" t="n">
        <f aca="false">tg_k*MIN(1,Economy!O28/BK28)</f>
        <v>0.000260275010849864</v>
      </c>
      <c r="BD29" s="67" t="n">
        <f aca="false">emu_g*S29</f>
        <v>0</v>
      </c>
      <c r="BE29" s="68" t="n">
        <f aca="false">BE28*(1-BB29-BC29+BD29)</f>
        <v>0.996370707389939</v>
      </c>
      <c r="BF29" s="49" t="n">
        <v>1</v>
      </c>
      <c r="BG29" s="56" t="n">
        <f aca="false">AU29*BA29*BE29*(skill_rel-1+skill_spill)/1000000</f>
        <v>0</v>
      </c>
      <c r="BH29" s="56" t="n">
        <f aca="false">union_disp*(Champions!AP29+Champions!AZ29)*(1-IF(union_resp=2,mkt_cut*S29,0))</f>
        <v>1.20439882745424</v>
      </c>
      <c r="BI29" s="56" t="n">
        <f aca="false">AY29*BA29*BE29/1000000</f>
        <v>0</v>
      </c>
      <c r="BJ29" s="50" t="n">
        <f aca="false">V29*Economy!Q29*AZ29</f>
        <v>5342.3664</v>
      </c>
      <c r="BK29" s="50" t="n">
        <f aca="false">MAX(0.3*BJ29,AX29*Economy!Q29*AZ29*BE29*BF29-BG29-BH29-BI29)</f>
        <v>5321.77299027679</v>
      </c>
      <c r="BL29" s="66" t="n">
        <f aca="false">1-BK29/BJ29</f>
        <v>0.0038547355574885</v>
      </c>
      <c r="BM29" s="50" t="n">
        <f aca="false">MAX(0,BH29-BH28)*1000000/BA29</f>
        <v>239.263043918981</v>
      </c>
      <c r="BN29" s="50" t="n">
        <f aca="false">BN28*(1-IF(AND($A29&gt;=1930,$A29&lt;=1932),0,union_reabsorb))+BM29</f>
        <v>1264.84232647504</v>
      </c>
      <c r="BO29" s="62" t="n">
        <v>0.04</v>
      </c>
      <c r="BP29" s="66" t="n">
        <f aca="false">BO29+BN29/(AX29*1000000*lf_rate)</f>
        <v>0.0401055935956785</v>
      </c>
    </row>
    <row r="30" customFormat="false" ht="14.25" hidden="false" customHeight="false" outlineLevel="0" collapsed="false">
      <c r="A30" s="64" t="n">
        <v>1870</v>
      </c>
      <c r="B30" s="50" t="n">
        <f aca="false">Economy!B30*lf_rate</f>
        <v>719974.598359362</v>
      </c>
      <c r="C30" s="50" t="n">
        <f aca="false">Economy!O30*1000000/(B30+L30)</f>
        <v>714.576528833969</v>
      </c>
      <c r="D30" s="50" t="n">
        <f aca="false">Champions!AP30*1000000/(C30*champ_prem)</f>
        <v>5832.96887861324</v>
      </c>
      <c r="E30" s="50" t="n">
        <f aca="false">D30*job_mult</f>
        <v>4083.07821502926</v>
      </c>
      <c r="F30" s="50" t="n">
        <f aca="false">D30+E30</f>
        <v>9916.0470936425</v>
      </c>
      <c r="G30" s="66" t="n">
        <f aca="false">F30/B30</f>
        <v>0.0137727735342867</v>
      </c>
      <c r="H30" s="50" t="n">
        <f aca="false">F30-F29</f>
        <v>4550.19170705808</v>
      </c>
      <c r="I30" s="66" t="n">
        <f aca="false">MAX(0.005,pac_u_base*IF(Paths!AC30=1,pac_u_war,1)+(okun*(1-Economy!G30)*(B30+L30)-MAX(0,L29-L30))/B30)</f>
        <v>0.009</v>
      </c>
      <c r="J30" s="50" t="n">
        <f aca="false">IF(AND(gw_on=1,$A30&gt;=gw_start),MIN(gw_cap*B29,gw_cover*F29+gw_gen*B29),0)</f>
        <v>0</v>
      </c>
      <c r="K30" s="50" t="n">
        <f aca="false">L29*gw_conv</f>
        <v>0</v>
      </c>
      <c r="L30" s="50" t="n">
        <f aca="false">MAX(0,L29-K30+gw_adj*(J30-L29))*MAX(0,1-gw_slump*(1-Economy!G30))</f>
        <v>0</v>
      </c>
      <c r="M30" s="50"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1.7528178067832</v>
      </c>
      <c r="U30" s="70" t="n">
        <f aca="false">MAX(0,T30-gap_base)</f>
        <v>0.2528178067832</v>
      </c>
      <c r="V30" s="71" t="n">
        <v>29.4</v>
      </c>
      <c r="W30" s="50" t="n">
        <f aca="false">V30*1000000*lf_rate*union_skill_share</f>
        <v>1481760</v>
      </c>
      <c r="X30" s="48" t="n">
        <v>30000</v>
      </c>
      <c r="Y30" s="50" t="n">
        <f aca="false">IF(AND(mig_endo=1,$A30&gt;=talent_start),talent_rate_u*W30*U30*(1-(1-bd_keep)*S30),0)</f>
        <v>0</v>
      </c>
      <c r="Z30" s="50" t="n">
        <f aca="false">IF(AND(mig_endo=1,$A30&gt;=talent_start),X30*MIN(0.5,talent_share_o*U30)*(1-eu_comp*S30),0)</f>
        <v>0</v>
      </c>
      <c r="AA30" s="48" t="n">
        <v>0</v>
      </c>
      <c r="AB30" s="50" t="n">
        <f aca="false">IF(AND(mig_endo=1,$A30&gt;=talent_start),AA30*MIN(0.5,talent_share_a*U30),0)</f>
        <v>0</v>
      </c>
      <c r="AC30" s="50" t="n">
        <f aca="false">entry_cap*People!B30</f>
        <v>4971.90262760463</v>
      </c>
      <c r="AD30" s="50" t="n">
        <f aca="false">MIN(AC30,Y30+Z30+AB30)</f>
        <v>0</v>
      </c>
      <c r="AE30" s="50" t="n">
        <f aca="false">IF(Y30+Z30+AB30&gt;0,AD30*Y30/(Y30+Z30+AB30),0)</f>
        <v>0</v>
      </c>
      <c r="AF30" s="50" t="n">
        <f aca="false">IF(Y30+Z30+AB30&gt;0,AD30*AB30/(Y30+Z30+AB30),0)</f>
        <v>0</v>
      </c>
      <c r="AG30" s="50" t="n">
        <f aca="false">AD30*family_mult</f>
        <v>0</v>
      </c>
      <c r="AH30" s="50" t="n">
        <f aca="false">AH29*(1+Paths!C30)+AG30</f>
        <v>0</v>
      </c>
      <c r="AI30" s="50" t="n">
        <f aca="false">IF(AND(mig_endo=1,$A30&gt;=talent_start),chain_rate*AH29,0)</f>
        <v>0</v>
      </c>
      <c r="AJ30" s="50" t="n">
        <f aca="false">IF(AND(mig_endo=1,$A30&gt;=talent_start),IF(H29&gt;0,H29*job_fill,H29*job_return)*job_family,0)</f>
        <v>0</v>
      </c>
      <c r="AK30" s="50" t="n">
        <f aca="false">K30*gw_conv_family</f>
        <v>0</v>
      </c>
      <c r="AL30" s="50" t="n">
        <f aca="false">AG30+AI30+AJ30+AK30+AR30</f>
        <v>0</v>
      </c>
      <c r="AM30" s="50" t="n">
        <f aca="false">AM29*(1-skill_ret)+AD30</f>
        <v>0</v>
      </c>
      <c r="AN30" s="67" t="n">
        <f aca="false">AM30/B30</f>
        <v>0</v>
      </c>
      <c r="AO30" s="67" t="n">
        <f aca="false">(skill_rel-1+skill_spill)*AM29/B29-AT30</f>
        <v>0</v>
      </c>
      <c r="AP30" s="67" t="n">
        <f aca="false">talent_champ*AM29/(skill_base_share*B29)</f>
        <v>0</v>
      </c>
      <c r="AQ30" s="48" t="n">
        <v>400000</v>
      </c>
      <c r="AR30" s="50" t="n">
        <f aca="false">IF(AND(div_on=1,$A30&gt;=div_start),AQ30*MIN(div_max,div_rate*U30)*(1-div_comp*S30),0)</f>
        <v>0</v>
      </c>
      <c r="AS30" s="50" t="n">
        <f aca="false">AS29*(1-div_assim)+AR30</f>
        <v>0</v>
      </c>
      <c r="AT30" s="67" t="n">
        <f aca="false">(1-div_rel)*AS29/Economy!B29</f>
        <v>0</v>
      </c>
      <c r="AU30" s="50" t="n">
        <f aca="false">AU29*(1-skill_ret)+AE30</f>
        <v>0</v>
      </c>
      <c r="AV30" s="50" t="n">
        <f aca="false">AV29*(1+union_nat)+AR30</f>
        <v>0</v>
      </c>
      <c r="AW30" s="50" t="n">
        <f aca="false">AW29*(1+union_nat)+AE30*family_mult</f>
        <v>0</v>
      </c>
      <c r="AX30" s="70" t="n">
        <f aca="false">V30-(AV30+AW30)/1000000</f>
        <v>29.4</v>
      </c>
      <c r="AY30" s="50" t="n">
        <f aca="false">L30*gw_union</f>
        <v>0</v>
      </c>
      <c r="AZ30" s="49" t="n">
        <v>1.115</v>
      </c>
      <c r="BA30" s="50" t="n">
        <f aca="false">Economy!Q30*AZ30/lf_rate</f>
        <v>456.619047619048</v>
      </c>
      <c r="BB30" s="67" t="n">
        <f aca="false">bd_growth*AU29/W29</f>
        <v>0</v>
      </c>
      <c r="BC30" s="67" t="n">
        <f aca="false">tg_k*MIN(1,Economy!O29/BK29)</f>
        <v>0.000265858050401564</v>
      </c>
      <c r="BD30" s="67" t="n">
        <f aca="false">emu_g*S30</f>
        <v>0</v>
      </c>
      <c r="BE30" s="68" t="n">
        <f aca="false">BE29*(1-BB30-BC30+BD30)</f>
        <v>0.996105814216195</v>
      </c>
      <c r="BF30" s="49" t="n">
        <v>1</v>
      </c>
      <c r="BG30" s="56" t="n">
        <f aca="false">AU30*BA30*BE30*(skill_rel-1+skill_spill)/1000000</f>
        <v>0</v>
      </c>
      <c r="BH30" s="56" t="n">
        <f aca="false">union_disp*(Champions!AP30+Champions!AZ30)*(1-IF(union_resp=2,mkt_cut*S30,0))</f>
        <v>2.39628895934125</v>
      </c>
      <c r="BI30" s="56" t="n">
        <f aca="false">AY30*BA30*BE30/1000000</f>
        <v>0</v>
      </c>
      <c r="BJ30" s="50" t="n">
        <f aca="false">V30*Economy!Q30*AZ30</f>
        <v>5638.332</v>
      </c>
      <c r="BK30" s="50" t="n">
        <f aca="false">MAX(0.3*BJ30,AX30*Economy!Q30*AZ30*BE30*BF30-BG30-BH30-BI30)</f>
        <v>5613.97899872189</v>
      </c>
      <c r="BL30" s="66" t="n">
        <f aca="false">1-BK30/BJ30</f>
        <v>0.00431918540414311</v>
      </c>
      <c r="BM30" s="50" t="n">
        <f aca="false">MAX(0,BH30-BH29)*1000000/BA30</f>
        <v>2610.25057562073</v>
      </c>
      <c r="BN30" s="50" t="n">
        <f aca="false">BN29*(1-IF(AND($A30&gt;=1930,$A30&lt;=1932),0,union_reabsorb))+BM30</f>
        <v>3558.88232047701</v>
      </c>
      <c r="BO30" s="62" t="n">
        <v>0.04</v>
      </c>
      <c r="BP30" s="66" t="n">
        <f aca="false">BO30+BN30/(AX30*1000000*lf_rate)</f>
        <v>0.0402882152834853</v>
      </c>
    </row>
    <row r="31" customFormat="false" ht="14.25" hidden="false" customHeight="false" outlineLevel="0" collapsed="false">
      <c r="A31" s="64" t="n">
        <v>1871</v>
      </c>
      <c r="B31" s="50" t="n">
        <f aca="false">Economy!B31*lf_rate</f>
        <v>768245.31572819</v>
      </c>
      <c r="C31" s="50" t="n">
        <f aca="false">Economy!O31*1000000/(B31+L31)</f>
        <v>719.813808988237</v>
      </c>
      <c r="D31" s="50" t="n">
        <f aca="false">Champions!AP31*1000000/(C31*champ_prem)</f>
        <v>6898.58767299341</v>
      </c>
      <c r="E31" s="50" t="n">
        <f aca="false">D31*job_mult</f>
        <v>4829.01137109539</v>
      </c>
      <c r="F31" s="50" t="n">
        <f aca="false">D31+E31</f>
        <v>11727.5990440888</v>
      </c>
      <c r="G31" s="66" t="n">
        <f aca="false">F31/B31</f>
        <v>0.0152654351468094</v>
      </c>
      <c r="H31" s="50" t="n">
        <f aca="false">F31-F30</f>
        <v>1811.55195044629</v>
      </c>
      <c r="I31" s="66" t="n">
        <f aca="false">MAX(0.005,pac_u_base*IF(Paths!AC31=1,pac_u_war,1)+(okun*(1-Economy!G31)*(B31+L31)-MAX(0,L30-L31))/B31)</f>
        <v>0.009</v>
      </c>
      <c r="J31" s="50" t="n">
        <f aca="false">IF(AND(gw_on=1,$A31&gt;=gw_start),MIN(gw_cap*B30,gw_cover*F30+gw_gen*B30),0)</f>
        <v>0</v>
      </c>
      <c r="K31" s="50" t="n">
        <f aca="false">L30*gw_conv</f>
        <v>0</v>
      </c>
      <c r="L31" s="50" t="n">
        <f aca="false">MAX(0,L30-K31+gw_adj*(J31-L30))*MAX(0,1-gw_slump*(1-Economy!G31))</f>
        <v>0</v>
      </c>
      <c r="M31" s="50"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1.74489617505969</v>
      </c>
      <c r="U31" s="70" t="n">
        <f aca="false">MAX(0,T31-gap_base)</f>
        <v>0.244896175059692</v>
      </c>
      <c r="V31" s="71" t="n">
        <v>30.46</v>
      </c>
      <c r="W31" s="50" t="n">
        <f aca="false">V31*1000000*lf_rate*union_skill_share</f>
        <v>1535184</v>
      </c>
      <c r="X31" s="48" t="n">
        <v>33000</v>
      </c>
      <c r="Y31" s="50" t="n">
        <f aca="false">IF(AND(mig_endo=1,$A31&gt;=talent_start),talent_rate_u*W31*U31*(1-(1-bd_keep)*S31),0)</f>
        <v>0</v>
      </c>
      <c r="Z31" s="50" t="n">
        <f aca="false">IF(AND(mig_endo=1,$A31&gt;=talent_start),X31*MIN(0.5,talent_share_o*U31)*(1-eu_comp*S31),0)</f>
        <v>0</v>
      </c>
      <c r="AA31" s="48" t="n">
        <v>0</v>
      </c>
      <c r="AB31" s="50" t="n">
        <f aca="false">IF(AND(mig_endo=1,$A31&gt;=talent_start),AA31*MIN(0.5,talent_share_a*U31),0)</f>
        <v>0</v>
      </c>
      <c r="AC31" s="50" t="n">
        <f aca="false">entry_cap*People!B31</f>
        <v>5313.44877752911</v>
      </c>
      <c r="AD31" s="50" t="n">
        <f aca="false">MIN(AC31,Y31+Z31+AB31)</f>
        <v>0</v>
      </c>
      <c r="AE31" s="50" t="n">
        <f aca="false">IF(Y31+Z31+AB31&gt;0,AD31*Y31/(Y31+Z31+AB31),0)</f>
        <v>0</v>
      </c>
      <c r="AF31" s="50" t="n">
        <f aca="false">IF(Y31+Z31+AB31&gt;0,AD31*AB31/(Y31+Z31+AB31),0)</f>
        <v>0</v>
      </c>
      <c r="AG31" s="50" t="n">
        <f aca="false">AD31*family_mult</f>
        <v>0</v>
      </c>
      <c r="AH31" s="50" t="n">
        <f aca="false">AH30*(1+Paths!C31)+AG31</f>
        <v>0</v>
      </c>
      <c r="AI31" s="50" t="n">
        <f aca="false">IF(AND(mig_endo=1,$A31&gt;=talent_start),chain_rate*AH30,0)</f>
        <v>0</v>
      </c>
      <c r="AJ31" s="50" t="n">
        <f aca="false">IF(AND(mig_endo=1,$A31&gt;=talent_start),IF(H30&gt;0,H30*job_fill,H30*job_return)*job_family,0)</f>
        <v>0</v>
      </c>
      <c r="AK31" s="50" t="n">
        <f aca="false">K31*gw_conv_family</f>
        <v>0</v>
      </c>
      <c r="AL31" s="50" t="n">
        <f aca="false">AG31+AI31+AJ31+AK31+AR31</f>
        <v>0</v>
      </c>
      <c r="AM31" s="50" t="n">
        <f aca="false">AM30*(1-skill_ret)+AD31</f>
        <v>0</v>
      </c>
      <c r="AN31" s="67" t="n">
        <f aca="false">AM31/B31</f>
        <v>0</v>
      </c>
      <c r="AO31" s="67" t="n">
        <f aca="false">(skill_rel-1+skill_spill)*AM30/B30-AT31</f>
        <v>0</v>
      </c>
      <c r="AP31" s="67" t="n">
        <f aca="false">talent_champ*AM30/(skill_base_share*B30)</f>
        <v>0</v>
      </c>
      <c r="AQ31" s="48" t="n">
        <v>420000</v>
      </c>
      <c r="AR31" s="50" t="n">
        <f aca="false">IF(AND(div_on=1,$A31&gt;=div_start),AQ31*MIN(div_max,div_rate*U31)*(1-div_comp*S31),0)</f>
        <v>0</v>
      </c>
      <c r="AS31" s="50" t="n">
        <f aca="false">AS30*(1-div_assim)+AR31</f>
        <v>0</v>
      </c>
      <c r="AT31" s="67" t="n">
        <f aca="false">(1-div_rel)*AS30/Economy!B30</f>
        <v>0</v>
      </c>
      <c r="AU31" s="50" t="n">
        <f aca="false">AU30*(1-skill_ret)+AE31</f>
        <v>0</v>
      </c>
      <c r="AV31" s="50" t="n">
        <f aca="false">AV30*(1+union_nat)+AR31</f>
        <v>0</v>
      </c>
      <c r="AW31" s="50" t="n">
        <f aca="false">AW30*(1+union_nat)+AE31*family_mult</f>
        <v>0</v>
      </c>
      <c r="AX31" s="70" t="n">
        <f aca="false">V31-(AV31+AW31)/1000000</f>
        <v>30.46</v>
      </c>
      <c r="AY31" s="50" t="n">
        <f aca="false">L31*gw_union</f>
        <v>0</v>
      </c>
      <c r="AZ31" s="49" t="n">
        <v>1.114</v>
      </c>
      <c r="BA31" s="50" t="n">
        <f aca="false">Economy!Q31*AZ31/lf_rate</f>
        <v>458.861904761905</v>
      </c>
      <c r="BB31" s="67" t="n">
        <f aca="false">bd_growth*AU30/W30</f>
        <v>0</v>
      </c>
      <c r="BC31" s="67" t="n">
        <f aca="false">tg_k*MIN(1,Economy!O30/BK30)</f>
        <v>0.000274926366554663</v>
      </c>
      <c r="BD31" s="67" t="n">
        <f aca="false">emu_g*S31</f>
        <v>0</v>
      </c>
      <c r="BE31" s="68" t="n">
        <f aca="false">BE30*(1-BB31-BC31+BD31)</f>
        <v>0.995831958463989</v>
      </c>
      <c r="BF31" s="49" t="n">
        <v>1</v>
      </c>
      <c r="BG31" s="56" t="n">
        <f aca="false">AU31*BA31*BE31*(skill_rel-1+skill_spill)/1000000</f>
        <v>0</v>
      </c>
      <c r="BH31" s="56" t="n">
        <f aca="false">union_disp*(Champions!AP31+Champions!AZ31)*(1-IF(union_resp=2,mkt_cut*S31,0))</f>
        <v>2.9032437107647</v>
      </c>
      <c r="BI31" s="56" t="n">
        <f aca="false">AY31*BA31*BE31/1000000</f>
        <v>0</v>
      </c>
      <c r="BJ31" s="50" t="n">
        <f aca="false">V31*Economy!Q31*AZ31</f>
        <v>5870.31212</v>
      </c>
      <c r="BK31" s="50" t="n">
        <f aca="false">MAX(0.3*BJ31,AX31*Economy!Q31*AZ31*BE31*BF31-BG31-BH31-BI31)</f>
        <v>5842.94117154373</v>
      </c>
      <c r="BL31" s="66" t="n">
        <f aca="false">1-BK31/BJ31</f>
        <v>0.00466260530901297</v>
      </c>
      <c r="BM31" s="50" t="n">
        <f aca="false">MAX(0,BH31-BH30)*1000000/BA31</f>
        <v>1104.80897664953</v>
      </c>
      <c r="BN31" s="50" t="n">
        <f aca="false">BN30*(1-IF(AND($A31&gt;=1930,$A31&lt;=1932),0,union_reabsorb))+BM31</f>
        <v>3773.97071700729</v>
      </c>
      <c r="BO31" s="62" t="n">
        <v>0.04</v>
      </c>
      <c r="BP31" s="66" t="n">
        <f aca="false">BO31+BN31/(AX31*1000000*lf_rate)</f>
        <v>0.0402949981800494</v>
      </c>
    </row>
    <row r="32" customFormat="false" ht="14.25" hidden="false" customHeight="false" outlineLevel="0" collapsed="false">
      <c r="A32" s="61" t="n">
        <v>1872</v>
      </c>
      <c r="B32" s="50" t="n">
        <f aca="false">Economy!B32*lf_rate</f>
        <v>817433.176727025</v>
      </c>
      <c r="C32" s="50" t="n">
        <f aca="false">Economy!O32*1000000/(B32+L32)</f>
        <v>724.950355121758</v>
      </c>
      <c r="D32" s="50" t="n">
        <f aca="false">Champions!AP32*1000000/(C32*champ_prem)</f>
        <v>8082.39764844658</v>
      </c>
      <c r="E32" s="50" t="n">
        <f aca="false">D32*job_mult</f>
        <v>5657.67835391261</v>
      </c>
      <c r="F32" s="50" t="n">
        <f aca="false">D32+E32</f>
        <v>13740.0760023592</v>
      </c>
      <c r="G32" s="66" t="n">
        <f aca="false">F32/B32</f>
        <v>0.0168088063875435</v>
      </c>
      <c r="H32" s="50" t="n">
        <f aca="false">F32-F31</f>
        <v>2012.4769582704</v>
      </c>
      <c r="I32" s="66" t="n">
        <f aca="false">MAX(0.005,pac_u_base*IF(Paths!AC32=1,pac_u_war,1)+(okun*(1-Economy!G32)*(B32+L32)-MAX(0,L31-L32))/B32)</f>
        <v>0.015</v>
      </c>
      <c r="J32" s="50" t="n">
        <f aca="false">IF(AND(gw_on=1,$A32&gt;=gw_start),MIN(gw_cap*B31,gw_cover*F31+gw_gen*B31),0)</f>
        <v>0</v>
      </c>
      <c r="K32" s="50" t="n">
        <f aca="false">L31*gw_conv</f>
        <v>0</v>
      </c>
      <c r="L32" s="50" t="n">
        <f aca="false">MAX(0,L31-K32+gw_adj*(J32-L31))*MAX(0,1-gw_slump*(1-Economy!G32))</f>
        <v>0</v>
      </c>
      <c r="M32" s="50"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1.74752485419109</v>
      </c>
      <c r="U32" s="70" t="n">
        <f aca="false">MAX(0,T32-gap_base)</f>
        <v>0.247524854191095</v>
      </c>
      <c r="V32" s="71" t="n">
        <v>31.52</v>
      </c>
      <c r="W32" s="50" t="n">
        <f aca="false">V32*1000000*lf_rate*union_skill_share</f>
        <v>1588608</v>
      </c>
      <c r="X32" s="48" t="n">
        <v>36000</v>
      </c>
      <c r="Y32" s="50" t="n">
        <f aca="false">IF(AND(mig_endo=1,$A32&gt;=talent_start),talent_rate_u*W32*U32*(1-(1-bd_keep)*S32),0)</f>
        <v>0</v>
      </c>
      <c r="Z32" s="50" t="n">
        <f aca="false">IF(AND(mig_endo=1,$A32&gt;=talent_start),X32*MIN(0.5,talent_share_o*U32)*(1-eu_comp*S32),0)</f>
        <v>0</v>
      </c>
      <c r="AA32" s="48" t="n">
        <v>0</v>
      </c>
      <c r="AB32" s="50" t="n">
        <f aca="false">IF(AND(mig_endo=1,$A32&gt;=talent_start),AA32*MIN(0.5,talent_share_a*U32),0)</f>
        <v>0</v>
      </c>
      <c r="AC32" s="50" t="n">
        <f aca="false">entry_cap*People!B32</f>
        <v>5661.48430430217</v>
      </c>
      <c r="AD32" s="50" t="n">
        <f aca="false">MIN(AC32,Y32+Z32+AB32)</f>
        <v>0</v>
      </c>
      <c r="AE32" s="50" t="n">
        <f aca="false">IF(Y32+Z32+AB32&gt;0,AD32*Y32/(Y32+Z32+AB32),0)</f>
        <v>0</v>
      </c>
      <c r="AF32" s="50" t="n">
        <f aca="false">IF(Y32+Z32+AB32&gt;0,AD32*AB32/(Y32+Z32+AB32),0)</f>
        <v>0</v>
      </c>
      <c r="AG32" s="50" t="n">
        <f aca="false">AD32*family_mult</f>
        <v>0</v>
      </c>
      <c r="AH32" s="50" t="n">
        <f aca="false">AH31*(1+Paths!C32)+AG32</f>
        <v>0</v>
      </c>
      <c r="AI32" s="50" t="n">
        <f aca="false">IF(AND(mig_endo=1,$A32&gt;=talent_start),chain_rate*AH31,0)</f>
        <v>0</v>
      </c>
      <c r="AJ32" s="50" t="n">
        <f aca="false">IF(AND(mig_endo=1,$A32&gt;=talent_start),IF(H31&gt;0,H31*job_fill,H31*job_return)*job_family,0)</f>
        <v>0</v>
      </c>
      <c r="AK32" s="50" t="n">
        <f aca="false">K32*gw_conv_family</f>
        <v>0</v>
      </c>
      <c r="AL32" s="50" t="n">
        <f aca="false">AG32+AI32+AJ32+AK32+AR32</f>
        <v>0</v>
      </c>
      <c r="AM32" s="50" t="n">
        <f aca="false">AM31*(1-skill_ret)+AD32</f>
        <v>0</v>
      </c>
      <c r="AN32" s="67" t="n">
        <f aca="false">AM32/B32</f>
        <v>0</v>
      </c>
      <c r="AO32" s="67" t="n">
        <f aca="false">(skill_rel-1+skill_spill)*AM31/B31-AT32</f>
        <v>0</v>
      </c>
      <c r="AP32" s="67" t="n">
        <f aca="false">talent_champ*AM31/(skill_base_share*B31)</f>
        <v>0</v>
      </c>
      <c r="AQ32" s="48" t="n">
        <v>440000</v>
      </c>
      <c r="AR32" s="50" t="n">
        <f aca="false">IF(AND(div_on=1,$A32&gt;=div_start),AQ32*MIN(div_max,div_rate*U32)*(1-div_comp*S32),0)</f>
        <v>0</v>
      </c>
      <c r="AS32" s="50" t="n">
        <f aca="false">AS31*(1-div_assim)+AR32</f>
        <v>0</v>
      </c>
      <c r="AT32" s="67" t="n">
        <f aca="false">(1-div_rel)*AS31/Economy!B31</f>
        <v>0</v>
      </c>
      <c r="AU32" s="50" t="n">
        <f aca="false">AU31*(1-skill_ret)+AE32</f>
        <v>0</v>
      </c>
      <c r="AV32" s="50" t="n">
        <f aca="false">AV31*(1+union_nat)+AR32</f>
        <v>0</v>
      </c>
      <c r="AW32" s="50" t="n">
        <f aca="false">AW31*(1+union_nat)+AE32*family_mult</f>
        <v>0</v>
      </c>
      <c r="AX32" s="70" t="n">
        <f aca="false">V32-(AV32+AW32)/1000000</f>
        <v>31.52</v>
      </c>
      <c r="AY32" s="50" t="n">
        <f aca="false">L32*gw_union</f>
        <v>0</v>
      </c>
      <c r="AZ32" s="49" t="n">
        <v>1.113</v>
      </c>
      <c r="BA32" s="50" t="n">
        <f aca="false">Economy!Q32*AZ32/lf_rate</f>
        <v>458.45</v>
      </c>
      <c r="BB32" s="67" t="n">
        <f aca="false">bd_growth*AU31/W31</f>
        <v>0</v>
      </c>
      <c r="BC32" s="67" t="n">
        <f aca="false">tg_k*MIN(1,Economy!O31/BK31)</f>
        <v>0.000283929054246618</v>
      </c>
      <c r="BD32" s="67" t="n">
        <f aca="false">emu_g*S32</f>
        <v>0</v>
      </c>
      <c r="BE32" s="68" t="n">
        <f aca="false">BE31*(1-BB32-BC32+BD32)</f>
        <v>0.995549212837834</v>
      </c>
      <c r="BF32" s="49" t="n">
        <v>1</v>
      </c>
      <c r="BG32" s="56" t="n">
        <f aca="false">AU32*BA32*BE32*(skill_rel-1+skill_spill)/1000000</f>
        <v>0</v>
      </c>
      <c r="BH32" s="56" t="n">
        <f aca="false">union_disp*(Champions!AP32+Champions!AZ32)*(1-IF(union_resp=2,mkt_cut*S32,0))</f>
        <v>3.45096952296564</v>
      </c>
      <c r="BI32" s="56" t="n">
        <f aca="false">AY32*BA32*BE32/1000000</f>
        <v>0</v>
      </c>
      <c r="BJ32" s="50" t="n">
        <f aca="false">V32*Economy!Q32*AZ32</f>
        <v>6069.14448</v>
      </c>
      <c r="BK32" s="50" t="n">
        <f aca="false">MAX(0.3*BJ32,AX32*Economy!Q32*AZ32*BE32*BF32-BG32-BH32-BI32)</f>
        <v>6038.68104014012</v>
      </c>
      <c r="BL32" s="66" t="n">
        <f aca="false">1-BK32/BJ32</f>
        <v>0.00501939605495816</v>
      </c>
      <c r="BM32" s="50" t="n">
        <f aca="false">MAX(0,BH32-BH31)*1000000/BA32</f>
        <v>1194.73402159654</v>
      </c>
      <c r="BN32" s="50" t="n">
        <f aca="false">BN31*(1-IF(AND($A32&gt;=1930,$A32&lt;=1932),0,union_reabsorb))+BM32</f>
        <v>4025.21205935201</v>
      </c>
      <c r="BO32" s="62" t="n">
        <v>0.04</v>
      </c>
      <c r="BP32" s="66" t="n">
        <f aca="false">BO32+BN32/(AX32*1000000*lf_rate)</f>
        <v>0.0403040557816165</v>
      </c>
    </row>
    <row r="33" customFormat="false" ht="14.25" hidden="false" customHeight="false" outlineLevel="0" collapsed="false">
      <c r="A33" s="61" t="n">
        <v>1873</v>
      </c>
      <c r="B33" s="50" t="n">
        <f aca="false">Economy!B33*lf_rate</f>
        <v>872595.607084839</v>
      </c>
      <c r="C33" s="50" t="n">
        <f aca="false">Economy!O33*1000000/(B33+L33)</f>
        <v>720.350421045395</v>
      </c>
      <c r="D33" s="50" t="n">
        <f aca="false">Champions!AP33*1000000/(C33*champ_prem)</f>
        <v>9360.14087549457</v>
      </c>
      <c r="E33" s="50" t="n">
        <f aca="false">D33*job_mult</f>
        <v>6552.0986128462</v>
      </c>
      <c r="F33" s="50" t="n">
        <f aca="false">D33+E33</f>
        <v>15912.2394883408</v>
      </c>
      <c r="G33" s="66" t="n">
        <f aca="false">F33/B33</f>
        <v>0.0182355255506044</v>
      </c>
      <c r="H33" s="50" t="n">
        <f aca="false">F33-F32</f>
        <v>2172.16348598158</v>
      </c>
      <c r="I33" s="66" t="n">
        <f aca="false">MAX(0.005,pac_u_base*IF(Paths!AC33=1,pac_u_war,1)+(okun*(1-Economy!G33)*(B33+L33)-MAX(0,L32-L33))/B33)</f>
        <v>0.025</v>
      </c>
      <c r="J33" s="50" t="n">
        <f aca="false">IF(AND(gw_on=1,$A33&gt;=gw_start),MIN(gw_cap*B32,gw_cover*F32+gw_gen*B32),0)</f>
        <v>0</v>
      </c>
      <c r="K33" s="50" t="n">
        <f aca="false">L32*gw_conv</f>
        <v>0</v>
      </c>
      <c r="L33" s="50" t="n">
        <f aca="false">MAX(0,L32-K33+gw_adj*(J33-L32))*MAX(0,1-gw_slump*(1-Economy!G33))</f>
        <v>0</v>
      </c>
      <c r="M33" s="50"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1.75999508179849</v>
      </c>
      <c r="U33" s="70" t="n">
        <f aca="false">MAX(0,T33-gap_base)</f>
        <v>0.259995081798488</v>
      </c>
      <c r="V33" s="71" t="n">
        <v>32.58</v>
      </c>
      <c r="W33" s="50" t="n">
        <f aca="false">V33*1000000*lf_rate*union_skill_share</f>
        <v>1642032</v>
      </c>
      <c r="X33" s="48" t="n">
        <v>39000</v>
      </c>
      <c r="Y33" s="50" t="n">
        <f aca="false">IF(AND(mig_endo=1,$A33&gt;=talent_start),talent_rate_u*W33*U33*(1-(1-bd_keep)*S33),0)</f>
        <v>0</v>
      </c>
      <c r="Z33" s="50" t="n">
        <f aca="false">IF(AND(mig_endo=1,$A33&gt;=talent_start),X33*MIN(0.5,talent_share_o*U33)*(1-eu_comp*S33),0)</f>
        <v>0</v>
      </c>
      <c r="AA33" s="48" t="n">
        <v>0</v>
      </c>
      <c r="AB33" s="50" t="n">
        <f aca="false">IF(AND(mig_endo=1,$A33&gt;=talent_start),AA33*MIN(0.5,talent_share_a*U33),0)</f>
        <v>0</v>
      </c>
      <c r="AC33" s="50" t="n">
        <f aca="false">entry_cap*People!B33</f>
        <v>6016.13250608391</v>
      </c>
      <c r="AD33" s="50" t="n">
        <f aca="false">MIN(AC33,Y33+Z33+AB33)</f>
        <v>0</v>
      </c>
      <c r="AE33" s="50" t="n">
        <f aca="false">IF(Y33+Z33+AB33&gt;0,AD33*Y33/(Y33+Z33+AB33),0)</f>
        <v>0</v>
      </c>
      <c r="AF33" s="50" t="n">
        <f aca="false">IF(Y33+Z33+AB33&gt;0,AD33*AB33/(Y33+Z33+AB33),0)</f>
        <v>0</v>
      </c>
      <c r="AG33" s="50" t="n">
        <f aca="false">AD33*family_mult</f>
        <v>0</v>
      </c>
      <c r="AH33" s="50" t="n">
        <f aca="false">AH32*(1+Paths!C33)+AG33</f>
        <v>0</v>
      </c>
      <c r="AI33" s="50" t="n">
        <f aca="false">IF(AND(mig_endo=1,$A33&gt;=talent_start),chain_rate*AH32,0)</f>
        <v>0</v>
      </c>
      <c r="AJ33" s="50" t="n">
        <f aca="false">IF(AND(mig_endo=1,$A33&gt;=talent_start),IF(H32&gt;0,H32*job_fill,H32*job_return)*job_family,0)</f>
        <v>0</v>
      </c>
      <c r="AK33" s="50" t="n">
        <f aca="false">K33*gw_conv_family</f>
        <v>0</v>
      </c>
      <c r="AL33" s="50" t="n">
        <f aca="false">AG33+AI33+AJ33+AK33+AR33</f>
        <v>0</v>
      </c>
      <c r="AM33" s="50" t="n">
        <f aca="false">AM32*(1-skill_ret)+AD33</f>
        <v>0</v>
      </c>
      <c r="AN33" s="67" t="n">
        <f aca="false">AM33/B33</f>
        <v>0</v>
      </c>
      <c r="AO33" s="67" t="n">
        <f aca="false">(skill_rel-1+skill_spill)*AM32/B32-AT33</f>
        <v>0</v>
      </c>
      <c r="AP33" s="67" t="n">
        <f aca="false">talent_champ*AM32/(skill_base_share*B32)</f>
        <v>0</v>
      </c>
      <c r="AQ33" s="48" t="n">
        <v>460000</v>
      </c>
      <c r="AR33" s="50" t="n">
        <f aca="false">IF(AND(div_on=1,$A33&gt;=div_start),AQ33*MIN(div_max,div_rate*U33)*(1-div_comp*S33),0)</f>
        <v>0</v>
      </c>
      <c r="AS33" s="50" t="n">
        <f aca="false">AS32*(1-div_assim)+AR33</f>
        <v>0</v>
      </c>
      <c r="AT33" s="67" t="n">
        <f aca="false">(1-div_rel)*AS32/Economy!B32</f>
        <v>0</v>
      </c>
      <c r="AU33" s="50" t="n">
        <f aca="false">AU32*(1-skill_ret)+AE33</f>
        <v>0</v>
      </c>
      <c r="AV33" s="50" t="n">
        <f aca="false">AV32*(1+union_nat)+AR33</f>
        <v>0</v>
      </c>
      <c r="AW33" s="50" t="n">
        <f aca="false">AW32*(1+union_nat)+AE33*family_mult</f>
        <v>0</v>
      </c>
      <c r="AX33" s="70" t="n">
        <f aca="false">V33-(AV33+AW33)/1000000</f>
        <v>32.58</v>
      </c>
      <c r="AY33" s="50" t="n">
        <f aca="false">L33*gw_union</f>
        <v>0</v>
      </c>
      <c r="AZ33" s="49" t="n">
        <v>1.113</v>
      </c>
      <c r="BA33" s="50" t="n">
        <f aca="false">Economy!Q33*AZ33/lf_rate</f>
        <v>461.1</v>
      </c>
      <c r="BB33" s="67" t="n">
        <f aca="false">bd_growth*AU32/W32</f>
        <v>0</v>
      </c>
      <c r="BC33" s="67" t="n">
        <f aca="false">tg_k*MIN(1,Economy!O32/BK32)</f>
        <v>0.000294401277936753</v>
      </c>
      <c r="BD33" s="67" t="n">
        <f aca="false">emu_g*S33</f>
        <v>0</v>
      </c>
      <c r="BE33" s="68" t="n">
        <f aca="false">BE32*(1-BB33-BC33+BD33)</f>
        <v>0.995256121877325</v>
      </c>
      <c r="BF33" s="49" t="n">
        <v>1</v>
      </c>
      <c r="BG33" s="56" t="n">
        <f aca="false">AU33*BA33*BE33*(skill_rel-1+skill_spill)/1000000</f>
        <v>0</v>
      </c>
      <c r="BH33" s="56" t="n">
        <f aca="false">union_disp*(Champions!AP33+Champions!AZ33)*(1-IF(union_resp=2,mkt_cut*S33,0))</f>
        <v>3.95949243053092</v>
      </c>
      <c r="BI33" s="56" t="n">
        <f aca="false">AY33*BA33*BE33/1000000</f>
        <v>0</v>
      </c>
      <c r="BJ33" s="50" t="n">
        <f aca="false">V33*Economy!Q33*AZ33</f>
        <v>6309.50796</v>
      </c>
      <c r="BK33" s="50" t="n">
        <f aca="false">MAX(0.3*BJ33,AX33*Economy!Q33*AZ33*BE33*BF33-BG33-BH33-BI33)</f>
        <v>6275.61693079318</v>
      </c>
      <c r="BL33" s="66" t="n">
        <f aca="false">1-BK33/BJ33</f>
        <v>0.00537142189560191</v>
      </c>
      <c r="BM33" s="50" t="n">
        <f aca="false">MAX(0,BH33-BH32)*1000000/BA33</f>
        <v>1102.84733802924</v>
      </c>
      <c r="BN33" s="50" t="n">
        <f aca="false">BN32*(1-IF(AND($A33&gt;=1930,$A33&lt;=1932),0,union_reabsorb))+BM33</f>
        <v>4121.75638254325</v>
      </c>
      <c r="BO33" s="62" t="n">
        <v>0.04</v>
      </c>
      <c r="BP33" s="66" t="n">
        <f aca="false">BO33+BN33/(AX33*1000000*lf_rate)</f>
        <v>0.0403012187130977</v>
      </c>
    </row>
    <row r="34" customFormat="false" ht="14.25" hidden="false" customHeight="false" outlineLevel="0" collapsed="false">
      <c r="A34" s="61" t="n">
        <v>1874</v>
      </c>
      <c r="B34" s="50" t="n">
        <f aca="false">Economy!B34*lf_rate</f>
        <v>933846.123619451</v>
      </c>
      <c r="C34" s="50" t="n">
        <f aca="false">Economy!O34*1000000/(B34+L34)</f>
        <v>717.850842992836</v>
      </c>
      <c r="D34" s="50" t="n">
        <f aca="false">Champions!AP34*1000000/(C34*champ_prem)</f>
        <v>10487.6591396779</v>
      </c>
      <c r="E34" s="50" t="n">
        <f aca="false">D34*job_mult</f>
        <v>7341.36139777454</v>
      </c>
      <c r="F34" s="50" t="n">
        <f aca="false">D34+E34</f>
        <v>17829.0205374525</v>
      </c>
      <c r="G34" s="66" t="n">
        <f aca="false">F34/B34</f>
        <v>0.0190920324949787</v>
      </c>
      <c r="H34" s="50" t="n">
        <f aca="false">F34-F33</f>
        <v>1916.78104911169</v>
      </c>
      <c r="I34" s="66" t="n">
        <f aca="false">MAX(0.005,pac_u_base*IF(Paths!AC34=1,pac_u_war,1)+(okun*(1-Economy!G34)*(B34+L34)-MAX(0,L33-L34))/B34)</f>
        <v>0.03</v>
      </c>
      <c r="J34" s="50" t="n">
        <f aca="false">IF(AND(gw_on=1,$A34&gt;=gw_start),MIN(gw_cap*B33,gw_cover*F33+gw_gen*B33),0)</f>
        <v>0</v>
      </c>
      <c r="K34" s="50" t="n">
        <f aca="false">L33*gw_conv</f>
        <v>0</v>
      </c>
      <c r="L34" s="50" t="n">
        <f aca="false">MAX(0,L33-K34+gw_adj*(J34-L33))*MAX(0,1-gw_slump*(1-Economy!G34))</f>
        <v>0</v>
      </c>
      <c r="M34" s="50"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1.73877687838544</v>
      </c>
      <c r="U34" s="70" t="n">
        <f aca="false">MAX(0,T34-gap_base)</f>
        <v>0.238776878385436</v>
      </c>
      <c r="V34" s="71" t="n">
        <v>33.64</v>
      </c>
      <c r="W34" s="50" t="n">
        <f aca="false">V34*1000000*lf_rate*union_skill_share</f>
        <v>1695456</v>
      </c>
      <c r="X34" s="48" t="n">
        <v>42000</v>
      </c>
      <c r="Y34" s="50" t="n">
        <f aca="false">IF(AND(mig_endo=1,$A34&gt;=talent_start),talent_rate_u*W34*U34*(1-(1-bd_keep)*S34),0)</f>
        <v>0</v>
      </c>
      <c r="Z34" s="50" t="n">
        <f aca="false">IF(AND(mig_endo=1,$A34&gt;=talent_start),X34*MIN(0.5,talent_share_o*U34)*(1-eu_comp*S34),0)</f>
        <v>0</v>
      </c>
      <c r="AA34" s="48" t="n">
        <v>0</v>
      </c>
      <c r="AB34" s="50" t="n">
        <f aca="false">IF(AND(mig_endo=1,$A34&gt;=talent_start),AA34*MIN(0.5,talent_share_a*U34),0)</f>
        <v>0</v>
      </c>
      <c r="AC34" s="50" t="n">
        <f aca="false">entry_cap*People!B34</f>
        <v>6449.5190236995</v>
      </c>
      <c r="AD34" s="50" t="n">
        <f aca="false">MIN(AC34,Y34+Z34+AB34)</f>
        <v>0</v>
      </c>
      <c r="AE34" s="50" t="n">
        <f aca="false">IF(Y34+Z34+AB34&gt;0,AD34*Y34/(Y34+Z34+AB34),0)</f>
        <v>0</v>
      </c>
      <c r="AF34" s="50" t="n">
        <f aca="false">IF(Y34+Z34+AB34&gt;0,AD34*AB34/(Y34+Z34+AB34),0)</f>
        <v>0</v>
      </c>
      <c r="AG34" s="50" t="n">
        <f aca="false">AD34*family_mult</f>
        <v>0</v>
      </c>
      <c r="AH34" s="50" t="n">
        <f aca="false">AH33*(1+Paths!C34)+AG34</f>
        <v>0</v>
      </c>
      <c r="AI34" s="50" t="n">
        <f aca="false">IF(AND(mig_endo=1,$A34&gt;=talent_start),chain_rate*AH33,0)</f>
        <v>0</v>
      </c>
      <c r="AJ34" s="50" t="n">
        <f aca="false">IF(AND(mig_endo=1,$A34&gt;=talent_start),IF(H33&gt;0,H33*job_fill,H33*job_return)*job_family,0)</f>
        <v>0</v>
      </c>
      <c r="AK34" s="50" t="n">
        <f aca="false">K34*gw_conv_family</f>
        <v>0</v>
      </c>
      <c r="AL34" s="50" t="n">
        <f aca="false">AG34+AI34+AJ34+AK34+AR34</f>
        <v>0</v>
      </c>
      <c r="AM34" s="50" t="n">
        <f aca="false">AM33*(1-skill_ret)+AD34</f>
        <v>0</v>
      </c>
      <c r="AN34" s="67" t="n">
        <f aca="false">AM34/B34</f>
        <v>0</v>
      </c>
      <c r="AO34" s="67" t="n">
        <f aca="false">(skill_rel-1+skill_spill)*AM33/B33-AT34</f>
        <v>0</v>
      </c>
      <c r="AP34" s="67" t="n">
        <f aca="false">talent_champ*AM33/(skill_base_share*B33)</f>
        <v>0</v>
      </c>
      <c r="AQ34" s="48" t="n">
        <v>396000</v>
      </c>
      <c r="AR34" s="50" t="n">
        <f aca="false">IF(AND(div_on=1,$A34&gt;=div_start),AQ34*MIN(div_max,div_rate*U34)*(1-div_comp*S34),0)</f>
        <v>0</v>
      </c>
      <c r="AS34" s="50" t="n">
        <f aca="false">AS33*(1-div_assim)+AR34</f>
        <v>0</v>
      </c>
      <c r="AT34" s="67" t="n">
        <f aca="false">(1-div_rel)*AS33/Economy!B33</f>
        <v>0</v>
      </c>
      <c r="AU34" s="50" t="n">
        <f aca="false">AU33*(1-skill_ret)+AE34</f>
        <v>0</v>
      </c>
      <c r="AV34" s="50" t="n">
        <f aca="false">AV33*(1+union_nat)+AR34</f>
        <v>0</v>
      </c>
      <c r="AW34" s="50" t="n">
        <f aca="false">AW33*(1+union_nat)+AE34*family_mult</f>
        <v>0</v>
      </c>
      <c r="AX34" s="70" t="n">
        <f aca="false">V34-(AV34+AW34)/1000000</f>
        <v>33.64</v>
      </c>
      <c r="AY34" s="50" t="n">
        <f aca="false">L34*gw_union</f>
        <v>0</v>
      </c>
      <c r="AZ34" s="49" t="n">
        <v>1.112</v>
      </c>
      <c r="BA34" s="50" t="n">
        <f aca="false">Economy!Q34*AZ34/lf_rate</f>
        <v>460.685714285714</v>
      </c>
      <c r="BB34" s="67" t="n">
        <f aca="false">bd_growth*AU33/W33</f>
        <v>0</v>
      </c>
      <c r="BC34" s="67" t="n">
        <f aca="false">tg_k*MIN(1,Economy!O33/BK33)</f>
        <v>0.000300484216881517</v>
      </c>
      <c r="BD34" s="67" t="n">
        <f aca="false">emu_g*S34</f>
        <v>0</v>
      </c>
      <c r="BE34" s="68" t="n">
        <f aca="false">BE33*(1-BB34-BC34+BD34)</f>
        <v>0.994957063120946</v>
      </c>
      <c r="BF34" s="49" t="n">
        <v>1</v>
      </c>
      <c r="BG34" s="56" t="n">
        <f aca="false">AU34*BA34*BE34*(skill_rel-1+skill_spill)/1000000</f>
        <v>0</v>
      </c>
      <c r="BH34" s="56" t="n">
        <f aca="false">union_disp*(Champions!AP34+Champions!AZ34)*(1-IF(union_resp=2,mkt_cut*S34,0))</f>
        <v>4.46112219051179</v>
      </c>
      <c r="BI34" s="56" t="n">
        <f aca="false">AY34*BA34*BE34/1000000</f>
        <v>0</v>
      </c>
      <c r="BJ34" s="50" t="n">
        <f aca="false">V34*Economy!Q34*AZ34</f>
        <v>6508.93632</v>
      </c>
      <c r="BK34" s="50" t="n">
        <f aca="false">MAX(0.3*BJ34,AX34*Economy!Q34*AZ34*BE34*BF34-BG34-BH34-BI34)</f>
        <v>6471.65104279795</v>
      </c>
      <c r="BL34" s="66" t="n">
        <f aca="false">1-BK34/BJ34</f>
        <v>0.00572832109103383</v>
      </c>
      <c r="BM34" s="50" t="n">
        <f aca="false">MAX(0,BH34-BH33)*1000000/BA34</f>
        <v>1088.87630856676</v>
      </c>
      <c r="BN34" s="50" t="n">
        <f aca="false">BN33*(1-IF(AND($A34&gt;=1930,$A34&lt;=1932),0,union_reabsorb))+BM34</f>
        <v>4180.1935954742</v>
      </c>
      <c r="BO34" s="62" t="n">
        <v>0.04</v>
      </c>
      <c r="BP34" s="66" t="n">
        <f aca="false">BO34+BN34/(AX34*1000000*lf_rate)</f>
        <v>0.0402958633143278</v>
      </c>
    </row>
    <row r="35" customFormat="false" ht="14.25" hidden="false" customHeight="false" outlineLevel="0" collapsed="false">
      <c r="A35" s="61" t="n">
        <v>1875</v>
      </c>
      <c r="B35" s="50" t="n">
        <f aca="false">Economy!B35*lf_rate</f>
        <v>996260.39996822</v>
      </c>
      <c r="C35" s="50" t="n">
        <f aca="false">Economy!O35*1000000/(B35+L35)</f>
        <v>728.942598404497</v>
      </c>
      <c r="D35" s="50" t="n">
        <f aca="false">Champions!AP35*1000000/(C35*champ_prem)</f>
        <v>11561.3689375324</v>
      </c>
      <c r="E35" s="50" t="n">
        <f aca="false">D35*job_mult</f>
        <v>8092.95825627267</v>
      </c>
      <c r="F35" s="50" t="n">
        <f aca="false">D35+E35</f>
        <v>19654.3271938051</v>
      </c>
      <c r="G35" s="66" t="n">
        <f aca="false">F35/B35</f>
        <v>0.0197281024061902</v>
      </c>
      <c r="H35" s="50" t="n">
        <f aca="false">F35-F34</f>
        <v>1825.30665635259</v>
      </c>
      <c r="I35" s="66" t="n">
        <f aca="false">MAX(0.005,pac_u_base*IF(Paths!AC35=1,pac_u_war,1)+(okun*(1-Economy!G35)*(B35+L35)-MAX(0,L34-L35))/B35)</f>
        <v>0.025</v>
      </c>
      <c r="J35" s="50" t="n">
        <f aca="false">IF(AND(gw_on=1,$A35&gt;=gw_start),MIN(gw_cap*B34,gw_cover*F34+gw_gen*B34),0)</f>
        <v>0</v>
      </c>
      <c r="K35" s="50" t="n">
        <f aca="false">L34*gw_conv</f>
        <v>0</v>
      </c>
      <c r="L35" s="50" t="n">
        <f aca="false">MAX(0,L34-K35+gw_adj*(J35-L34))*MAX(0,1-gw_slump*(1-Economy!G35))</f>
        <v>0</v>
      </c>
      <c r="M35" s="50"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1.73274341412064</v>
      </c>
      <c r="U35" s="70" t="n">
        <f aca="false">MAX(0,T35-gap_base)</f>
        <v>0.232743414120639</v>
      </c>
      <c r="V35" s="71" t="n">
        <v>34.7</v>
      </c>
      <c r="W35" s="50" t="n">
        <f aca="false">V35*1000000*lf_rate*union_skill_share</f>
        <v>1748880</v>
      </c>
      <c r="X35" s="48" t="n">
        <v>45000</v>
      </c>
      <c r="Y35" s="50" t="n">
        <f aca="false">IF(AND(mig_endo=1,$A35&gt;=talent_start),talent_rate_u*W35*U35*(1-(1-bd_keep)*S35),0)</f>
        <v>0</v>
      </c>
      <c r="Z35" s="50" t="n">
        <f aca="false">IF(AND(mig_endo=1,$A35&gt;=talent_start),X35*MIN(0.5,talent_share_o*U35)*(1-eu_comp*S35),0)</f>
        <v>0</v>
      </c>
      <c r="AA35" s="48" t="n">
        <v>0</v>
      </c>
      <c r="AB35" s="50" t="n">
        <f aca="false">IF(AND(mig_endo=1,$A35&gt;=talent_start),AA35*MIN(0.5,talent_share_a*U35),0)</f>
        <v>0</v>
      </c>
      <c r="AC35" s="50" t="n">
        <f aca="false">entry_cap*People!B35</f>
        <v>6891.13988514979</v>
      </c>
      <c r="AD35" s="50" t="n">
        <f aca="false">MIN(AC35,Y35+Z35+AB35)</f>
        <v>0</v>
      </c>
      <c r="AE35" s="50" t="n">
        <f aca="false">IF(Y35+Z35+AB35&gt;0,AD35*Y35/(Y35+Z35+AB35),0)</f>
        <v>0</v>
      </c>
      <c r="AF35" s="50" t="n">
        <f aca="false">IF(Y35+Z35+AB35&gt;0,AD35*AB35/(Y35+Z35+AB35),0)</f>
        <v>0</v>
      </c>
      <c r="AG35" s="50" t="n">
        <f aca="false">AD35*family_mult</f>
        <v>0</v>
      </c>
      <c r="AH35" s="50" t="n">
        <f aca="false">AH34*(1+Paths!C35)+AG35</f>
        <v>0</v>
      </c>
      <c r="AI35" s="50" t="n">
        <f aca="false">IF(AND(mig_endo=1,$A35&gt;=talent_start),chain_rate*AH34,0)</f>
        <v>0</v>
      </c>
      <c r="AJ35" s="50" t="n">
        <f aca="false">IF(AND(mig_endo=1,$A35&gt;=talent_start),IF(H34&gt;0,H34*job_fill,H34*job_return)*job_family,0)</f>
        <v>0</v>
      </c>
      <c r="AK35" s="50" t="n">
        <f aca="false">K35*gw_conv_family</f>
        <v>0</v>
      </c>
      <c r="AL35" s="50" t="n">
        <f aca="false">AG35+AI35+AJ35+AK35+AR35</f>
        <v>0</v>
      </c>
      <c r="AM35" s="50" t="n">
        <f aca="false">AM34*(1-skill_ret)+AD35</f>
        <v>0</v>
      </c>
      <c r="AN35" s="67" t="n">
        <f aca="false">AM35/B35</f>
        <v>0</v>
      </c>
      <c r="AO35" s="67" t="n">
        <f aca="false">(skill_rel-1+skill_spill)*AM34/B34-AT35</f>
        <v>0</v>
      </c>
      <c r="AP35" s="67" t="n">
        <f aca="false">talent_champ*AM34/(skill_base_share*B34)</f>
        <v>0</v>
      </c>
      <c r="AQ35" s="48" t="n">
        <v>332000</v>
      </c>
      <c r="AR35" s="50" t="n">
        <f aca="false">IF(AND(div_on=1,$A35&gt;=div_start),AQ35*MIN(div_max,div_rate*U35)*(1-div_comp*S35),0)</f>
        <v>0</v>
      </c>
      <c r="AS35" s="50" t="n">
        <f aca="false">AS34*(1-div_assim)+AR35</f>
        <v>0</v>
      </c>
      <c r="AT35" s="67" t="n">
        <f aca="false">(1-div_rel)*AS34/Economy!B34</f>
        <v>0</v>
      </c>
      <c r="AU35" s="50" t="n">
        <f aca="false">AU34*(1-skill_ret)+AE35</f>
        <v>0</v>
      </c>
      <c r="AV35" s="50" t="n">
        <f aca="false">AV34*(1+union_nat)+AR35</f>
        <v>0</v>
      </c>
      <c r="AW35" s="50" t="n">
        <f aca="false">AW34*(1+union_nat)+AE35*family_mult</f>
        <v>0</v>
      </c>
      <c r="AX35" s="70" t="n">
        <f aca="false">V35-(AV35+AW35)/1000000</f>
        <v>34.7</v>
      </c>
      <c r="AY35" s="50" t="n">
        <f aca="false">L35*gw_union</f>
        <v>0</v>
      </c>
      <c r="AZ35" s="49" t="n">
        <v>1.111</v>
      </c>
      <c r="BA35" s="50" t="n">
        <f aca="false">Economy!Q35*AZ35/lf_rate</f>
        <v>462.916666666667</v>
      </c>
      <c r="BB35" s="67" t="n">
        <f aca="false">bd_growth*AU34/W34</f>
        <v>0</v>
      </c>
      <c r="BC35" s="67" t="n">
        <f aca="false">tg_k*MIN(1,Economy!O34/BK34)</f>
        <v>0.000310753263409576</v>
      </c>
      <c r="BD35" s="67" t="n">
        <f aca="false">emu_g*S35</f>
        <v>0</v>
      </c>
      <c r="BE35" s="68" t="n">
        <f aca="false">BE34*(1-BB35-BC35+BD35)</f>
        <v>0.994647876966629</v>
      </c>
      <c r="BF35" s="49" t="n">
        <v>1</v>
      </c>
      <c r="BG35" s="56" t="n">
        <f aca="false">AU35*BA35*BE35*(skill_rel-1+skill_spill)/1000000</f>
        <v>0</v>
      </c>
      <c r="BH35" s="56" t="n">
        <f aca="false">union_disp*(Champions!AP35+Champions!AZ35)*(1-IF(union_resp=2,mkt_cut*S35,0))</f>
        <v>5.02844095975008</v>
      </c>
      <c r="BI35" s="56" t="n">
        <f aca="false">AY35*BA35*BE35/1000000</f>
        <v>0</v>
      </c>
      <c r="BJ35" s="50" t="n">
        <f aca="false">V35*Economy!Q35*AZ35</f>
        <v>6746.5475</v>
      </c>
      <c r="BK35" s="50" t="n">
        <f aca="false">MAX(0.3*BJ35,AX35*Economy!Q35*AZ35*BE35*BF35-BG35-BH35-BI35)</f>
        <v>6705.41070676977</v>
      </c>
      <c r="BL35" s="66" t="n">
        <f aca="false">1-BK35/BJ35</f>
        <v>0.00609745847490617</v>
      </c>
      <c r="BM35" s="50" t="n">
        <f aca="false">MAX(0,BH35-BH34)*1000000/BA35</f>
        <v>1225.53109466417</v>
      </c>
      <c r="BN35" s="50" t="n">
        <f aca="false">BN34*(1-IF(AND($A35&gt;=1930,$A35&lt;=1932),0,union_reabsorb))+BM35</f>
        <v>4360.67629126982</v>
      </c>
      <c r="BO35" s="62" t="n">
        <v>0.04</v>
      </c>
      <c r="BP35" s="66" t="n">
        <f aca="false">BO35+BN35/(AX35*1000000*lf_rate)</f>
        <v>0.0402992092967799</v>
      </c>
    </row>
    <row r="36" customFormat="false" ht="14.25" hidden="false" customHeight="false" outlineLevel="0" collapsed="false">
      <c r="A36" s="61" t="n">
        <v>1876</v>
      </c>
      <c r="B36" s="50" t="n">
        <f aca="false">Economy!B36*lf_rate</f>
        <v>1059860.54756762</v>
      </c>
      <c r="C36" s="50" t="n">
        <f aca="false">Economy!O36*1000000/(B36+L36)</f>
        <v>747.004012682003</v>
      </c>
      <c r="D36" s="50" t="n">
        <f aca="false">Champions!AP36*1000000/(C36*champ_prem)</f>
        <v>12490.7799128441</v>
      </c>
      <c r="E36" s="50" t="n">
        <f aca="false">D36*job_mult</f>
        <v>8743.54593899086</v>
      </c>
      <c r="F36" s="50" t="n">
        <f aca="false">D36+E36</f>
        <v>21234.3258518349</v>
      </c>
      <c r="G36" s="66" t="n">
        <f aca="false">F36/B36</f>
        <v>0.0200350186640759</v>
      </c>
      <c r="H36" s="50" t="n">
        <f aca="false">F36-F35</f>
        <v>1579.99865802989</v>
      </c>
      <c r="I36" s="66" t="n">
        <f aca="false">MAX(0.005,pac_u_base*IF(Paths!AC36=1,pac_u_war,1)+(okun*(1-Economy!G36)*(B36+L36)-MAX(0,L35-L36))/B36)</f>
        <v>0.015</v>
      </c>
      <c r="J36" s="50" t="n">
        <f aca="false">IF(AND(gw_on=1,$A36&gt;=gw_start),MIN(gw_cap*B35,gw_cover*F35+gw_gen*B35),0)</f>
        <v>0</v>
      </c>
      <c r="K36" s="50" t="n">
        <f aca="false">L35*gw_conv</f>
        <v>0</v>
      </c>
      <c r="L36" s="50" t="n">
        <f aca="false">MAX(0,L35-K36+gw_adj*(J36-L35))*MAX(0,1-gw_slump*(1-Economy!G36))</f>
        <v>0</v>
      </c>
      <c r="M36" s="50"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1.74946223617079</v>
      </c>
      <c r="U36" s="70" t="n">
        <f aca="false">MAX(0,T36-gap_base)</f>
        <v>0.249462236170792</v>
      </c>
      <c r="V36" s="71" t="n">
        <v>35.76</v>
      </c>
      <c r="W36" s="50" t="n">
        <f aca="false">V36*1000000*lf_rate*union_skill_share</f>
        <v>1802304</v>
      </c>
      <c r="X36" s="48" t="n">
        <v>48000</v>
      </c>
      <c r="Y36" s="50" t="n">
        <f aca="false">IF(AND(mig_endo=1,$A36&gt;=talent_start),talent_rate_u*W36*U36*(1-(1-bd_keep)*S36),0)</f>
        <v>0</v>
      </c>
      <c r="Z36" s="50" t="n">
        <f aca="false">IF(AND(mig_endo=1,$A36&gt;=talent_start),X36*MIN(0.5,talent_share_o*U36)*(1-eu_comp*S36),0)</f>
        <v>0</v>
      </c>
      <c r="AA36" s="48" t="n">
        <v>0</v>
      </c>
      <c r="AB36" s="50" t="n">
        <f aca="false">IF(AND(mig_endo=1,$A36&gt;=talent_start),AA36*MIN(0.5,talent_share_a*U36),0)</f>
        <v>0</v>
      </c>
      <c r="AC36" s="50" t="n">
        <f aca="false">entry_cap*People!B36</f>
        <v>7341.15154296764</v>
      </c>
      <c r="AD36" s="50" t="n">
        <f aca="false">MIN(AC36,Y36+Z36+AB36)</f>
        <v>0</v>
      </c>
      <c r="AE36" s="50" t="n">
        <f aca="false">IF(Y36+Z36+AB36&gt;0,AD36*Y36/(Y36+Z36+AB36),0)</f>
        <v>0</v>
      </c>
      <c r="AF36" s="50" t="n">
        <f aca="false">IF(Y36+Z36+AB36&gt;0,AD36*AB36/(Y36+Z36+AB36),0)</f>
        <v>0</v>
      </c>
      <c r="AG36" s="50" t="n">
        <f aca="false">AD36*family_mult</f>
        <v>0</v>
      </c>
      <c r="AH36" s="50" t="n">
        <f aca="false">AH35*(1+Paths!C36)+AG36</f>
        <v>0</v>
      </c>
      <c r="AI36" s="50" t="n">
        <f aca="false">IF(AND(mig_endo=1,$A36&gt;=talent_start),chain_rate*AH35,0)</f>
        <v>0</v>
      </c>
      <c r="AJ36" s="50" t="n">
        <f aca="false">IF(AND(mig_endo=1,$A36&gt;=talent_start),IF(H35&gt;0,H35*job_fill,H35*job_return)*job_family,0)</f>
        <v>0</v>
      </c>
      <c r="AK36" s="50" t="n">
        <f aca="false">K36*gw_conv_family</f>
        <v>0</v>
      </c>
      <c r="AL36" s="50" t="n">
        <f aca="false">AG36+AI36+AJ36+AK36+AR36</f>
        <v>0</v>
      </c>
      <c r="AM36" s="50" t="n">
        <f aca="false">AM35*(1-skill_ret)+AD36</f>
        <v>0</v>
      </c>
      <c r="AN36" s="67" t="n">
        <f aca="false">AM36/B36</f>
        <v>0</v>
      </c>
      <c r="AO36" s="67" t="n">
        <f aca="false">(skill_rel-1+skill_spill)*AM35/B35-AT36</f>
        <v>0</v>
      </c>
      <c r="AP36" s="67" t="n">
        <f aca="false">talent_champ*AM35/(skill_base_share*B35)</f>
        <v>0</v>
      </c>
      <c r="AQ36" s="48" t="n">
        <v>268000</v>
      </c>
      <c r="AR36" s="50" t="n">
        <f aca="false">IF(AND(div_on=1,$A36&gt;=div_start),AQ36*MIN(div_max,div_rate*U36)*(1-div_comp*S36),0)</f>
        <v>0</v>
      </c>
      <c r="AS36" s="50" t="n">
        <f aca="false">AS35*(1-div_assim)+AR36</f>
        <v>0</v>
      </c>
      <c r="AT36" s="67" t="n">
        <f aca="false">(1-div_rel)*AS35/Economy!B35</f>
        <v>0</v>
      </c>
      <c r="AU36" s="50" t="n">
        <f aca="false">AU35*(1-skill_ret)+AE36</f>
        <v>0</v>
      </c>
      <c r="AV36" s="50" t="n">
        <f aca="false">AV35*(1+union_nat)+AR36</f>
        <v>0</v>
      </c>
      <c r="AW36" s="50" t="n">
        <f aca="false">AW35*(1+union_nat)+AE36*family_mult</f>
        <v>0</v>
      </c>
      <c r="AX36" s="70" t="n">
        <f aca="false">V36-(AV36+AW36)/1000000</f>
        <v>35.76</v>
      </c>
      <c r="AY36" s="50" t="n">
        <f aca="false">L36*gw_union</f>
        <v>0</v>
      </c>
      <c r="AZ36" s="49" t="n">
        <v>1.11</v>
      </c>
      <c r="BA36" s="50" t="n">
        <f aca="false">Economy!Q36*AZ36/lf_rate</f>
        <v>481</v>
      </c>
      <c r="BB36" s="67" t="n">
        <f aca="false">bd_growth*AU35/W35</f>
        <v>0</v>
      </c>
      <c r="BC36" s="67" t="n">
        <f aca="false">tg_k*MIN(1,Economy!O35/BK35)</f>
        <v>0.000324909245562163</v>
      </c>
      <c r="BD36" s="67" t="n">
        <f aca="false">emu_g*S36</f>
        <v>0</v>
      </c>
      <c r="BE36" s="68" t="n">
        <f aca="false">BE35*(1-BB36-BC36+BD36)</f>
        <v>0.994324706675324</v>
      </c>
      <c r="BF36" s="49" t="n">
        <v>1</v>
      </c>
      <c r="BG36" s="56" t="n">
        <f aca="false">AU36*BA36*BE36*(skill_rel-1+skill_spill)/1000000</f>
        <v>0</v>
      </c>
      <c r="BH36" s="56" t="n">
        <f aca="false">union_disp*(Champions!AP36+Champions!AZ36)*(1-IF(union_resp=2,mkt_cut*S36,0))</f>
        <v>5.57886181180405</v>
      </c>
      <c r="BI36" s="56" t="n">
        <f aca="false">AY36*BA36*BE36/1000000</f>
        <v>0</v>
      </c>
      <c r="BJ36" s="50" t="n">
        <f aca="false">V36*Economy!Q36*AZ36</f>
        <v>7224.2352</v>
      </c>
      <c r="BK36" s="50" t="n">
        <f aca="false">MAX(0.3*BJ36,AX36*Economy!Q36*AZ36*BE36*BF36-BG36-BH36-BI36)</f>
        <v>7177.65668438174</v>
      </c>
      <c r="BL36" s="66" t="n">
        <f aca="false">1-BK36/BJ36</f>
        <v>0.00644753587455949</v>
      </c>
      <c r="BM36" s="50" t="n">
        <f aca="false">MAX(0,BH36-BH35)*1000000/BA36</f>
        <v>1144.32609574628</v>
      </c>
      <c r="BN36" s="50" t="n">
        <f aca="false">BN35*(1-IF(AND($A36&gt;=1930,$A36&lt;=1932),0,union_reabsorb))+BM36</f>
        <v>4414.83331419865</v>
      </c>
      <c r="BO36" s="62" t="n">
        <v>0.04</v>
      </c>
      <c r="BP36" s="66" t="n">
        <f aca="false">BO36+BN36/(AX36*1000000*lf_rate)</f>
        <v>0.0402939459701048</v>
      </c>
    </row>
    <row r="37" customFormat="false" ht="14.25" hidden="false" customHeight="false" outlineLevel="0" collapsed="false">
      <c r="A37" s="61" t="n">
        <v>1877</v>
      </c>
      <c r="B37" s="50" t="n">
        <f aca="false">Economy!B37*lf_rate</f>
        <v>1124820.2979714</v>
      </c>
      <c r="C37" s="50" t="n">
        <f aca="false">Economy!O37*1000000/(B37+L37)</f>
        <v>737.049771348154</v>
      </c>
      <c r="D37" s="50" t="n">
        <f aca="false">Champions!AP37*1000000/(C37*champ_prem)</f>
        <v>13711.7164197233</v>
      </c>
      <c r="E37" s="50" t="n">
        <f aca="false">D37*job_mult</f>
        <v>9598.2014938063</v>
      </c>
      <c r="F37" s="50" t="n">
        <f aca="false">D37+E37</f>
        <v>23309.9179135296</v>
      </c>
      <c r="G37" s="66" t="n">
        <f aca="false">F37/B37</f>
        <v>0.0207232372633822</v>
      </c>
      <c r="H37" s="50" t="n">
        <f aca="false">F37-F36</f>
        <v>2075.59206169465</v>
      </c>
      <c r="I37" s="66" t="n">
        <f aca="false">MAX(0.005,pac_u_base*IF(Paths!AC37=1,pac_u_war,1)+(okun*(1-Economy!G37)*(B37+L37)-MAX(0,L36-L37))/B37)</f>
        <v>0.025</v>
      </c>
      <c r="J37" s="50" t="n">
        <f aca="false">IF(AND(gw_on=1,$A37&gt;=gw_start),MIN(gw_cap*B36,gw_cover*F36+gw_gen*B36),0)</f>
        <v>0</v>
      </c>
      <c r="K37" s="50" t="n">
        <f aca="false">L36*gw_conv</f>
        <v>0</v>
      </c>
      <c r="L37" s="50" t="n">
        <f aca="false">MAX(0,L36-K37+gw_adj*(J37-L36))*MAX(0,1-gw_slump*(1-Economy!G37))</f>
        <v>0</v>
      </c>
      <c r="M37" s="50"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1.72385541388155</v>
      </c>
      <c r="U37" s="70" t="n">
        <f aca="false">MAX(0,T37-gap_base)</f>
        <v>0.223855413881546</v>
      </c>
      <c r="V37" s="71" t="n">
        <v>36.82</v>
      </c>
      <c r="W37" s="50" t="n">
        <f aca="false">V37*1000000*lf_rate*union_skill_share</f>
        <v>1855728</v>
      </c>
      <c r="X37" s="48" t="n">
        <v>51000</v>
      </c>
      <c r="Y37" s="50" t="n">
        <f aca="false">IF(AND(mig_endo=1,$A37&gt;=talent_start),talent_rate_u*W37*U37*(1-(1-bd_keep)*S37),0)</f>
        <v>0</v>
      </c>
      <c r="Z37" s="50" t="n">
        <f aca="false">IF(AND(mig_endo=1,$A37&gt;=talent_start),X37*MIN(0.5,talent_share_o*U37)*(1-eu_comp*S37),0)</f>
        <v>0</v>
      </c>
      <c r="AA37" s="48" t="n">
        <v>0</v>
      </c>
      <c r="AB37" s="50" t="n">
        <f aca="false">IF(AND(mig_endo=1,$A37&gt;=talent_start),AA37*MIN(0.5,talent_share_a*U37),0)</f>
        <v>0</v>
      </c>
      <c r="AC37" s="50" t="n">
        <f aca="false">entry_cap*People!B37</f>
        <v>7799.71342228403</v>
      </c>
      <c r="AD37" s="50" t="n">
        <f aca="false">MIN(AC37,Y37+Z37+AB37)</f>
        <v>0</v>
      </c>
      <c r="AE37" s="50" t="n">
        <f aca="false">IF(Y37+Z37+AB37&gt;0,AD37*Y37/(Y37+Z37+AB37),0)</f>
        <v>0</v>
      </c>
      <c r="AF37" s="50" t="n">
        <f aca="false">IF(Y37+Z37+AB37&gt;0,AD37*AB37/(Y37+Z37+AB37),0)</f>
        <v>0</v>
      </c>
      <c r="AG37" s="50" t="n">
        <f aca="false">AD37*family_mult</f>
        <v>0</v>
      </c>
      <c r="AH37" s="50" t="n">
        <f aca="false">AH36*(1+Paths!C37)+AG37</f>
        <v>0</v>
      </c>
      <c r="AI37" s="50" t="n">
        <f aca="false">IF(AND(mig_endo=1,$A37&gt;=talent_start),chain_rate*AH36,0)</f>
        <v>0</v>
      </c>
      <c r="AJ37" s="50" t="n">
        <f aca="false">IF(AND(mig_endo=1,$A37&gt;=talent_start),IF(H36&gt;0,H36*job_fill,H36*job_return)*job_family,0)</f>
        <v>0</v>
      </c>
      <c r="AK37" s="50" t="n">
        <f aca="false">K37*gw_conv_family</f>
        <v>0</v>
      </c>
      <c r="AL37" s="50" t="n">
        <f aca="false">AG37+AI37+AJ37+AK37+AR37</f>
        <v>0</v>
      </c>
      <c r="AM37" s="50" t="n">
        <f aca="false">AM36*(1-skill_ret)+AD37</f>
        <v>0</v>
      </c>
      <c r="AN37" s="67" t="n">
        <f aca="false">AM37/B37</f>
        <v>0</v>
      </c>
      <c r="AO37" s="67" t="n">
        <f aca="false">(skill_rel-1+skill_spill)*AM36/B36-AT37</f>
        <v>0</v>
      </c>
      <c r="AP37" s="67" t="n">
        <f aca="false">talent_champ*AM36/(skill_base_share*B36)</f>
        <v>0</v>
      </c>
      <c r="AQ37" s="48" t="n">
        <v>204000</v>
      </c>
      <c r="AR37" s="50" t="n">
        <f aca="false">IF(AND(div_on=1,$A37&gt;=div_start),AQ37*MIN(div_max,div_rate*U37)*(1-div_comp*S37),0)</f>
        <v>0</v>
      </c>
      <c r="AS37" s="50" t="n">
        <f aca="false">AS36*(1-div_assim)+AR37</f>
        <v>0</v>
      </c>
      <c r="AT37" s="67" t="n">
        <f aca="false">(1-div_rel)*AS36/Economy!B36</f>
        <v>0</v>
      </c>
      <c r="AU37" s="50" t="n">
        <f aca="false">AU36*(1-skill_ret)+AE37</f>
        <v>0</v>
      </c>
      <c r="AV37" s="50" t="n">
        <f aca="false">AV36*(1+union_nat)+AR37</f>
        <v>0</v>
      </c>
      <c r="AW37" s="50" t="n">
        <f aca="false">AW36*(1+union_nat)+AE37*family_mult</f>
        <v>0</v>
      </c>
      <c r="AX37" s="70" t="n">
        <f aca="false">V37-(AV37+AW37)/1000000</f>
        <v>36.82</v>
      </c>
      <c r="AY37" s="50" t="n">
        <f aca="false">L37*gw_union</f>
        <v>0</v>
      </c>
      <c r="AZ37" s="49" t="n">
        <v>1.11</v>
      </c>
      <c r="BA37" s="50" t="n">
        <f aca="false">Economy!Q37*AZ37/lf_rate</f>
        <v>496.857142857143</v>
      </c>
      <c r="BB37" s="67" t="n">
        <f aca="false">bd_growth*AU36/W36</f>
        <v>0</v>
      </c>
      <c r="BC37" s="67" t="n">
        <f aca="false">tg_k*MIN(1,Economy!O36/BK36)</f>
        <v>0.000330910260853978</v>
      </c>
      <c r="BD37" s="67" t="n">
        <f aca="false">emu_g*S37</f>
        <v>0</v>
      </c>
      <c r="BE37" s="68" t="n">
        <f aca="false">BE36*(1-BB37-BC37+BD37)</f>
        <v>0.993995674427264</v>
      </c>
      <c r="BF37" s="49" t="n">
        <v>1</v>
      </c>
      <c r="BG37" s="56" t="n">
        <f aca="false">AU37*BA37*BE37*(skill_rel-1+skill_spill)/1000000</f>
        <v>0</v>
      </c>
      <c r="BH37" s="56" t="n">
        <f aca="false">union_disp*(Champions!AP37+Champions!AZ37)*(1-IF(union_resp=2,mkt_cut*S37,0))</f>
        <v>6.06085977158074</v>
      </c>
      <c r="BI37" s="56" t="n">
        <f aca="false">AY37*BA37*BE37/1000000</f>
        <v>0</v>
      </c>
      <c r="BJ37" s="50" t="n">
        <f aca="false">V37*Economy!Q37*AZ37</f>
        <v>7683.5976</v>
      </c>
      <c r="BK37" s="50" t="n">
        <f aca="false">MAX(0.3*BJ37,AX37*Economy!Q37*AZ37*BE37*BF37-BG37-BH37-BI37)</f>
        <v>7631.40191866813</v>
      </c>
      <c r="BL37" s="66" t="n">
        <f aca="false">1-BK37/BJ37</f>
        <v>0.00679313051634456</v>
      </c>
      <c r="BM37" s="50" t="n">
        <f aca="false">MAX(0,BH37-BH36)*1000000/BA37</f>
        <v>970.093651074433</v>
      </c>
      <c r="BN37" s="50" t="n">
        <f aca="false">BN36*(1-IF(AND($A37&gt;=1930,$A37&lt;=1932),0,union_reabsorb))+BM37</f>
        <v>4281.21863672342</v>
      </c>
      <c r="BO37" s="62" t="n">
        <v>0.04</v>
      </c>
      <c r="BP37" s="66" t="n">
        <f aca="false">BO37+BN37/(AX37*1000000*lf_rate)</f>
        <v>0.0402768435009909</v>
      </c>
    </row>
    <row r="38" customFormat="false" ht="14.25" hidden="false" customHeight="false" outlineLevel="0" collapsed="false">
      <c r="A38" s="61" t="n">
        <v>1878</v>
      </c>
      <c r="B38" s="50" t="n">
        <f aca="false">Economy!B38*lf_rate</f>
        <v>1191165.48363286</v>
      </c>
      <c r="C38" s="50" t="n">
        <f aca="false">Economy!O38*1000000/(B38+L38)</f>
        <v>741.556345891908</v>
      </c>
      <c r="D38" s="50" t="n">
        <f aca="false">Champions!AP38*1000000/(C38*champ_prem)</f>
        <v>14835.1704912351</v>
      </c>
      <c r="E38" s="50" t="n">
        <f aca="false">D38*job_mult</f>
        <v>10384.6193438645</v>
      </c>
      <c r="F38" s="50" t="n">
        <f aca="false">D38+E38</f>
        <v>25219.7898350996</v>
      </c>
      <c r="G38" s="66" t="n">
        <f aca="false">F38/B38</f>
        <v>0.0211723645300596</v>
      </c>
      <c r="H38" s="50" t="n">
        <f aca="false">F38-F37</f>
        <v>1909.87192157003</v>
      </c>
      <c r="I38" s="66" t="n">
        <f aca="false">MAX(0.005,pac_u_base*IF(Paths!AC38=1,pac_u_war,1)+(okun*(1-Economy!G38)*(B38+L38)-MAX(0,L37-L38))/B38)</f>
        <v>0.015</v>
      </c>
      <c r="J38" s="50" t="n">
        <f aca="false">IF(AND(gw_on=1,$A38&gt;=gw_start),MIN(gw_cap*B37,gw_cover*F37+gw_gen*B37),0)</f>
        <v>0</v>
      </c>
      <c r="K38" s="50" t="n">
        <f aca="false">L37*gw_conv</f>
        <v>0</v>
      </c>
      <c r="L38" s="50" t="n">
        <f aca="false">MAX(0,L37-K38+gw_adj*(J38-L37))*MAX(0,1-gw_slump*(1-Economy!G38))</f>
        <v>0</v>
      </c>
      <c r="M38" s="50"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1.64660055301183</v>
      </c>
      <c r="U38" s="70" t="n">
        <f aca="false">MAX(0,T38-gap_base)</f>
        <v>0.146600553011833</v>
      </c>
      <c r="V38" s="71" t="n">
        <v>37.88</v>
      </c>
      <c r="W38" s="50" t="n">
        <f aca="false">V38*1000000*lf_rate*union_skill_share</f>
        <v>1909152</v>
      </c>
      <c r="X38" s="48" t="n">
        <v>54000</v>
      </c>
      <c r="Y38" s="50" t="n">
        <f aca="false">IF(AND(mig_endo=1,$A38&gt;=talent_start),talent_rate_u*W38*U38*(1-(1-bd_keep)*S38),0)</f>
        <v>0</v>
      </c>
      <c r="Z38" s="50" t="n">
        <f aca="false">IF(AND(mig_endo=1,$A38&gt;=talent_start),X38*MIN(0.5,talent_share_o*U38)*(1-eu_comp*S38),0)</f>
        <v>0</v>
      </c>
      <c r="AA38" s="48" t="n">
        <v>0</v>
      </c>
      <c r="AB38" s="50" t="n">
        <f aca="false">IF(AND(mig_endo=1,$A38&gt;=talent_start),AA38*MIN(0.5,talent_share_a*U38),0)</f>
        <v>0</v>
      </c>
      <c r="AC38" s="50" t="n">
        <f aca="false">entry_cap*People!B38</f>
        <v>8269.14797730742</v>
      </c>
      <c r="AD38" s="50" t="n">
        <f aca="false">MIN(AC38,Y38+Z38+AB38)</f>
        <v>0</v>
      </c>
      <c r="AE38" s="50" t="n">
        <f aca="false">IF(Y38+Z38+AB38&gt;0,AD38*Y38/(Y38+Z38+AB38),0)</f>
        <v>0</v>
      </c>
      <c r="AF38" s="50" t="n">
        <f aca="false">IF(Y38+Z38+AB38&gt;0,AD38*AB38/(Y38+Z38+AB38),0)</f>
        <v>0</v>
      </c>
      <c r="AG38" s="50" t="n">
        <f aca="false">AD38*family_mult</f>
        <v>0</v>
      </c>
      <c r="AH38" s="50" t="n">
        <f aca="false">AH37*(1+Paths!C38)+AG38</f>
        <v>0</v>
      </c>
      <c r="AI38" s="50" t="n">
        <f aca="false">IF(AND(mig_endo=1,$A38&gt;=talent_start),chain_rate*AH37,0)</f>
        <v>0</v>
      </c>
      <c r="AJ38" s="50" t="n">
        <f aca="false">IF(AND(mig_endo=1,$A38&gt;=talent_start),IF(H37&gt;0,H37*job_fill,H37*job_return)*job_family,0)</f>
        <v>0</v>
      </c>
      <c r="AK38" s="50" t="n">
        <f aca="false">K38*gw_conv_family</f>
        <v>0</v>
      </c>
      <c r="AL38" s="50" t="n">
        <f aca="false">AG38+AI38+AJ38+AK38+AR38</f>
        <v>0</v>
      </c>
      <c r="AM38" s="50" t="n">
        <f aca="false">AM37*(1-skill_ret)+AD38</f>
        <v>0</v>
      </c>
      <c r="AN38" s="67" t="n">
        <f aca="false">AM38/B38</f>
        <v>0</v>
      </c>
      <c r="AO38" s="67" t="n">
        <f aca="false">(skill_rel-1+skill_spill)*AM37/B37-AT38</f>
        <v>0</v>
      </c>
      <c r="AP38" s="67" t="n">
        <f aca="false">talent_champ*AM37/(skill_base_share*B37)</f>
        <v>0</v>
      </c>
      <c r="AQ38" s="48" t="n">
        <v>140000</v>
      </c>
      <c r="AR38" s="50" t="n">
        <f aca="false">IF(AND(div_on=1,$A38&gt;=div_start),AQ38*MIN(div_max,div_rate*U38)*(1-div_comp*S38),0)</f>
        <v>0</v>
      </c>
      <c r="AS38" s="50" t="n">
        <f aca="false">AS37*(1-div_assim)+AR38</f>
        <v>0</v>
      </c>
      <c r="AT38" s="67" t="n">
        <f aca="false">(1-div_rel)*AS37/Economy!B37</f>
        <v>0</v>
      </c>
      <c r="AU38" s="50" t="n">
        <f aca="false">AU37*(1-skill_ret)+AE38</f>
        <v>0</v>
      </c>
      <c r="AV38" s="50" t="n">
        <f aca="false">AV37*(1+union_nat)+AR38</f>
        <v>0</v>
      </c>
      <c r="AW38" s="50" t="n">
        <f aca="false">AW37*(1+union_nat)+AE38*family_mult</f>
        <v>0</v>
      </c>
      <c r="AX38" s="70" t="n">
        <f aca="false">V38-(AV38+AW38)/1000000</f>
        <v>37.88</v>
      </c>
      <c r="AY38" s="50" t="n">
        <f aca="false">L38*gw_union</f>
        <v>0</v>
      </c>
      <c r="AZ38" s="49" t="n">
        <v>1.109</v>
      </c>
      <c r="BA38" s="50" t="n">
        <f aca="false">Economy!Q38*AZ38/lf_rate</f>
        <v>514.892857142857</v>
      </c>
      <c r="BB38" s="67" t="n">
        <f aca="false">bd_growth*AU37/W37</f>
        <v>0</v>
      </c>
      <c r="BC38" s="67" t="n">
        <f aca="false">tg_k*MIN(1,Economy!O37/BK37)</f>
        <v>0.000325909401285579</v>
      </c>
      <c r="BD38" s="67" t="n">
        <f aca="false">emu_g*S38</f>
        <v>0</v>
      </c>
      <c r="BE38" s="68" t="n">
        <f aca="false">BE37*(1-BB38-BC38+BD38)</f>
        <v>0.993671721892131</v>
      </c>
      <c r="BF38" s="49" t="n">
        <v>1</v>
      </c>
      <c r="BG38" s="56" t="n">
        <f aca="false">AU38*BA38*BE38*(skill_rel-1+skill_spill)/1000000</f>
        <v>0</v>
      </c>
      <c r="BH38" s="56" t="n">
        <f aca="false">union_disp*(Champions!AP38+Champions!AZ38)*(1-IF(union_resp=2,mkt_cut*S38,0))</f>
        <v>6.59740245432766</v>
      </c>
      <c r="BI38" s="56" t="n">
        <f aca="false">AY38*BA38*BE38/1000000</f>
        <v>0</v>
      </c>
      <c r="BJ38" s="50" t="n">
        <f aca="false">V38*Economy!Q38*AZ38</f>
        <v>8191.7394</v>
      </c>
      <c r="BK38" s="50" t="n">
        <f aca="false">MAX(0.3*BJ38,AX38*Economy!Q38*AZ38*BE38*BF38-BG38-BH38-BI38)</f>
        <v>8133.30239243529</v>
      </c>
      <c r="BL38" s="66" t="n">
        <f aca="false">1-BK38/BJ38</f>
        <v>0.00713365070728611</v>
      </c>
      <c r="BM38" s="50" t="n">
        <f aca="false">MAX(0,BH38-BH37)*1000000/BA38</f>
        <v>1042.0472440115</v>
      </c>
      <c r="BN38" s="50" t="n">
        <f aca="false">BN37*(1-IF(AND($A38&gt;=1930,$A38&lt;=1932),0,union_reabsorb))+BM38</f>
        <v>4252.96122155407</v>
      </c>
      <c r="BO38" s="62" t="n">
        <v>0.04</v>
      </c>
      <c r="BP38" s="66" t="n">
        <f aca="false">BO38+BN38/(AX38*1000000*lf_rate)</f>
        <v>0.0402673204368151</v>
      </c>
    </row>
    <row r="39" customFormat="false" ht="14.25" hidden="false" customHeight="false" outlineLevel="0" collapsed="false">
      <c r="A39" s="61" t="n">
        <v>1879</v>
      </c>
      <c r="B39" s="50" t="n">
        <f aca="false">Economy!B39*lf_rate</f>
        <v>1258771.22782188</v>
      </c>
      <c r="C39" s="50" t="n">
        <f aca="false">Economy!O39*1000000/(B39+L39)</f>
        <v>735.799019635024</v>
      </c>
      <c r="D39" s="50" t="n">
        <f aca="false">Champions!AP39*1000000/(C39*champ_prem)</f>
        <v>15993.3527679479</v>
      </c>
      <c r="E39" s="50" t="n">
        <f aca="false">D39*job_mult</f>
        <v>11195.3469375636</v>
      </c>
      <c r="F39" s="50" t="n">
        <f aca="false">D39+E39</f>
        <v>27188.6997055115</v>
      </c>
      <c r="G39" s="66" t="n">
        <f aca="false">F39/B39</f>
        <v>0.0215993971776409</v>
      </c>
      <c r="H39" s="50" t="n">
        <f aca="false">F39-F38</f>
        <v>1968.90987041187</v>
      </c>
      <c r="I39" s="66" t="n">
        <f aca="false">MAX(0.005,pac_u_base*IF(Paths!AC39=1,pac_u_war,1)+(okun*(1-Economy!G39)*(B39+L39)-MAX(0,L38-L39))/B39)</f>
        <v>0.015</v>
      </c>
      <c r="J39" s="50" t="n">
        <f aca="false">IF(AND(gw_on=1,$A39&gt;=gw_start),MIN(gw_cap*B38,gw_cover*F38+gw_gen*B38),0)</f>
        <v>0</v>
      </c>
      <c r="K39" s="50" t="n">
        <f aca="false">L38*gw_conv</f>
        <v>0</v>
      </c>
      <c r="L39" s="50" t="n">
        <f aca="false">MAX(0,L38-K39+gw_adj*(J39-L38))*MAX(0,1-gw_slump*(1-Economy!G39))</f>
        <v>0</v>
      </c>
      <c r="M39" s="50"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1.59719828345949</v>
      </c>
      <c r="U39" s="70" t="n">
        <f aca="false">MAX(0,T39-gap_base)</f>
        <v>0.0971982834594936</v>
      </c>
      <c r="V39" s="71" t="n">
        <v>38.94</v>
      </c>
      <c r="W39" s="50" t="n">
        <f aca="false">V39*1000000*lf_rate*union_skill_share</f>
        <v>1962576</v>
      </c>
      <c r="X39" s="48" t="n">
        <v>57000</v>
      </c>
      <c r="Y39" s="50" t="n">
        <f aca="false">IF(AND(mig_endo=1,$A39&gt;=talent_start),talent_rate_u*W39*U39*(1-(1-bd_keep)*S39),0)</f>
        <v>0</v>
      </c>
      <c r="Z39" s="50" t="n">
        <f aca="false">IF(AND(mig_endo=1,$A39&gt;=talent_start),X39*MIN(0.5,talent_share_o*U39)*(1-eu_comp*S39),0)</f>
        <v>0</v>
      </c>
      <c r="AA39" s="48" t="n">
        <v>0</v>
      </c>
      <c r="AB39" s="50" t="n">
        <f aca="false">IF(AND(mig_endo=1,$A39&gt;=talent_start),AA39*MIN(0.5,talent_share_a*U39),0)</f>
        <v>0</v>
      </c>
      <c r="AC39" s="50" t="n">
        <f aca="false">entry_cap*People!B39</f>
        <v>8747.50178887626</v>
      </c>
      <c r="AD39" s="50" t="n">
        <f aca="false">MIN(AC39,Y39+Z39+AB39)</f>
        <v>0</v>
      </c>
      <c r="AE39" s="50" t="n">
        <f aca="false">IF(Y39+Z39+AB39&gt;0,AD39*Y39/(Y39+Z39+AB39),0)</f>
        <v>0</v>
      </c>
      <c r="AF39" s="50" t="n">
        <f aca="false">IF(Y39+Z39+AB39&gt;0,AD39*AB39/(Y39+Z39+AB39),0)</f>
        <v>0</v>
      </c>
      <c r="AG39" s="50" t="n">
        <f aca="false">AD39*family_mult</f>
        <v>0</v>
      </c>
      <c r="AH39" s="50" t="n">
        <f aca="false">AH38*(1+Paths!C39)+AG39</f>
        <v>0</v>
      </c>
      <c r="AI39" s="50" t="n">
        <f aca="false">IF(AND(mig_endo=1,$A39&gt;=talent_start),chain_rate*AH38,0)</f>
        <v>0</v>
      </c>
      <c r="AJ39" s="50" t="n">
        <f aca="false">IF(AND(mig_endo=1,$A39&gt;=talent_start),IF(H38&gt;0,H38*job_fill,H38*job_return)*job_family,0)</f>
        <v>0</v>
      </c>
      <c r="AK39" s="50" t="n">
        <f aca="false">K39*gw_conv_family</f>
        <v>0</v>
      </c>
      <c r="AL39" s="50" t="n">
        <f aca="false">AG39+AI39+AJ39+AK39+AR39</f>
        <v>0</v>
      </c>
      <c r="AM39" s="50" t="n">
        <f aca="false">AM38*(1-skill_ret)+AD39</f>
        <v>0</v>
      </c>
      <c r="AN39" s="67" t="n">
        <f aca="false">AM39/B39</f>
        <v>0</v>
      </c>
      <c r="AO39" s="67" t="n">
        <f aca="false">(skill_rel-1+skill_spill)*AM38/B38-AT39</f>
        <v>0</v>
      </c>
      <c r="AP39" s="67" t="n">
        <f aca="false">talent_champ*AM38/(skill_base_share*B38)</f>
        <v>0</v>
      </c>
      <c r="AQ39" s="48" t="n">
        <v>302000</v>
      </c>
      <c r="AR39" s="50" t="n">
        <f aca="false">IF(AND(div_on=1,$A39&gt;=div_start),AQ39*MIN(div_max,div_rate*U39)*(1-div_comp*S39),0)</f>
        <v>0</v>
      </c>
      <c r="AS39" s="50" t="n">
        <f aca="false">AS38*(1-div_assim)+AR39</f>
        <v>0</v>
      </c>
      <c r="AT39" s="67" t="n">
        <f aca="false">(1-div_rel)*AS38/Economy!B38</f>
        <v>0</v>
      </c>
      <c r="AU39" s="50" t="n">
        <f aca="false">AU38*(1-skill_ret)+AE39</f>
        <v>0</v>
      </c>
      <c r="AV39" s="50" t="n">
        <f aca="false">AV38*(1+union_nat)+AR39</f>
        <v>0</v>
      </c>
      <c r="AW39" s="50" t="n">
        <f aca="false">AW38*(1+union_nat)+AE39*family_mult</f>
        <v>0</v>
      </c>
      <c r="AX39" s="70" t="n">
        <f aca="false">V39-(AV39+AW39)/1000000</f>
        <v>38.94</v>
      </c>
      <c r="AY39" s="50" t="n">
        <f aca="false">L39*gw_union</f>
        <v>0</v>
      </c>
      <c r="AZ39" s="49" t="n">
        <v>1.108</v>
      </c>
      <c r="BA39" s="50" t="n">
        <f aca="false">Economy!Q39*AZ39/lf_rate</f>
        <v>530.257142857143</v>
      </c>
      <c r="BB39" s="67" t="n">
        <f aca="false">bd_growth*AU38/W38</f>
        <v>0</v>
      </c>
      <c r="BC39" s="67" t="n">
        <f aca="false">tg_k*MIN(1,Economy!O38/BK38)</f>
        <v>0.000325814637440598</v>
      </c>
      <c r="BD39" s="67" t="n">
        <f aca="false">emu_g*S39</f>
        <v>0</v>
      </c>
      <c r="BE39" s="68" t="n">
        <f aca="false">BE38*(1-BB39-BC39+BD39)</f>
        <v>0.993347969100328</v>
      </c>
      <c r="BF39" s="49" t="n">
        <v>1</v>
      </c>
      <c r="BG39" s="56" t="n">
        <f aca="false">AU39*BA39*BE39*(skill_rel-1+skill_spill)/1000000</f>
        <v>0</v>
      </c>
      <c r="BH39" s="56" t="n">
        <f aca="false">union_disp*(Champions!AP39+Champions!AZ39)*(1-IF(union_resp=2,mkt_cut*S39,0))</f>
        <v>7.09077596007654</v>
      </c>
      <c r="BI39" s="56" t="n">
        <f aca="false">AY39*BA39*BE39/1000000</f>
        <v>0</v>
      </c>
      <c r="BJ39" s="50" t="n">
        <f aca="false">V39*Economy!Q39*AZ39</f>
        <v>8672.24952</v>
      </c>
      <c r="BK39" s="50" t="n">
        <f aca="false">MAX(0.3*BJ39,AX39*Economy!Q39*AZ39*BE39*BF39-BG39-BH39-BI39)</f>
        <v>8607.47067226322</v>
      </c>
      <c r="BL39" s="66" t="n">
        <f aca="false">1-BK39/BJ39</f>
        <v>0.00746967065320126</v>
      </c>
      <c r="BM39" s="50" t="n">
        <f aca="false">MAX(0,BH39-BH38)*1000000/BA39</f>
        <v>930.441979697762</v>
      </c>
      <c r="BN39" s="50" t="n">
        <f aca="false">BN38*(1-IF(AND($A39&gt;=1930,$A39&lt;=1932),0,union_reabsorb))+BM39</f>
        <v>4120.16289586331</v>
      </c>
      <c r="BO39" s="62" t="n">
        <v>0.04</v>
      </c>
      <c r="BP39" s="66" t="n">
        <f aca="false">BO39+BN39/(AX39*1000000*lf_rate)</f>
        <v>0.0402519237713615</v>
      </c>
    </row>
    <row r="40" customFormat="false" ht="14.25" hidden="false" customHeight="false" outlineLevel="0" collapsed="false">
      <c r="A40" s="61" t="n">
        <v>1880</v>
      </c>
      <c r="B40" s="50" t="n">
        <f aca="false">Economy!B40*lf_rate</f>
        <v>1329484.30231739</v>
      </c>
      <c r="C40" s="50" t="n">
        <f aca="false">Economy!O40*1000000/(B40+L40)</f>
        <v>735.982571005387</v>
      </c>
      <c r="D40" s="50" t="n">
        <f aca="false">Champions!AP40*1000000/(C40*champ_prem)</f>
        <v>17231.2461970283</v>
      </c>
      <c r="E40" s="50" t="n">
        <f aca="false">D40*job_mult</f>
        <v>12061.8723379198</v>
      </c>
      <c r="F40" s="50" t="n">
        <f aca="false">D40+E40</f>
        <v>29293.1185349481</v>
      </c>
      <c r="G40" s="66" t="n">
        <f aca="false">F40/B40</f>
        <v>0.0220334444595457</v>
      </c>
      <c r="H40" s="50" t="n">
        <f aca="false">F40-F39</f>
        <v>2104.41882943665</v>
      </c>
      <c r="I40" s="66" t="n">
        <f aca="false">MAX(0.005,pac_u_base*IF(Paths!AC40=1,pac_u_war,1)+(okun*(1-Economy!G40)*(B40+L40)-MAX(0,L39-L40))/B40)</f>
        <v>0.015</v>
      </c>
      <c r="J40" s="50" t="n">
        <f aca="false">IF(AND(gw_on=1,$A40&gt;=gw_start),MIN(gw_cap*B39,gw_cover*F39+gw_gen*B39),0)</f>
        <v>0</v>
      </c>
      <c r="K40" s="50" t="n">
        <f aca="false">L39*gw_conv</f>
        <v>0</v>
      </c>
      <c r="L40" s="50" t="n">
        <f aca="false">MAX(0,L39-K40+gw_adj*(J40-L39))*MAX(0,1-gw_slump*(1-Economy!G40))</f>
        <v>0</v>
      </c>
      <c r="M40" s="50"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1.5374904887896</v>
      </c>
      <c r="U40" s="70" t="n">
        <f aca="false">MAX(0,T40-gap_base)</f>
        <v>0.0374904887896028</v>
      </c>
      <c r="V40" s="71" t="n">
        <v>40</v>
      </c>
      <c r="W40" s="50" t="n">
        <f aca="false">V40*1000000*lf_rate*union_skill_share</f>
        <v>2016000</v>
      </c>
      <c r="X40" s="48" t="n">
        <v>60000</v>
      </c>
      <c r="Y40" s="50" t="n">
        <f aca="false">IF(AND(mig_endo=1,$A40&gt;=talent_start),talent_rate_u*W40*U40*(1-(1-bd_keep)*S40),0)</f>
        <v>755.808253998393</v>
      </c>
      <c r="Z40" s="50" t="n">
        <f aca="false">IF(AND(mig_endo=1,$A40&gt;=talent_start),X40*MIN(0.5,talent_share_o*U40)*(1-eu_comp*S40),0)</f>
        <v>607.345918391566</v>
      </c>
      <c r="AA40" s="48" t="n">
        <v>5000</v>
      </c>
      <c r="AB40" s="50" t="n">
        <f aca="false">IF(AND(mig_endo=1,$A40&gt;=talent_start),AA40*MIN(0.5,talent_share_a*U40),0)</f>
        <v>37.4904887896028</v>
      </c>
      <c r="AC40" s="50" t="n">
        <f aca="false">entry_cap*People!B40</f>
        <v>9234.94432286491</v>
      </c>
      <c r="AD40" s="50" t="n">
        <f aca="false">MIN(AC40,Y40+Z40+AB40)</f>
        <v>1400.64466117956</v>
      </c>
      <c r="AE40" s="50" t="n">
        <f aca="false">IF(Y40+Z40+AB40&gt;0,AD40*Y40/(Y40+Z40+AB40),0)</f>
        <v>755.808253998393</v>
      </c>
      <c r="AF40" s="50" t="n">
        <f aca="false">IF(Y40+Z40+AB40&gt;0,AD40*AB40/(Y40+Z40+AB40),0)</f>
        <v>37.4904887896028</v>
      </c>
      <c r="AG40" s="50" t="n">
        <f aca="false">AD40*family_mult</f>
        <v>3081.41825459504</v>
      </c>
      <c r="AH40" s="50" t="n">
        <f aca="false">AH39*(1+Paths!C40)+AG40</f>
        <v>3081.41825459504</v>
      </c>
      <c r="AI40" s="50" t="n">
        <f aca="false">IF(AND(mig_endo=1,$A40&gt;=talent_start),chain_rate*AH39,0)</f>
        <v>0</v>
      </c>
      <c r="AJ40" s="50" t="n">
        <f aca="false">IF(AND(mig_endo=1,$A40&gt;=talent_start),IF(H39&gt;0,H39*job_fill,H39*job_return)*job_family,0)</f>
        <v>1240.41321835948</v>
      </c>
      <c r="AK40" s="50" t="n">
        <f aca="false">K40*gw_conv_family</f>
        <v>0</v>
      </c>
      <c r="AL40" s="50" t="n">
        <f aca="false">AG40+AI40+AJ40+AK40+AR40</f>
        <v>8680.10079474584</v>
      </c>
      <c r="AM40" s="50" t="n">
        <f aca="false">AM39*(1-skill_ret)+AD40</f>
        <v>1400.64466117956</v>
      </c>
      <c r="AN40" s="67" t="n">
        <f aca="false">AM40/B40</f>
        <v>0.00105352478305921</v>
      </c>
      <c r="AO40" s="67" t="n">
        <f aca="false">(skill_rel-1+skill_spill)*AM39/B39-AT40</f>
        <v>0</v>
      </c>
      <c r="AP40" s="67" t="n">
        <f aca="false">talent_champ*AM39/(skill_base_share*B39)</f>
        <v>0</v>
      </c>
      <c r="AQ40" s="48" t="n">
        <v>465000</v>
      </c>
      <c r="AR40" s="50" t="n">
        <f aca="false">IF(AND(div_on=1,$A40&gt;=div_start),AQ40*MIN(div_max,div_rate*U40)*(1-div_comp*S40),0)</f>
        <v>4358.26932179133</v>
      </c>
      <c r="AS40" s="50" t="n">
        <f aca="false">AS39*(1-div_assim)+AR40</f>
        <v>4358.26932179133</v>
      </c>
      <c r="AT40" s="67" t="n">
        <f aca="false">(1-div_rel)*AS39/Economy!B39</f>
        <v>0</v>
      </c>
      <c r="AU40" s="50" t="n">
        <f aca="false">AU39*(1-skill_ret)+AE40</f>
        <v>755.808253998393</v>
      </c>
      <c r="AV40" s="50" t="n">
        <f aca="false">AV39*(1+union_nat)+AR40</f>
        <v>4358.26932179133</v>
      </c>
      <c r="AW40" s="50" t="n">
        <f aca="false">AW39*(1+union_nat)+AE40*family_mult</f>
        <v>1662.77815879646</v>
      </c>
      <c r="AX40" s="70" t="n">
        <f aca="false">V40-(AV40+AW40)/1000000</f>
        <v>39.9939789525194</v>
      </c>
      <c r="AY40" s="50" t="n">
        <f aca="false">L40*gw_union</f>
        <v>0</v>
      </c>
      <c r="AZ40" s="49" t="n">
        <v>1.107</v>
      </c>
      <c r="BA40" s="50" t="n">
        <f aca="false">Economy!Q40*AZ40/lf_rate</f>
        <v>548.228571428571</v>
      </c>
      <c r="BB40" s="67" t="n">
        <f aca="false">bd_growth*AU39/W39</f>
        <v>0</v>
      </c>
      <c r="BC40" s="67" t="n">
        <f aca="false">tg_k*MIN(1,Economy!O39/BK39)</f>
        <v>0.000322813520013743</v>
      </c>
      <c r="BD40" s="67" t="n">
        <f aca="false">emu_g*S40</f>
        <v>0</v>
      </c>
      <c r="BE40" s="68" t="n">
        <f aca="false">BE39*(1-BB40-BC40+BD40)</f>
        <v>0.993027302945824</v>
      </c>
      <c r="BF40" s="49" t="n">
        <v>1</v>
      </c>
      <c r="BG40" s="56" t="n">
        <f aca="false">AU40*BA40*BE40*(skill_rel-1+skill_spill)/1000000</f>
        <v>0.534906453560158</v>
      </c>
      <c r="BH40" s="56" t="n">
        <f aca="false">union_disp*(Champions!AP40+Champions!AZ40)*(1-IF(union_resp=2,mkt_cut*S40,0))</f>
        <v>7.87530448225566</v>
      </c>
      <c r="BI40" s="56" t="n">
        <f aca="false">AY40*BA40*BE40/1000000</f>
        <v>0</v>
      </c>
      <c r="BJ40" s="50" t="n">
        <f aca="false">V40*Economy!Q40*AZ40</f>
        <v>9210.24</v>
      </c>
      <c r="BK40" s="50" t="n">
        <f aca="false">MAX(0.3*BJ40,AX40*Economy!Q40*AZ40*BE40*BF40-BG40-BH40-BI40)</f>
        <v>9136.23286026308</v>
      </c>
      <c r="BL40" s="66" t="n">
        <f aca="false">1-BK40/BJ40</f>
        <v>0.00803531066909435</v>
      </c>
      <c r="BM40" s="50" t="n">
        <f aca="false">MAX(0,BH40-BH39)*1000000/BA40</f>
        <v>1431.02450887373</v>
      </c>
      <c r="BN40" s="50" t="n">
        <f aca="false">BN39*(1-IF(AND($A40&gt;=1930,$A40&lt;=1932),0,union_reabsorb))+BM40</f>
        <v>4521.14668077122</v>
      </c>
      <c r="BO40" s="62" t="n">
        <v>0.04</v>
      </c>
      <c r="BP40" s="66" t="n">
        <f aca="false">BO40+BN40/(AX40*1000000*lf_rate)</f>
        <v>0.0402691563889404</v>
      </c>
    </row>
    <row r="41" customFormat="false" ht="14.25" hidden="false" customHeight="false" outlineLevel="0" collapsed="false">
      <c r="A41" s="61" t="n">
        <v>1881</v>
      </c>
      <c r="B41" s="50" t="n">
        <f aca="false">Economy!B41*lf_rate</f>
        <v>1401829.04630696</v>
      </c>
      <c r="C41" s="50" t="n">
        <f aca="false">Economy!O41*1000000/(B41+L41)</f>
        <v>741.710220229273</v>
      </c>
      <c r="D41" s="50" t="n">
        <f aca="false">Champions!AP41*1000000/(C41*champ_prem)</f>
        <v>19671.5222291538</v>
      </c>
      <c r="E41" s="50" t="n">
        <f aca="false">D41*job_mult</f>
        <v>13770.0655604077</v>
      </c>
      <c r="F41" s="50" t="n">
        <f aca="false">D41+E41</f>
        <v>33441.5877895615</v>
      </c>
      <c r="G41" s="66" t="n">
        <f aca="false">F41/B41</f>
        <v>0.0238556818876464</v>
      </c>
      <c r="H41" s="50" t="n">
        <f aca="false">F41-F40</f>
        <v>4148.46925461335</v>
      </c>
      <c r="I41" s="66" t="n">
        <f aca="false">MAX(0.005,pac_u_base*IF(Paths!AC41=1,pac_u_war,1)+(okun*(1-Economy!G41)*(B41+L41)-MAX(0,L40-L41))/B41)</f>
        <v>0.015</v>
      </c>
      <c r="J41" s="50" t="n">
        <f aca="false">IF(AND(gw_on=1,$A41&gt;=gw_start),MIN(gw_cap*B40,gw_cover*F40+gw_gen*B40),0)</f>
        <v>0</v>
      </c>
      <c r="K41" s="50" t="n">
        <f aca="false">L40*gw_conv</f>
        <v>0</v>
      </c>
      <c r="L41" s="50" t="n">
        <f aca="false">MAX(0,L40-K41+gw_adj*(J41-L40))*MAX(0,1-gw_slump*(1-Economy!G41))</f>
        <v>0</v>
      </c>
      <c r="M41" s="50"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1.48611865299165</v>
      </c>
      <c r="U41" s="70" t="n">
        <f aca="false">MAX(0,T41-gap_base)</f>
        <v>0</v>
      </c>
      <c r="V41" s="71" t="n">
        <v>41</v>
      </c>
      <c r="W41" s="50" t="n">
        <f aca="false">V41*1000000*lf_rate*union_skill_share</f>
        <v>2066400</v>
      </c>
      <c r="X41" s="48" t="n">
        <v>62000</v>
      </c>
      <c r="Y41" s="50" t="n">
        <f aca="false">IF(AND(mig_endo=1,$A41&gt;=talent_start),talent_rate_u*W41*U41*(1-(1-bd_keep)*S41),0)</f>
        <v>0</v>
      </c>
      <c r="Z41" s="50" t="n">
        <f aca="false">IF(AND(mig_endo=1,$A41&gt;=talent_start),X41*MIN(0.5,talent_share_o*U41)*(1-eu_comp*S41),0)</f>
        <v>0</v>
      </c>
      <c r="AA41" s="48" t="n">
        <v>6000</v>
      </c>
      <c r="AB41" s="50" t="n">
        <f aca="false">IF(AND(mig_endo=1,$A41&gt;=talent_start),AA41*MIN(0.5,talent_share_a*U41),0)</f>
        <v>0</v>
      </c>
      <c r="AC41" s="50" t="n">
        <f aca="false">entry_cap*People!B41</f>
        <v>9757.68856738358</v>
      </c>
      <c r="AD41" s="50" t="n">
        <f aca="false">MIN(AC41,Y41+Z41+AB41)</f>
        <v>0</v>
      </c>
      <c r="AE41" s="50" t="n">
        <f aca="false">IF(Y41+Z41+AB41&gt;0,AD41*Y41/(Y41+Z41+AB41),0)</f>
        <v>0</v>
      </c>
      <c r="AF41" s="50" t="n">
        <f aca="false">IF(Y41+Z41+AB41&gt;0,AD41*AB41/(Y41+Z41+AB41),0)</f>
        <v>0</v>
      </c>
      <c r="AG41" s="50" t="n">
        <f aca="false">AD41*family_mult</f>
        <v>0</v>
      </c>
      <c r="AH41" s="50" t="n">
        <f aca="false">AH40*(1+Paths!C41)+AG41</f>
        <v>3139.96520143234</v>
      </c>
      <c r="AI41" s="50" t="n">
        <f aca="false">IF(AND(mig_endo=1,$A41&gt;=talent_start),chain_rate*AH40,0)</f>
        <v>46.2212738189255</v>
      </c>
      <c r="AJ41" s="50" t="n">
        <f aca="false">IF(AND(mig_endo=1,$A41&gt;=talent_start),IF(H40&gt;0,H40*job_fill,H40*job_return)*job_family,0)</f>
        <v>1325.78386254509</v>
      </c>
      <c r="AK41" s="50" t="n">
        <f aca="false">K41*gw_conv_family</f>
        <v>0</v>
      </c>
      <c r="AL41" s="50" t="n">
        <f aca="false">AG41+AI41+AJ41+AK41+AR41</f>
        <v>1372.00513636402</v>
      </c>
      <c r="AM41" s="50" t="n">
        <f aca="false">AM40*(1-skill_ret)+AD41</f>
        <v>1365.62854465007</v>
      </c>
      <c r="AN41" s="67" t="n">
        <f aca="false">AM41/B41</f>
        <v>0.00097417623657303</v>
      </c>
      <c r="AO41" s="67" t="n">
        <f aca="false">(skill_rel-1+skill_spill)*AM40/B40-AT41</f>
        <v>0.00102537486028917</v>
      </c>
      <c r="AP41" s="67" t="n">
        <f aca="false">talent_champ*AM40/(skill_base_share*B40)</f>
        <v>0.00210704956611842</v>
      </c>
      <c r="AQ41" s="48" t="n">
        <v>628000</v>
      </c>
      <c r="AR41" s="50" t="n">
        <f aca="false">IF(AND(div_on=1,$A41&gt;=div_start),AQ41*MIN(div_max,div_rate*U41)*(1-div_comp*S41),0)</f>
        <v>0</v>
      </c>
      <c r="AS41" s="50" t="n">
        <f aca="false">AS40*(1-div_assim)+AR41</f>
        <v>4140.35585570176</v>
      </c>
      <c r="AT41" s="67" t="n">
        <f aca="false">(1-div_rel)*AS40/Economy!B40</f>
        <v>0.000344207357687808</v>
      </c>
      <c r="AU41" s="50" t="n">
        <f aca="false">AU40*(1-skill_ret)+AE41</f>
        <v>736.913047648433</v>
      </c>
      <c r="AV41" s="50" t="n">
        <f aca="false">AV40*(1+union_nat)+AR41</f>
        <v>4414.92682297461</v>
      </c>
      <c r="AW41" s="50" t="n">
        <f aca="false">AW40*(1+union_nat)+AE41*family_mult</f>
        <v>1684.39427486082</v>
      </c>
      <c r="AX41" s="70" t="n">
        <f aca="false">V41-(AV41+AW41)/1000000</f>
        <v>40.9939006789022</v>
      </c>
      <c r="AY41" s="50" t="n">
        <f aca="false">L41*gw_union</f>
        <v>0</v>
      </c>
      <c r="AZ41" s="49" t="n">
        <v>1.107</v>
      </c>
      <c r="BA41" s="50" t="n">
        <f aca="false">Economy!Q41*AZ41/lf_rate</f>
        <v>545.592857142857</v>
      </c>
      <c r="BB41" s="67" t="n">
        <f aca="false">bd_growth*AU40/W40</f>
        <v>1.12471466368808E-005</v>
      </c>
      <c r="BC41" s="67" t="n">
        <f aca="false">tg_k*MIN(1,Economy!O40/BK40)</f>
        <v>0.00032129564446194</v>
      </c>
      <c r="BD41" s="67" t="n">
        <f aca="false">emu_g*S41</f>
        <v>0</v>
      </c>
      <c r="BE41" s="68" t="n">
        <f aca="false">BE40*(1-BB41-BC41+BD41)</f>
        <v>0.992697078874865</v>
      </c>
      <c r="BF41" s="49" t="n">
        <v>1</v>
      </c>
      <c r="BG41" s="56" t="n">
        <f aca="false">AU41*BA41*BE41*(skill_rel-1+skill_spill)/1000000</f>
        <v>0.518853819726322</v>
      </c>
      <c r="BH41" s="56" t="n">
        <f aca="false">union_disp*(Champions!AP41+Champions!AZ41)*(1-IF(union_resp=2,mkt_cut*S41,0))</f>
        <v>9.0508367539099</v>
      </c>
      <c r="BI41" s="56" t="n">
        <f aca="false">AY41*BA41*BE41/1000000</f>
        <v>0</v>
      </c>
      <c r="BJ41" s="50" t="n">
        <f aca="false">V41*Economy!Q41*AZ41</f>
        <v>9395.109</v>
      </c>
      <c r="BK41" s="50" t="n">
        <f aca="false">MAX(0.3*BJ41,AX41*Economy!Q41*AZ41*BE41*BF41-BG41-BH41-BI41)</f>
        <v>9315.5401230591</v>
      </c>
      <c r="BL41" s="66" t="n">
        <f aca="false">1-BK41/BJ41</f>
        <v>0.00846918081960502</v>
      </c>
      <c r="BM41" s="50" t="n">
        <f aca="false">MAX(0,BH41-BH40)*1000000/BA41</f>
        <v>2154.596154008</v>
      </c>
      <c r="BN41" s="50" t="n">
        <f aca="false">BN40*(1-IF(AND($A41&gt;=1930,$A41&lt;=1932),0,union_reabsorb))+BM41</f>
        <v>5545.45616458641</v>
      </c>
      <c r="BO41" s="62" t="n">
        <v>0.04</v>
      </c>
      <c r="BP41" s="66" t="n">
        <f aca="false">BO41+BN41/(AX41*1000000*lf_rate)</f>
        <v>0.0403220836963518</v>
      </c>
    </row>
    <row r="42" customFormat="false" ht="14.25" hidden="false" customHeight="false" outlineLevel="0" collapsed="false">
      <c r="A42" s="61" t="n">
        <v>1882</v>
      </c>
      <c r="B42" s="50" t="n">
        <f aca="false">Economy!B42*lf_rate</f>
        <v>1474578.38852137</v>
      </c>
      <c r="C42" s="50" t="n">
        <f aca="false">Economy!O42*1000000/(B42+L42)</f>
        <v>746.312819800952</v>
      </c>
      <c r="D42" s="50" t="n">
        <f aca="false">Champions!AP42*1000000/(C42*champ_prem)</f>
        <v>21514.7011066435</v>
      </c>
      <c r="E42" s="50" t="n">
        <f aca="false">D42*job_mult</f>
        <v>15060.2907746505</v>
      </c>
      <c r="F42" s="50" t="n">
        <f aca="false">D42+E42</f>
        <v>36574.991881294</v>
      </c>
      <c r="G42" s="66" t="n">
        <f aca="false">F42/B42</f>
        <v>0.0248036945109236</v>
      </c>
      <c r="H42" s="50" t="n">
        <f aca="false">F42-F41</f>
        <v>3133.40409173248</v>
      </c>
      <c r="I42" s="66" t="n">
        <f aca="false">MAX(0.005,pac_u_base*IF(Paths!AC42=1,pac_u_war,1)+(okun*(1-Economy!G42)*(B42+L42)-MAX(0,L41-L42))/B42)</f>
        <v>0.015</v>
      </c>
      <c r="J42" s="50" t="n">
        <f aca="false">IF(AND(gw_on=1,$A42&gt;=gw_start),MIN(gw_cap*B41,gw_cover*F41+gw_gen*B41),0)</f>
        <v>0</v>
      </c>
      <c r="K42" s="50" t="n">
        <f aca="false">L41*gw_conv</f>
        <v>0</v>
      </c>
      <c r="L42" s="50" t="n">
        <f aca="false">MAX(0,L41-K42+gw_adj*(J42-L41))*MAX(0,1-gw_slump*(1-Economy!G42))</f>
        <v>0</v>
      </c>
      <c r="M42" s="50"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1.50491928742171</v>
      </c>
      <c r="U42" s="70" t="n">
        <f aca="false">MAX(0,T42-gap_base)</f>
        <v>0.00491928742171321</v>
      </c>
      <c r="V42" s="71" t="n">
        <v>42</v>
      </c>
      <c r="W42" s="50" t="n">
        <f aca="false">V42*1000000*lf_rate*union_skill_share</f>
        <v>2116800</v>
      </c>
      <c r="X42" s="48" t="n">
        <v>64000</v>
      </c>
      <c r="Y42" s="50" t="n">
        <f aca="false">IF(AND(mig_endo=1,$A42&gt;=talent_start),talent_rate_u*W42*U42*(1-(1-bd_keep)*S42),0)</f>
        <v>104.131476142825</v>
      </c>
      <c r="Z42" s="50" t="n">
        <f aca="false">IF(AND(mig_endo=1,$A42&gt;=talent_start),X42*MIN(0.5,talent_share_o*U42)*(1-eu_comp*S42),0)</f>
        <v>85.0052866472043</v>
      </c>
      <c r="AA42" s="48" t="n">
        <v>6000</v>
      </c>
      <c r="AB42" s="50" t="n">
        <f aca="false">IF(AND(mig_endo=1,$A42&gt;=talent_start),AA42*MIN(0.5,talent_share_a*U42),0)</f>
        <v>5.90314490605586</v>
      </c>
      <c r="AC42" s="50" t="n">
        <f aca="false">entry_cap*People!B42</f>
        <v>10268.440665573</v>
      </c>
      <c r="AD42" s="50" t="n">
        <f aca="false">MIN(AC42,Y42+Z42+AB42)</f>
        <v>195.039907696086</v>
      </c>
      <c r="AE42" s="50" t="n">
        <f aca="false">IF(Y42+Z42+AB42&gt;0,AD42*Y42/(Y42+Z42+AB42),0)</f>
        <v>104.131476142825</v>
      </c>
      <c r="AF42" s="50" t="n">
        <f aca="false">IF(Y42+Z42+AB42&gt;0,AD42*AB42/(Y42+Z42+AB42),0)</f>
        <v>5.90314490605586</v>
      </c>
      <c r="AG42" s="50" t="n">
        <f aca="false">AD42*family_mult</f>
        <v>429.087796931388</v>
      </c>
      <c r="AH42" s="50" t="n">
        <f aca="false">AH41*(1+Paths!C42)+AG42</f>
        <v>3628.71233719094</v>
      </c>
      <c r="AI42" s="50" t="n">
        <f aca="false">IF(AND(mig_endo=1,$A42&gt;=talent_start),chain_rate*AH41,0)</f>
        <v>47.0994780214851</v>
      </c>
      <c r="AJ42" s="50" t="n">
        <f aca="false">IF(AND(mig_endo=1,$A42&gt;=talent_start),IF(H41&gt;0,H41*job_fill,H41*job_return)*job_family,0)</f>
        <v>2613.53563040641</v>
      </c>
      <c r="AK42" s="50" t="n">
        <f aca="false">K42*gw_conv_family</f>
        <v>0</v>
      </c>
      <c r="AL42" s="50" t="n">
        <f aca="false">AG42+AI42+AJ42+AK42+AR42</f>
        <v>4061.28217114764</v>
      </c>
      <c r="AM42" s="50" t="n">
        <f aca="false">AM41*(1-skill_ret)+AD42</f>
        <v>1526.52773872991</v>
      </c>
      <c r="AN42" s="67" t="n">
        <f aca="false">AM42/B42</f>
        <v>0.00103522996852045</v>
      </c>
      <c r="AO42" s="67" t="n">
        <f aca="false">(skill_rel-1+skill_spill)*AM41/B41-AT42</f>
        <v>0.000956307580248885</v>
      </c>
      <c r="AP42" s="67" t="n">
        <f aca="false">talent_champ*AM41/(skill_base_share*B41)</f>
        <v>0.00194835247314606</v>
      </c>
      <c r="AQ42" s="48" t="n">
        <v>790000</v>
      </c>
      <c r="AR42" s="50" t="n">
        <f aca="false">IF(AND(div_on=1,$A42&gt;=div_start),AQ42*MIN(div_max,div_rate*U42)*(1-div_comp*S42),0)</f>
        <v>971.55926578836</v>
      </c>
      <c r="AS42" s="50" t="n">
        <f aca="false">AS41*(1-div_assim)+AR42</f>
        <v>4904.89732870503</v>
      </c>
      <c r="AT42" s="67" t="n">
        <f aca="false">(1-div_rel)*AS41/Economy!B41</f>
        <v>0.000310121527296054</v>
      </c>
      <c r="AU42" s="50" t="n">
        <f aca="false">AU41*(1-skill_ret)+AE42</f>
        <v>822.621697600048</v>
      </c>
      <c r="AV42" s="50" t="n">
        <f aca="false">AV41*(1+union_nat)+AR42</f>
        <v>5443.88013746164</v>
      </c>
      <c r="AW42" s="50" t="n">
        <f aca="false">AW41*(1+union_nat)+AE42*family_mult</f>
        <v>1935.38064794822</v>
      </c>
      <c r="AX42" s="70" t="n">
        <f aca="false">V42-(AV42+AW42)/1000000</f>
        <v>41.9926207392146</v>
      </c>
      <c r="AY42" s="50" t="n">
        <f aca="false">L42*gw_union</f>
        <v>0</v>
      </c>
      <c r="AZ42" s="49" t="n">
        <v>1.106</v>
      </c>
      <c r="BA42" s="50" t="n">
        <f aca="false">Economy!Q42*AZ42/lf_rate</f>
        <v>545.1</v>
      </c>
      <c r="BB42" s="67" t="n">
        <f aca="false">bd_growth*AU41/W41</f>
        <v>1.06985053375208E-005</v>
      </c>
      <c r="BC42" s="67" t="n">
        <f aca="false">tg_k*MIN(1,Economy!O41/BK41)</f>
        <v>0.000334844008052649</v>
      </c>
      <c r="BD42" s="67" t="n">
        <f aca="false">emu_g*S42</f>
        <v>0</v>
      </c>
      <c r="BE42" s="68" t="n">
        <f aca="false">BE41*(1-BB42-BC42+BD42)</f>
        <v>0.992354059831196</v>
      </c>
      <c r="BF42" s="49" t="n">
        <v>1</v>
      </c>
      <c r="BG42" s="56" t="n">
        <f aca="false">AU42*BA42*BE42*(skill_rel-1+skill_spill)/1000000</f>
        <v>0.578477331921826</v>
      </c>
      <c r="BH42" s="56" t="n">
        <f aca="false">union_disp*(Champions!AP42+Champions!AZ42)*(1-IF(union_resp=2,mkt_cut*S42,0))</f>
        <v>10.1386269825878</v>
      </c>
      <c r="BI42" s="56" t="n">
        <f aca="false">AY42*BA42*BE42/1000000</f>
        <v>0</v>
      </c>
      <c r="BJ42" s="50" t="n">
        <f aca="false">V42*Economy!Q42*AZ42</f>
        <v>9615.564</v>
      </c>
      <c r="BK42" s="50" t="n">
        <f aca="false">MAX(0.3*BJ42,AX42*Economy!Q42*AZ42*BE42*BF42-BG42-BH42-BI42)</f>
        <v>9529.65036315451</v>
      </c>
      <c r="BL42" s="66" t="n">
        <f aca="false">1-BK42/BJ42</f>
        <v>0.00893485154334084</v>
      </c>
      <c r="BM42" s="50" t="n">
        <f aca="false">MAX(0,BH42-BH41)*1000000/BA42</f>
        <v>1995.57921239759</v>
      </c>
      <c r="BN42" s="50" t="n">
        <f aca="false">BN41*(1-IF(AND($A42&gt;=1930,$A42&lt;=1932),0,union_reabsorb))+BM42</f>
        <v>6154.6713358374</v>
      </c>
      <c r="BO42" s="62" t="n">
        <v>0.04</v>
      </c>
      <c r="BP42" s="66" t="n">
        <f aca="false">BO42+BN42/(AX42*1000000*lf_rate)</f>
        <v>0.0403489655828353</v>
      </c>
    </row>
    <row r="43" customFormat="false" ht="14.25" hidden="false" customHeight="false" outlineLevel="0" collapsed="false">
      <c r="A43" s="61" t="n">
        <v>1883</v>
      </c>
      <c r="B43" s="50" t="n">
        <f aca="false">Economy!B43*lf_rate</f>
        <v>1549622.45276713</v>
      </c>
      <c r="C43" s="50" t="n">
        <f aca="false">Economy!O43*1000000/(B43+L43)</f>
        <v>750.733551362685</v>
      </c>
      <c r="D43" s="50" t="n">
        <f aca="false">Champions!AP43*1000000/(C43*champ_prem)</f>
        <v>23350.9384811914</v>
      </c>
      <c r="E43" s="50" t="n">
        <f aca="false">D43*job_mult</f>
        <v>16345.656936834</v>
      </c>
      <c r="F43" s="50" t="n">
        <f aca="false">D43+E43</f>
        <v>39696.5954180253</v>
      </c>
      <c r="G43" s="66" t="n">
        <f aca="false">F43/B43</f>
        <v>0.0256169464679219</v>
      </c>
      <c r="H43" s="50" t="n">
        <f aca="false">F43-F42</f>
        <v>3121.60353673136</v>
      </c>
      <c r="I43" s="66" t="n">
        <f aca="false">MAX(0.005,pac_u_base*IF(Paths!AC43=1,pac_u_war,1)+(okun*(1-Economy!G43)*(B43+L43)-MAX(0,L42-L43))/B43)</f>
        <v>0.015</v>
      </c>
      <c r="J43" s="50" t="n">
        <f aca="false">IF(AND(gw_on=1,$A43&gt;=gw_start),MIN(gw_cap*B42,gw_cover*F42+gw_gen*B42),0)</f>
        <v>0</v>
      </c>
      <c r="K43" s="50" t="n">
        <f aca="false">L42*gw_conv</f>
        <v>0</v>
      </c>
      <c r="L43" s="50" t="n">
        <f aca="false">MAX(0,L42-K43+gw_adj*(J43-L42))*MAX(0,1-gw_slump*(1-Economy!G43))</f>
        <v>0</v>
      </c>
      <c r="M43" s="50"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1.51425789524831</v>
      </c>
      <c r="U43" s="70" t="n">
        <f aca="false">MAX(0,T43-gap_base)</f>
        <v>0.0142578952483086</v>
      </c>
      <c r="V43" s="71" t="n">
        <v>43</v>
      </c>
      <c r="W43" s="50" t="n">
        <f aca="false">V43*1000000*lf_rate*union_skill_share</f>
        <v>2167200</v>
      </c>
      <c r="X43" s="48" t="n">
        <v>66000</v>
      </c>
      <c r="Y43" s="50" t="n">
        <f aca="false">IF(AND(mig_endo=1,$A43&gt;=talent_start),talent_rate_u*W43*U43*(1-(1-bd_keep)*S43),0)</f>
        <v>308.997105821343</v>
      </c>
      <c r="Z43" s="50" t="n">
        <f aca="false">IF(AND(mig_endo=1,$A43&gt;=talent_start),X43*MIN(0.5,talent_share_o*U43)*(1-eu_comp*S43),0)</f>
        <v>254.075693324859</v>
      </c>
      <c r="AA43" s="48" t="n">
        <v>7000</v>
      </c>
      <c r="AB43" s="50" t="n">
        <f aca="false">IF(AND(mig_endo=1,$A43&gt;=talent_start),AA43*MIN(0.5,talent_share_a*U43),0)</f>
        <v>19.961053347632</v>
      </c>
      <c r="AC43" s="50" t="n">
        <f aca="false">entry_cap*People!B43</f>
        <v>10796.9648847323</v>
      </c>
      <c r="AD43" s="50" t="n">
        <f aca="false">MIN(AC43,Y43+Z43+AB43)</f>
        <v>583.033852493834</v>
      </c>
      <c r="AE43" s="50" t="n">
        <f aca="false">IF(Y43+Z43+AB43&gt;0,AD43*Y43/(Y43+Z43+AB43),0)</f>
        <v>308.997105821343</v>
      </c>
      <c r="AF43" s="50" t="n">
        <f aca="false">IF(Y43+Z43+AB43&gt;0,AD43*AB43/(Y43+Z43+AB43),0)</f>
        <v>19.961053347632</v>
      </c>
      <c r="AG43" s="50" t="n">
        <f aca="false">AD43*family_mult</f>
        <v>1282.67447548643</v>
      </c>
      <c r="AH43" s="50" t="n">
        <f aca="false">AH42*(1+Paths!C43)+AG43</f>
        <v>4980.332347084</v>
      </c>
      <c r="AI43" s="50" t="n">
        <f aca="false">IF(AND(mig_endo=1,$A43&gt;=talent_start),chain_rate*AH42,0)</f>
        <v>54.4306850578641</v>
      </c>
      <c r="AJ43" s="50" t="n">
        <f aca="false">IF(AND(mig_endo=1,$A43&gt;=talent_start),IF(H42&gt;0,H42*job_fill,H42*job_return)*job_family,0)</f>
        <v>1974.04457779146</v>
      </c>
      <c r="AK43" s="50" t="n">
        <f aca="false">K43*gw_conv_family</f>
        <v>0</v>
      </c>
      <c r="AL43" s="50" t="n">
        <f aca="false">AG43+AI43+AJ43+AK43+AR43</f>
        <v>5717.16956148783</v>
      </c>
      <c r="AM43" s="50" t="n">
        <f aca="false">AM42*(1-skill_ret)+AD43</f>
        <v>2071.39839775549</v>
      </c>
      <c r="AN43" s="67" t="n">
        <f aca="false">AM43/B43</f>
        <v>0.0013367116577697</v>
      </c>
      <c r="AO43" s="67" t="n">
        <f aca="false">(skill_rel-1+skill_spill)*AM42/B42-AT43</f>
        <v>0.000996536943897816</v>
      </c>
      <c r="AP43" s="67" t="n">
        <f aca="false">talent_champ*AM42/(skill_base_share*B42)</f>
        <v>0.00207045993704089</v>
      </c>
      <c r="AQ43" s="48" t="n">
        <v>675000</v>
      </c>
      <c r="AR43" s="50" t="n">
        <f aca="false">IF(AND(div_on=1,$A43&gt;=div_start),AQ43*MIN(div_max,div_rate*U43)*(1-div_comp*S43),0)</f>
        <v>2406.01982315207</v>
      </c>
      <c r="AS43" s="50" t="n">
        <f aca="false">AS42*(1-div_assim)+AR43</f>
        <v>7065.67228542185</v>
      </c>
      <c r="AT43" s="67" t="n">
        <f aca="false">(1-div_rel)*AS42/Economy!B42</f>
        <v>0.000349262015178765</v>
      </c>
      <c r="AU43" s="50" t="n">
        <f aca="false">AU42*(1-skill_ret)+AE43</f>
        <v>1111.05326098139</v>
      </c>
      <c r="AV43" s="50" t="n">
        <f aca="false">AV42*(1+union_nat)+AR43</f>
        <v>7920.67040240071</v>
      </c>
      <c r="AW43" s="50" t="n">
        <f aca="false">AW42*(1+union_nat)+AE43*family_mult</f>
        <v>2640.33422917851</v>
      </c>
      <c r="AX43" s="70" t="n">
        <f aca="false">V43-(AV43+AW43)/1000000</f>
        <v>42.9894389953684</v>
      </c>
      <c r="AY43" s="50" t="n">
        <f aca="false">L43*gw_union</f>
        <v>0</v>
      </c>
      <c r="AZ43" s="49" t="n">
        <v>1.105</v>
      </c>
      <c r="BA43" s="50" t="n">
        <f aca="false">Economy!Q43*AZ43/lf_rate</f>
        <v>541.976190476191</v>
      </c>
      <c r="BB43" s="67" t="n">
        <f aca="false">bd_growth*AU42/W42</f>
        <v>1.16584707709757E-005</v>
      </c>
      <c r="BC43" s="67" t="n">
        <f aca="false">tg_k*MIN(1,Economy!O42/BK42)</f>
        <v>0.000346444007875638</v>
      </c>
      <c r="BD43" s="67" t="n">
        <f aca="false">emu_g*S43</f>
        <v>0</v>
      </c>
      <c r="BE43" s="68" t="n">
        <f aca="false">BE42*(1-BB43-BC43+BD43)</f>
        <v>0.991998695382675</v>
      </c>
      <c r="BF43" s="49" t="n">
        <v>1</v>
      </c>
      <c r="BG43" s="56" t="n">
        <f aca="false">AU43*BA43*BE43*(skill_rel-1+skill_spill)/1000000</f>
        <v>0.776550206767781</v>
      </c>
      <c r="BH43" s="56" t="n">
        <f aca="false">union_disp*(Champions!AP43+Champions!AZ43)*(1-IF(union_resp=2,mkt_cut*S43,0))</f>
        <v>11.0914998054325</v>
      </c>
      <c r="BI43" s="56" t="n">
        <f aca="false">AY43*BA43*BE43/1000000</f>
        <v>0</v>
      </c>
      <c r="BJ43" s="50" t="n">
        <f aca="false">V43*Economy!Q43*AZ43</f>
        <v>9788.09</v>
      </c>
      <c r="BK43" s="50" t="n">
        <f aca="false">MAX(0.3*BJ43,AX43*Economy!Q43*AZ43*BE43*BF43-BG43-BH43-BI43)</f>
        <v>9695.5196939399</v>
      </c>
      <c r="BL43" s="66" t="n">
        <f aca="false">1-BK43/BJ43</f>
        <v>0.00945744328669873</v>
      </c>
      <c r="BM43" s="50" t="n">
        <f aca="false">MAX(0,BH43-BH42)*1000000/BA43</f>
        <v>1758.14517240603</v>
      </c>
      <c r="BN43" s="50" t="n">
        <f aca="false">BN42*(1-IF(AND($A43&gt;=1930,$A43&lt;=1932),0,union_reabsorb))+BM43</f>
        <v>6374.14867428408</v>
      </c>
      <c r="BO43" s="62" t="n">
        <v>0.04</v>
      </c>
      <c r="BP43" s="66" t="n">
        <f aca="false">BO43+BN43/(AX43*1000000*lf_rate)</f>
        <v>0.0403530296002285</v>
      </c>
    </row>
    <row r="44" customFormat="false" ht="14.25" hidden="false" customHeight="false" outlineLevel="0" collapsed="false">
      <c r="A44" s="61" t="n">
        <v>1884</v>
      </c>
      <c r="B44" s="50" t="n">
        <f aca="false">Economy!B44*lf_rate</f>
        <v>1627164.55171177</v>
      </c>
      <c r="C44" s="50" t="n">
        <f aca="false">Economy!O44*1000000/(B44+L44)</f>
        <v>740.421645907357</v>
      </c>
      <c r="D44" s="50" t="n">
        <f aca="false">Champions!AP44*1000000/(C44*champ_prem)</f>
        <v>25432.1502723862</v>
      </c>
      <c r="E44" s="50" t="n">
        <f aca="false">D44*job_mult</f>
        <v>17802.5051906703</v>
      </c>
      <c r="F44" s="50" t="n">
        <f aca="false">D44+E44</f>
        <v>43234.6554630565</v>
      </c>
      <c r="G44" s="66" t="n">
        <f aca="false">F44/B44</f>
        <v>0.026570549006598</v>
      </c>
      <c r="H44" s="50" t="n">
        <f aca="false">F44-F43</f>
        <v>3538.06004503116</v>
      </c>
      <c r="I44" s="66" t="n">
        <f aca="false">MAX(0.005,pac_u_base*IF(Paths!AC44=1,pac_u_war,1)+(okun*(1-Economy!G44)*(B44+L44)-MAX(0,L43-L44))/B44)</f>
        <v>0.025</v>
      </c>
      <c r="J44" s="50" t="n">
        <f aca="false">IF(AND(gw_on=1,$A44&gt;=gw_start),MIN(gw_cap*B43,gw_cover*F43+gw_gen*B43),0)</f>
        <v>0</v>
      </c>
      <c r="K44" s="50" t="n">
        <f aca="false">L43*gw_conv</f>
        <v>0</v>
      </c>
      <c r="L44" s="50" t="n">
        <f aca="false">MAX(0,L43-K44+gw_adj*(J44-L43))*MAX(0,1-gw_slump*(1-Economy!G44))</f>
        <v>0</v>
      </c>
      <c r="M44" s="50"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1.53062180374916</v>
      </c>
      <c r="U44" s="70" t="n">
        <f aca="false">MAX(0,T44-gap_base)</f>
        <v>0.0306218037491637</v>
      </c>
      <c r="V44" s="71" t="n">
        <v>44</v>
      </c>
      <c r="W44" s="50" t="n">
        <f aca="false">V44*1000000*lf_rate*union_skill_share</f>
        <v>2217600</v>
      </c>
      <c r="X44" s="48" t="n">
        <v>68000</v>
      </c>
      <c r="Y44" s="50" t="n">
        <f aca="false">IF(AND(mig_endo=1,$A44&gt;=talent_start),talent_rate_u*W44*U44*(1-(1-bd_keep)*S44),0)</f>
        <v>679.069119941454</v>
      </c>
      <c r="Z44" s="50" t="n">
        <f aca="false">IF(AND(mig_endo=1,$A44&gt;=talent_start),X44*MIN(0.5,talent_share_o*U44)*(1-eu_comp*S44),0)</f>
        <v>562.216316834645</v>
      </c>
      <c r="AA44" s="48" t="n">
        <v>8000</v>
      </c>
      <c r="AB44" s="50" t="n">
        <f aca="false">IF(AND(mig_endo=1,$A44&gt;=talent_start),AA44*MIN(0.5,talent_share_a*U44),0)</f>
        <v>48.9948859986619</v>
      </c>
      <c r="AC44" s="50" t="n">
        <f aca="false">entry_cap*People!B44</f>
        <v>11340.4987262267</v>
      </c>
      <c r="AD44" s="50" t="n">
        <f aca="false">MIN(AC44,Y44+Z44+AB44)</f>
        <v>1290.28032277476</v>
      </c>
      <c r="AE44" s="50" t="n">
        <f aca="false">IF(Y44+Z44+AB44&gt;0,AD44*Y44/(Y44+Z44+AB44),0)</f>
        <v>679.069119941454</v>
      </c>
      <c r="AF44" s="50" t="n">
        <f aca="false">IF(Y44+Z44+AB44&gt;0,AD44*AB44/(Y44+Z44+AB44),0)</f>
        <v>48.9948859986619</v>
      </c>
      <c r="AG44" s="50" t="n">
        <f aca="false">AD44*family_mult</f>
        <v>2838.61671010447</v>
      </c>
      <c r="AH44" s="50" t="n">
        <f aca="false">AH43*(1+Paths!C44)+AG44</f>
        <v>7913.57537178307</v>
      </c>
      <c r="AI44" s="50" t="n">
        <f aca="false">IF(AND(mig_endo=1,$A44&gt;=talent_start),chain_rate*AH43,0)</f>
        <v>74.7049852062601</v>
      </c>
      <c r="AJ44" s="50" t="n">
        <f aca="false">IF(AND(mig_endo=1,$A44&gt;=talent_start),IF(H43&gt;0,H43*job_fill,H43*job_return)*job_family,0)</f>
        <v>1966.61022814076</v>
      </c>
      <c r="AK44" s="50" t="n">
        <f aca="false">K44*gw_conv_family</f>
        <v>0</v>
      </c>
      <c r="AL44" s="50" t="n">
        <f aca="false">AG44+AI44+AJ44+AK44+AR44</f>
        <v>9166.98444833441</v>
      </c>
      <c r="AM44" s="50" t="n">
        <f aca="false">AM43*(1-skill_ret)+AD44</f>
        <v>3309.89376058637</v>
      </c>
      <c r="AN44" s="67" t="n">
        <f aca="false">AM44/B44</f>
        <v>0.0020341481487563</v>
      </c>
      <c r="AO44" s="67" t="n">
        <f aca="false">(skill_rel-1+skill_spill)*AM43/B43-AT44</f>
        <v>0.00125896622343663</v>
      </c>
      <c r="AP44" s="67" t="n">
        <f aca="false">talent_champ*AM43/(skill_base_share*B43)</f>
        <v>0.0026734233155394</v>
      </c>
      <c r="AQ44" s="48" t="n">
        <v>560000</v>
      </c>
      <c r="AR44" s="50" t="n">
        <f aca="false">IF(AND(div_on=1,$A44&gt;=div_start),AQ44*MIN(div_max,div_rate*U44)*(1-div_comp*S44),0)</f>
        <v>4287.05252488292</v>
      </c>
      <c r="AS44" s="50" t="n">
        <f aca="false">AS43*(1-div_assim)+AR44</f>
        <v>10999.4411960337</v>
      </c>
      <c r="AT44" s="67" t="n">
        <f aca="false">(1-div_rel)*AS43/Economy!B43</f>
        <v>0.000478758931663972</v>
      </c>
      <c r="AU44" s="50" t="n">
        <f aca="false">AU43*(1-skill_ret)+AE44</f>
        <v>1762.34604939831</v>
      </c>
      <c r="AV44" s="50" t="n">
        <f aca="false">AV43*(1+union_nat)+AR44</f>
        <v>12310.6916425148</v>
      </c>
      <c r="AW44" s="50" t="n">
        <f aca="false">AW43*(1+union_nat)+AE44*family_mult</f>
        <v>4168.61063802903</v>
      </c>
      <c r="AX44" s="70" t="n">
        <f aca="false">V44-(AV44+AW44)/1000000</f>
        <v>43.9835206977195</v>
      </c>
      <c r="AY44" s="50" t="n">
        <f aca="false">L44*gw_union</f>
        <v>0</v>
      </c>
      <c r="AZ44" s="49" t="n">
        <v>1.104</v>
      </c>
      <c r="BA44" s="50" t="n">
        <f aca="false">Economy!Q44*AZ44/lf_rate</f>
        <v>541.485714285714</v>
      </c>
      <c r="BB44" s="67" t="n">
        <f aca="false">bd_growth*AU43/W43</f>
        <v>1.53800285296427E-005</v>
      </c>
      <c r="BC44" s="67" t="n">
        <f aca="false">tg_k*MIN(1,Economy!O43/BK43)</f>
        <v>0.000359966336192695</v>
      </c>
      <c r="BD44" s="67" t="n">
        <f aca="false">emu_g*S44</f>
        <v>0</v>
      </c>
      <c r="BE44" s="68" t="n">
        <f aca="false">BE43*(1-BB44-BC44+BD44)</f>
        <v>0.991626352278554</v>
      </c>
      <c r="BF44" s="49" t="n">
        <v>1</v>
      </c>
      <c r="BG44" s="56" t="n">
        <f aca="false">AU44*BA44*BE44*(skill_rel-1+skill_spill)/1000000</f>
        <v>1.23018266957032</v>
      </c>
      <c r="BH44" s="56" t="n">
        <f aca="false">union_disp*(Champions!AP44+Champions!AZ44)*(1-IF(union_resp=2,mkt_cut*S44,0))</f>
        <v>12.123269882183</v>
      </c>
      <c r="BI44" s="56" t="n">
        <f aca="false">AY44*BA44*BE44/1000000</f>
        <v>0</v>
      </c>
      <c r="BJ44" s="50" t="n">
        <f aca="false">V44*Economy!Q44*AZ44</f>
        <v>10006.656</v>
      </c>
      <c r="BK44" s="50" t="n">
        <f aca="false">MAX(0.3*BJ44,AX44*Economy!Q44*AZ44*BE44*BF44-BG44-BH44-BI44)</f>
        <v>9905.7939290562</v>
      </c>
      <c r="BL44" s="66" t="n">
        <f aca="false">1-BK44/BJ44</f>
        <v>0.0100794981803916</v>
      </c>
      <c r="BM44" s="50" t="n">
        <f aca="false">MAX(0,BH44-BH43)*1000000/BA44</f>
        <v>1905.44283908113</v>
      </c>
      <c r="BN44" s="50" t="n">
        <f aca="false">BN43*(1-IF(AND($A44&gt;=1930,$A44&lt;=1932),0,union_reabsorb))+BM44</f>
        <v>6686.05434479418</v>
      </c>
      <c r="BO44" s="62" t="n">
        <v>0.04</v>
      </c>
      <c r="BP44" s="66" t="n">
        <f aca="false">BO44+BN44/(AX44*1000000*lf_rate)</f>
        <v>0.0403619350329143</v>
      </c>
    </row>
    <row r="45" customFormat="false" ht="14.25" hidden="false" customHeight="false" outlineLevel="0" collapsed="false">
      <c r="A45" s="61" t="n">
        <v>1885</v>
      </c>
      <c r="B45" s="50" t="n">
        <f aca="false">Economy!B45*lf_rate</f>
        <v>1706266.04301227</v>
      </c>
      <c r="C45" s="50" t="n">
        <f aca="false">Economy!O45*1000000/(B45+L45)</f>
        <v>746.045294262322</v>
      </c>
      <c r="D45" s="50" t="n">
        <f aca="false">Champions!AP45*1000000/(C45*champ_prem)</f>
        <v>29597.5320567636</v>
      </c>
      <c r="E45" s="50" t="n">
        <f aca="false">D45*job_mult</f>
        <v>20718.2724397345</v>
      </c>
      <c r="F45" s="50" t="n">
        <f aca="false">D45+E45</f>
        <v>50315.8044964981</v>
      </c>
      <c r="G45" s="66" t="n">
        <f aca="false">F45/B45</f>
        <v>0.0294888389196738</v>
      </c>
      <c r="H45" s="50" t="n">
        <f aca="false">F45-F44</f>
        <v>7081.14903344159</v>
      </c>
      <c r="I45" s="66" t="n">
        <f aca="false">MAX(0.005,pac_u_base*IF(Paths!AC45=1,pac_u_war,1)+(okun*(1-Economy!G45)*(B45+L45)-MAX(0,L44-L45))/B45)</f>
        <v>0.025</v>
      </c>
      <c r="J45" s="50" t="n">
        <f aca="false">IF(AND(gw_on=1,$A45&gt;=gw_start),MIN(gw_cap*B44,gw_cover*F44+gw_gen*B44),0)</f>
        <v>0</v>
      </c>
      <c r="K45" s="50" t="n">
        <f aca="false">L44*gw_conv</f>
        <v>0</v>
      </c>
      <c r="L45" s="50" t="n">
        <f aca="false">MAX(0,L44-K45+gw_adj*(J45-L44))*MAX(0,1-gw_slump*(1-Economy!G45))</f>
        <v>0</v>
      </c>
      <c r="M45" s="50"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1.50959753049073</v>
      </c>
      <c r="U45" s="70" t="n">
        <f aca="false">MAX(0,T45-gap_base)</f>
        <v>0.00959753049072809</v>
      </c>
      <c r="V45" s="71" t="n">
        <v>45</v>
      </c>
      <c r="W45" s="50" t="n">
        <f aca="false">V45*1000000*lf_rate*union_skill_share</f>
        <v>2268000</v>
      </c>
      <c r="X45" s="48" t="n">
        <v>70000</v>
      </c>
      <c r="Y45" s="50" t="n">
        <f aca="false">IF(AND(mig_endo=1,$A45&gt;=talent_start),talent_rate_u*W45*U45*(1-(1-bd_keep)*S45),0)</f>
        <v>217.671991529713</v>
      </c>
      <c r="Z45" s="50" t="n">
        <f aca="false">IF(AND(mig_endo=1,$A45&gt;=talent_start),X45*MIN(0.5,talent_share_o*U45)*(1-eu_comp*S45),0)</f>
        <v>181.393326274761</v>
      </c>
      <c r="AA45" s="48" t="n">
        <v>8000</v>
      </c>
      <c r="AB45" s="50" t="n">
        <f aca="false">IF(AND(mig_endo=1,$A45&gt;=talent_start),AA45*MIN(0.5,talent_share_a*U45),0)</f>
        <v>15.3560487851649</v>
      </c>
      <c r="AC45" s="50" t="n">
        <f aca="false">entry_cap*People!B45</f>
        <v>11904.70915537</v>
      </c>
      <c r="AD45" s="50" t="n">
        <f aca="false">MIN(AC45,Y45+Z45+AB45)</f>
        <v>414.421366589639</v>
      </c>
      <c r="AE45" s="50" t="n">
        <f aca="false">IF(Y45+Z45+AB45&gt;0,AD45*Y45/(Y45+Z45+AB45),0)</f>
        <v>217.671991529713</v>
      </c>
      <c r="AF45" s="50" t="n">
        <f aca="false">IF(Y45+Z45+AB45&gt;0,AD45*AB45/(Y45+Z45+AB45),0)</f>
        <v>15.3560487851649</v>
      </c>
      <c r="AG45" s="50" t="n">
        <f aca="false">AD45*family_mult</f>
        <v>911.727006497206</v>
      </c>
      <c r="AH45" s="50" t="n">
        <f aca="false">AH44*(1+Paths!C45)+AG45</f>
        <v>8975.66031034416</v>
      </c>
      <c r="AI45" s="50" t="n">
        <f aca="false">IF(AND(mig_endo=1,$A45&gt;=talent_start),chain_rate*AH44,0)</f>
        <v>118.703630576746</v>
      </c>
      <c r="AJ45" s="50" t="n">
        <f aca="false">IF(AND(mig_endo=1,$A45&gt;=talent_start),IF(H44&gt;0,H44*job_fill,H44*job_return)*job_family,0)</f>
        <v>2228.97782836963</v>
      </c>
      <c r="AK45" s="50" t="n">
        <f aca="false">K45*gw_conv_family</f>
        <v>0</v>
      </c>
      <c r="AL45" s="50" t="n">
        <f aca="false">AG45+AI45+AJ45+AK45+AR45</f>
        <v>4327.13373253708</v>
      </c>
      <c r="AM45" s="50" t="n">
        <f aca="false">AM44*(1-skill_ret)+AD45</f>
        <v>3641.56778316135</v>
      </c>
      <c r="AN45" s="67" t="n">
        <f aca="false">AM45/B45</f>
        <v>0.00213423211349413</v>
      </c>
      <c r="AO45" s="67" t="n">
        <f aca="false">(skill_rel-1+skill_spill)*AM44/B44-AT45</f>
        <v>0.0019346049297025</v>
      </c>
      <c r="AP45" s="67" t="n">
        <f aca="false">talent_champ*AM44/(skill_base_share*B44)</f>
        <v>0.0040682962975126</v>
      </c>
      <c r="AQ45" s="48" t="n">
        <v>445000</v>
      </c>
      <c r="AR45" s="50" t="n">
        <f aca="false">IF(AND(div_on=1,$A45&gt;=div_start),AQ45*MIN(div_max,div_rate*U45)*(1-div_comp*S45),0)</f>
        <v>1067.7252670935</v>
      </c>
      <c r="AS45" s="50" t="n">
        <f aca="false">AS44*(1-div_assim)+AR45</f>
        <v>11517.1944033255</v>
      </c>
      <c r="AT45" s="67" t="n">
        <f aca="false">(1-div_rel)*AS44/Economy!B44</f>
        <v>0.000709787663680693</v>
      </c>
      <c r="AU45" s="50" t="n">
        <f aca="false">AU44*(1-skill_ret)+AE45</f>
        <v>1935.95938969306</v>
      </c>
      <c r="AV45" s="50" t="n">
        <f aca="false">AV44*(1+union_nat)+AR45</f>
        <v>13538.455900961</v>
      </c>
      <c r="AW45" s="50" t="n">
        <f aca="false">AW44*(1+union_nat)+AE45*family_mult</f>
        <v>4701.68095768877</v>
      </c>
      <c r="AX45" s="70" t="n">
        <f aca="false">V45-(AV45+AW45)/1000000</f>
        <v>44.9817598631414</v>
      </c>
      <c r="AY45" s="50" t="n">
        <f aca="false">L45*gw_union</f>
        <v>0</v>
      </c>
      <c r="AZ45" s="49" t="n">
        <v>1.103</v>
      </c>
      <c r="BA45" s="50" t="n">
        <f aca="false">Economy!Q45*AZ45/lf_rate</f>
        <v>538.369047619048</v>
      </c>
      <c r="BB45" s="67" t="n">
        <f aca="false">bd_growth*AU44/W44</f>
        <v>2.3841261490778E-005</v>
      </c>
      <c r="BC45" s="67" t="n">
        <f aca="false">tg_k*MIN(1,Economy!O44/BK44)</f>
        <v>0.000364873688318889</v>
      </c>
      <c r="BD45" s="67" t="n">
        <f aca="false">emu_g*S45</f>
        <v>0</v>
      </c>
      <c r="BE45" s="68" t="n">
        <f aca="false">BE44*(1-BB45-BC45+BD45)</f>
        <v>0.991240892290798</v>
      </c>
      <c r="BF45" s="49" t="n">
        <v>1</v>
      </c>
      <c r="BG45" s="56" t="n">
        <f aca="false">AU45*BA45*BE45*(skill_rel-1+skill_spill)/1000000</f>
        <v>1.34307074185586</v>
      </c>
      <c r="BH45" s="56" t="n">
        <f aca="false">union_disp*(Champions!AP45+Champions!AZ45)*(1-IF(union_resp=2,mkt_cut*S45,0))</f>
        <v>14.0282316093426</v>
      </c>
      <c r="BI45" s="56" t="n">
        <f aca="false">AY45*BA45*BE45/1000000</f>
        <v>0</v>
      </c>
      <c r="BJ45" s="50" t="n">
        <f aca="false">V45*Economy!Q45*AZ45</f>
        <v>10175.175</v>
      </c>
      <c r="BK45" s="50" t="n">
        <f aca="false">MAX(0.3*BJ45,AX45*Economy!Q45*AZ45*BE45*BF45-BG45-BH45-BI45)</f>
        <v>10066.5900011064</v>
      </c>
      <c r="BL45" s="66" t="n">
        <f aca="false">1-BK45/BJ45</f>
        <v>0.0106715608226537</v>
      </c>
      <c r="BM45" s="50" t="n">
        <f aca="false">MAX(0,BH45-BH44)*1000000/BA45</f>
        <v>3538.39385006313</v>
      </c>
      <c r="BN45" s="50" t="n">
        <f aca="false">BN44*(1-IF(AND($A45&gt;=1930,$A45&lt;=1932),0,union_reabsorb))+BM45</f>
        <v>8552.93460865877</v>
      </c>
      <c r="BO45" s="62" t="n">
        <v>0.04</v>
      </c>
      <c r="BP45" s="66" t="n">
        <f aca="false">BO45+BN45/(AX45*1000000*lf_rate)</f>
        <v>0.040452719726453</v>
      </c>
    </row>
    <row r="46" customFormat="false" ht="14.25" hidden="false" customHeight="false" outlineLevel="0" collapsed="false">
      <c r="A46" s="61" t="n">
        <v>1886</v>
      </c>
      <c r="B46" s="50" t="n">
        <f aca="false">Economy!B46*lf_rate</f>
        <v>1788122.55672334</v>
      </c>
      <c r="C46" s="50" t="n">
        <f aca="false">Economy!O46*1000000/(B46+L46)</f>
        <v>776.263698697853</v>
      </c>
      <c r="D46" s="50" t="n">
        <f aca="false">Champions!AP46*1000000/(C46*champ_prem)</f>
        <v>31705.1339367761</v>
      </c>
      <c r="E46" s="50" t="n">
        <f aca="false">D46*job_mult</f>
        <v>22193.5937557433</v>
      </c>
      <c r="F46" s="50" t="n">
        <f aca="false">D46+E46</f>
        <v>53898.7276925194</v>
      </c>
      <c r="G46" s="66" t="n">
        <f aca="false">F46/B46</f>
        <v>0.0301426361911606</v>
      </c>
      <c r="H46" s="50" t="n">
        <f aca="false">F46-F45</f>
        <v>3582.92319602132</v>
      </c>
      <c r="I46" s="66" t="n">
        <f aca="false">MAX(0.005,pac_u_base*IF(Paths!AC46=1,pac_u_war,1)+(okun*(1-Economy!G46)*(B46+L46)-MAX(0,L45-L46))/B46)</f>
        <v>0.015</v>
      </c>
      <c r="J46" s="50" t="n">
        <f aca="false">IF(AND(gw_on=1,$A46&gt;=gw_start),MIN(gw_cap*B45,gw_cover*F45+gw_gen*B45),0)</f>
        <v>0</v>
      </c>
      <c r="K46" s="50" t="n">
        <f aca="false">L45*gw_conv</f>
        <v>0</v>
      </c>
      <c r="L46" s="50" t="n">
        <f aca="false">MAX(0,L45-K46+gw_adj*(J46-L45))*MAX(0,1-gw_slump*(1-Economy!G46))</f>
        <v>0</v>
      </c>
      <c r="M46" s="50"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1.52848304190329</v>
      </c>
      <c r="U46" s="70" t="n">
        <f aca="false">MAX(0,T46-gap_base)</f>
        <v>0.0284830419032949</v>
      </c>
      <c r="V46" s="71" t="n">
        <v>46</v>
      </c>
      <c r="W46" s="50" t="n">
        <f aca="false">V46*1000000*lf_rate*union_skill_share</f>
        <v>2318400</v>
      </c>
      <c r="X46" s="48" t="n">
        <v>72000</v>
      </c>
      <c r="Y46" s="50" t="n">
        <f aca="false">IF(AND(mig_endo=1,$A46&gt;=talent_start),talent_rate_u*W46*U46*(1-(1-bd_keep)*S46),0)</f>
        <v>660.350843485988</v>
      </c>
      <c r="Z46" s="50" t="n">
        <f aca="false">IF(AND(mig_endo=1,$A46&gt;=talent_start),X46*MIN(0.5,talent_share_o*U46)*(1-eu_comp*S46),0)</f>
        <v>553.710334600052</v>
      </c>
      <c r="AA46" s="48" t="n">
        <v>9000</v>
      </c>
      <c r="AB46" s="50" t="n">
        <f aca="false">IF(AND(mig_endo=1,$A46&gt;=talent_start),AA46*MIN(0.5,talent_share_a*U46),0)</f>
        <v>51.2694754259308</v>
      </c>
      <c r="AC46" s="50" t="n">
        <f aca="false">entry_cap*People!B46</f>
        <v>12470.5200305196</v>
      </c>
      <c r="AD46" s="50" t="n">
        <f aca="false">MIN(AC46,Y46+Z46+AB46)</f>
        <v>1265.33065351197</v>
      </c>
      <c r="AE46" s="50" t="n">
        <f aca="false">IF(Y46+Z46+AB46&gt;0,AD46*Y46/(Y46+Z46+AB46),0)</f>
        <v>660.350843485988</v>
      </c>
      <c r="AF46" s="50" t="n">
        <f aca="false">IF(Y46+Z46+AB46&gt;0,AD46*AB46/(Y46+Z46+AB46),0)</f>
        <v>51.2694754259308</v>
      </c>
      <c r="AG46" s="50" t="n">
        <f aca="false">AD46*family_mult</f>
        <v>2783.72743772634</v>
      </c>
      <c r="AH46" s="50" t="n">
        <f aca="false">AH45*(1+Paths!C46)+AG46</f>
        <v>11929.925293967</v>
      </c>
      <c r="AI46" s="50" t="n">
        <f aca="false">IF(AND(mig_endo=1,$A46&gt;=talent_start),chain_rate*AH45,0)</f>
        <v>134.634904655162</v>
      </c>
      <c r="AJ46" s="50" t="n">
        <f aca="false">IF(AND(mig_endo=1,$A46&gt;=talent_start),IF(H45&gt;0,H45*job_fill,H45*job_return)*job_family,0)</f>
        <v>4461.1238910682</v>
      </c>
      <c r="AK46" s="50" t="n">
        <f aca="false">K46*gw_conv_family</f>
        <v>0</v>
      </c>
      <c r="AL46" s="50" t="n">
        <f aca="false">AG46+AI46+AJ46+AK46+AR46</f>
        <v>9729.33719047153</v>
      </c>
      <c r="AM46" s="50" t="n">
        <f aca="false">AM45*(1-skill_ret)+AD46</f>
        <v>4815.85924209428</v>
      </c>
      <c r="AN46" s="67" t="n">
        <f aca="false">AM46/B46</f>
        <v>0.00269324897445461</v>
      </c>
      <c r="AO46" s="67" t="n">
        <f aca="false">(skill_rel-1+skill_spill)*AM45/B45-AT46</f>
        <v>0.00206575798668416</v>
      </c>
      <c r="AP46" s="67" t="n">
        <f aca="false">talent_champ*AM45/(skill_base_share*B45)</f>
        <v>0.00426846422698826</v>
      </c>
      <c r="AQ46" s="48" t="n">
        <v>330000</v>
      </c>
      <c r="AR46" s="50" t="n">
        <f aca="false">IF(AND(div_on=1,$A46&gt;=div_start),AQ46*MIN(div_max,div_rate*U46)*(1-div_comp*S46),0)</f>
        <v>2349.85095702183</v>
      </c>
      <c r="AS46" s="50" t="n">
        <f aca="false">AS45*(1-div_assim)+AR46</f>
        <v>13291.185640181</v>
      </c>
      <c r="AT46" s="67" t="n">
        <f aca="false">(1-div_rel)*AS45/Economy!B45</f>
        <v>0.000708743760858211</v>
      </c>
      <c r="AU46" s="50" t="n">
        <f aca="false">AU45*(1-skill_ret)+AE46</f>
        <v>2547.91124843673</v>
      </c>
      <c r="AV46" s="50" t="n">
        <f aca="false">AV45*(1+union_nat)+AR46</f>
        <v>16064.3067846953</v>
      </c>
      <c r="AW46" s="50" t="n">
        <f aca="false">AW45*(1+union_nat)+AE46*family_mult</f>
        <v>6215.5746658079</v>
      </c>
      <c r="AX46" s="70" t="n">
        <f aca="false">V46-(AV46+AW46)/1000000</f>
        <v>45.9777201185495</v>
      </c>
      <c r="AY46" s="50" t="n">
        <f aca="false">L46*gw_union</f>
        <v>0</v>
      </c>
      <c r="AZ46" s="49" t="n">
        <v>1.103</v>
      </c>
      <c r="BA46" s="50" t="n">
        <f aca="false">Economy!Q46*AZ46/lf_rate</f>
        <v>540.995238095238</v>
      </c>
      <c r="BB46" s="67" t="n">
        <f aca="false">bd_growth*AU45/W45</f>
        <v>2.56079284350934E-005</v>
      </c>
      <c r="BC46" s="67" t="n">
        <f aca="false">tg_k*MIN(1,Economy!O45/BK45)</f>
        <v>0.000379359371547564</v>
      </c>
      <c r="BD46" s="67" t="n">
        <f aca="false">emu_g*S46</f>
        <v>0</v>
      </c>
      <c r="BE46" s="68" t="n">
        <f aca="false">BE45*(1-BB46-BC46+BD46)</f>
        <v>0.990839472143015</v>
      </c>
      <c r="BF46" s="49" t="n">
        <v>1</v>
      </c>
      <c r="BG46" s="56" t="n">
        <f aca="false">AU46*BA46*BE46*(skill_rel-1+skill_spill)/1000000</f>
        <v>1.77551518165126</v>
      </c>
      <c r="BH46" s="56" t="n">
        <f aca="false">union_disp*(Champions!AP46+Champions!AZ46)*(1-IF(union_resp=2,mkt_cut*S46,0))</f>
        <v>15.7059503769748</v>
      </c>
      <c r="BI46" s="56" t="n">
        <f aca="false">AY46*BA46*BE46/1000000</f>
        <v>0</v>
      </c>
      <c r="BJ46" s="50" t="n">
        <f aca="false">V46*Economy!Q46*AZ46</f>
        <v>10452.028</v>
      </c>
      <c r="BK46" s="50" t="n">
        <f aca="false">MAX(0.3*BJ46,AX46*Economy!Q46*AZ46*BE46*BF46-BG46-BH46-BI46)</f>
        <v>10333.7844248475</v>
      </c>
      <c r="BL46" s="66" t="n">
        <f aca="false">1-BK46/BJ46</f>
        <v>0.0113129791799708</v>
      </c>
      <c r="BM46" s="50" t="n">
        <f aca="false">MAX(0,BH46-BH45)*1000000/BA46</f>
        <v>3101.17104457183</v>
      </c>
      <c r="BN46" s="50" t="n">
        <f aca="false">BN45*(1-IF(AND($A46&gt;=1930,$A46&lt;=1932),0,union_reabsorb))+BM46</f>
        <v>9515.87200106591</v>
      </c>
      <c r="BO46" s="62" t="n">
        <v>0.04</v>
      </c>
      <c r="BP46" s="66" t="n">
        <f aca="false">BO46+BN46/(AX46*1000000*lf_rate)</f>
        <v>0.0404927786336373</v>
      </c>
    </row>
    <row r="47" customFormat="false" ht="14.25" hidden="false" customHeight="false" outlineLevel="0" collapsed="false">
      <c r="A47" s="61" t="n">
        <v>1887</v>
      </c>
      <c r="B47" s="50" t="n">
        <f aca="false">Economy!B47*lf_rate</f>
        <v>1875547.30306636</v>
      </c>
      <c r="C47" s="50" t="n">
        <f aca="false">Economy!O47*1000000/(B47+L47)</f>
        <v>792.484411789224</v>
      </c>
      <c r="D47" s="50" t="n">
        <f aca="false">Champions!AP47*1000000/(C47*champ_prem)</f>
        <v>33903.6232743036</v>
      </c>
      <c r="E47" s="50" t="n">
        <f aca="false">D47*job_mult</f>
        <v>23732.5362920125</v>
      </c>
      <c r="F47" s="50" t="n">
        <f aca="false">D47+E47</f>
        <v>57636.1595663161</v>
      </c>
      <c r="G47" s="66" t="n">
        <f aca="false">F47/B47</f>
        <v>0.0307303150776768</v>
      </c>
      <c r="H47" s="50" t="n">
        <f aca="false">F47-F46</f>
        <v>3737.43187379674</v>
      </c>
      <c r="I47" s="66" t="n">
        <f aca="false">MAX(0.005,pac_u_base*IF(Paths!AC47=1,pac_u_war,1)+(okun*(1-Economy!G47)*(B47+L47)-MAX(0,L46-L47))/B47)</f>
        <v>0.015</v>
      </c>
      <c r="J47" s="50" t="n">
        <f aca="false">IF(AND(gw_on=1,$A47&gt;=gw_start),MIN(gw_cap*B46,gw_cover*F46+gw_gen*B46),0)</f>
        <v>0</v>
      </c>
      <c r="K47" s="50" t="n">
        <f aca="false">L46*gw_conv</f>
        <v>0</v>
      </c>
      <c r="L47" s="50" t="n">
        <f aca="false">MAX(0,L46-K47+gw_adj*(J47-L46))*MAX(0,1-gw_slump*(1-Economy!G47))</f>
        <v>0</v>
      </c>
      <c r="M47" s="50"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1.58267356045193</v>
      </c>
      <c r="U47" s="70" t="n">
        <f aca="false">MAX(0,T47-gap_base)</f>
        <v>0.0826735604519324</v>
      </c>
      <c r="V47" s="71" t="n">
        <v>47</v>
      </c>
      <c r="W47" s="50" t="n">
        <f aca="false">V47*1000000*lf_rate*union_skill_share</f>
        <v>2368800</v>
      </c>
      <c r="X47" s="48" t="n">
        <v>74000</v>
      </c>
      <c r="Y47" s="50" t="n">
        <f aca="false">IF(AND(mig_endo=1,$A47&gt;=talent_start),talent_rate_u*W47*U47*(1-(1-bd_keep)*S47),0)</f>
        <v>1958.37129998538</v>
      </c>
      <c r="Z47" s="50" t="n">
        <f aca="false">IF(AND(mig_endo=1,$A47&gt;=talent_start),X47*MIN(0.5,talent_share_o*U47)*(1-eu_comp*S47),0)</f>
        <v>1651.81773782961</v>
      </c>
      <c r="AA47" s="48" t="n">
        <v>10000</v>
      </c>
      <c r="AB47" s="50" t="n">
        <f aca="false">IF(AND(mig_endo=1,$A47&gt;=talent_start),AA47*MIN(0.5,talent_share_a*U47),0)</f>
        <v>165.347120903865</v>
      </c>
      <c r="AC47" s="50" t="n">
        <f aca="false">entry_cap*People!B47</f>
        <v>13074.0879226709</v>
      </c>
      <c r="AD47" s="50" t="n">
        <f aca="false">MIN(AC47,Y47+Z47+AB47)</f>
        <v>3775.53615871885</v>
      </c>
      <c r="AE47" s="50" t="n">
        <f aca="false">IF(Y47+Z47+AB47&gt;0,AD47*Y47/(Y47+Z47+AB47),0)</f>
        <v>1958.37129998538</v>
      </c>
      <c r="AF47" s="50" t="n">
        <f aca="false">IF(Y47+Z47+AB47&gt;0,AD47*AB47/(Y47+Z47+AB47),0)</f>
        <v>165.347120903865</v>
      </c>
      <c r="AG47" s="50" t="n">
        <f aca="false">AD47*family_mult</f>
        <v>8306.17954918147</v>
      </c>
      <c r="AH47" s="50" t="n">
        <f aca="false">AH46*(1+Paths!C47)+AG47</f>
        <v>20462.7734237339</v>
      </c>
      <c r="AI47" s="50" t="n">
        <f aca="false">IF(AND(mig_endo=1,$A47&gt;=talent_start),chain_rate*AH46,0)</f>
        <v>178.948879409505</v>
      </c>
      <c r="AJ47" s="50" t="n">
        <f aca="false">IF(AND(mig_endo=1,$A47&gt;=talent_start),IF(H46&gt;0,H46*job_fill,H46*job_return)*job_family,0)</f>
        <v>2257.24161349343</v>
      </c>
      <c r="AK47" s="50" t="n">
        <f aca="false">K47*gw_conv_family</f>
        <v>0</v>
      </c>
      <c r="AL47" s="50" t="n">
        <f aca="false">AG47+AI47+AJ47+AK47+AR47</f>
        <v>19836.461691797</v>
      </c>
      <c r="AM47" s="50" t="n">
        <f aca="false">AM46*(1-skill_ret)+AD47</f>
        <v>8470.99891976077</v>
      </c>
      <c r="AN47" s="67" t="n">
        <f aca="false">AM47/B47</f>
        <v>0.00451654773297982</v>
      </c>
      <c r="AO47" s="67" t="n">
        <f aca="false">(skill_rel-1+skill_spill)*AM46/B46-AT47</f>
        <v>0.0027207545166359</v>
      </c>
      <c r="AP47" s="67" t="n">
        <f aca="false">talent_champ*AM46/(skill_base_share*B46)</f>
        <v>0.00538649794890922</v>
      </c>
      <c r="AQ47" s="48" t="n">
        <v>440000</v>
      </c>
      <c r="AR47" s="50" t="n">
        <f aca="false">IF(AND(div_on=1,$A47&gt;=div_start),AQ47*MIN(div_max,div_rate*U47)*(1-div_comp*S47),0)</f>
        <v>9094.09164971257</v>
      </c>
      <c r="AS47" s="50" t="n">
        <f aca="false">AS46*(1-div_assim)+AR47</f>
        <v>21720.7180078846</v>
      </c>
      <c r="AT47" s="67" t="n">
        <f aca="false">(1-div_rel)*AS46/Economy!B46</f>
        <v>0.00078046915015509</v>
      </c>
      <c r="AU47" s="50" t="n">
        <f aca="false">AU46*(1-skill_ret)+AE47</f>
        <v>4442.58476721118</v>
      </c>
      <c r="AV47" s="50" t="n">
        <f aca="false">AV46*(1+union_nat)+AR47</f>
        <v>25367.2344226089</v>
      </c>
      <c r="AW47" s="50" t="n">
        <f aca="false">AW46*(1+union_nat)+AE47*family_mult</f>
        <v>10604.7939964312</v>
      </c>
      <c r="AX47" s="70" t="n">
        <f aca="false">V47-(AV47+AW47)/1000000</f>
        <v>46.964027971581</v>
      </c>
      <c r="AY47" s="50" t="n">
        <f aca="false">L47*gw_union</f>
        <v>0</v>
      </c>
      <c r="AZ47" s="49" t="n">
        <v>1.102</v>
      </c>
      <c r="BA47" s="50" t="n">
        <f aca="false">Economy!Q47*AZ47/lf_rate</f>
        <v>540.504761904762</v>
      </c>
      <c r="BB47" s="67" t="n">
        <f aca="false">bd_growth*AU46/W46</f>
        <v>3.29698660511999E-005</v>
      </c>
      <c r="BC47" s="67" t="n">
        <f aca="false">tg_k*MIN(1,Economy!O46/BK46)</f>
        <v>0.000402966011058702</v>
      </c>
      <c r="BD47" s="67" t="n">
        <f aca="false">emu_g*S47</f>
        <v>0</v>
      </c>
      <c r="BE47" s="68" t="n">
        <f aca="false">BE46*(1-BB47-BC47+BD47)</f>
        <v>0.990407529668651</v>
      </c>
      <c r="BF47" s="49" t="n">
        <v>1</v>
      </c>
      <c r="BG47" s="56" t="n">
        <f aca="false">AU47*BA47*BE47*(skill_rel-1+skill_spill)/1000000</f>
        <v>3.09166574007417</v>
      </c>
      <c r="BH47" s="56" t="n">
        <f aca="false">union_disp*(Champions!AP47+Champions!AZ47)*(1-IF(union_resp=2,mkt_cut*S47,0))</f>
        <v>17.0523918730403</v>
      </c>
      <c r="BI47" s="56" t="n">
        <f aca="false">AY47*BA47*BE47/1000000</f>
        <v>0</v>
      </c>
      <c r="BJ47" s="50" t="n">
        <f aca="false">V47*Economy!Q47*AZ47</f>
        <v>10669.564</v>
      </c>
      <c r="BK47" s="50" t="n">
        <f aca="false">MAX(0.3*BJ47,AX47*Economy!Q47*AZ47*BE47*BF47-BG47-BH47-BI47)</f>
        <v>10538.9847170534</v>
      </c>
      <c r="BL47" s="66" t="n">
        <f aca="false">1-BK47/BJ47</f>
        <v>0.0122384834981626</v>
      </c>
      <c r="BM47" s="50" t="n">
        <f aca="false">MAX(0,BH47-BH46)*1000000/BA47</f>
        <v>2491.08165360203</v>
      </c>
      <c r="BN47" s="50" t="n">
        <f aca="false">BN46*(1-IF(AND($A47&gt;=1930,$A47&lt;=1932),0,union_reabsorb))+BM47</f>
        <v>9627.98565440146</v>
      </c>
      <c r="BO47" s="62" t="n">
        <v>0.04</v>
      </c>
      <c r="BP47" s="66" t="n">
        <f aca="false">BO47+BN47/(AX47*1000000*lf_rate)</f>
        <v>0.0404881134851017</v>
      </c>
    </row>
    <row r="48" customFormat="false" ht="14.25" hidden="false" customHeight="false" outlineLevel="0" collapsed="false">
      <c r="A48" s="61" t="n">
        <v>1888</v>
      </c>
      <c r="B48" s="50" t="n">
        <f aca="false">Economy!B48*lf_rate</f>
        <v>1960975.29781564</v>
      </c>
      <c r="C48" s="50" t="n">
        <f aca="false">Economy!O48*1000000/(B48+L48)</f>
        <v>815.193532250396</v>
      </c>
      <c r="D48" s="50" t="n">
        <f aca="false">Champions!AP48*1000000/(C48*champ_prem)</f>
        <v>35654.2016169656</v>
      </c>
      <c r="E48" s="50" t="n">
        <f aca="false">D48*job_mult</f>
        <v>24957.941131876</v>
      </c>
      <c r="F48" s="50" t="n">
        <f aca="false">D48+E48</f>
        <v>60612.1427488416</v>
      </c>
      <c r="G48" s="66" t="n">
        <f aca="false">F48/B48</f>
        <v>0.03090918218927</v>
      </c>
      <c r="H48" s="50" t="n">
        <f aca="false">F48-F47</f>
        <v>2975.98318252545</v>
      </c>
      <c r="I48" s="66" t="n">
        <f aca="false">MAX(0.005,pac_u_base*IF(Paths!AC48=1,pac_u_war,1)+(okun*(1-Economy!G48)*(B48+L48)-MAX(0,L47-L48))/B48)</f>
        <v>0.015</v>
      </c>
      <c r="J48" s="50" t="n">
        <f aca="false">IF(AND(gw_on=1,$A48&gt;=gw_start),MIN(gw_cap*B47,gw_cover*F47+gw_gen*B47),0)</f>
        <v>0</v>
      </c>
      <c r="K48" s="50" t="n">
        <f aca="false">L47*gw_conv</f>
        <v>0</v>
      </c>
      <c r="L48" s="50" t="n">
        <f aca="false">MAX(0,L47-K48+gw_adj*(J48-L47))*MAX(0,1-gw_slump*(1-Economy!G48))</f>
        <v>0</v>
      </c>
      <c r="M48" s="50"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1.61574491724016</v>
      </c>
      <c r="U48" s="70" t="n">
        <f aca="false">MAX(0,T48-gap_base)</f>
        <v>0.115744917240164</v>
      </c>
      <c r="V48" s="71" t="n">
        <v>48</v>
      </c>
      <c r="W48" s="50" t="n">
        <f aca="false">V48*1000000*lf_rate*union_skill_share</f>
        <v>2419200</v>
      </c>
      <c r="X48" s="48" t="n">
        <v>76000</v>
      </c>
      <c r="Y48" s="50" t="n">
        <f aca="false">IF(AND(mig_endo=1,$A48&gt;=talent_start),talent_rate_u*W48*U48*(1-(1-bd_keep)*S48),0)</f>
        <v>2800.10103787406</v>
      </c>
      <c r="Z48" s="50" t="n">
        <f aca="false">IF(AND(mig_endo=1,$A48&gt;=talent_start),X48*MIN(0.5,talent_share_o*U48)*(1-eu_comp*S48),0)</f>
        <v>2375.08570176817</v>
      </c>
      <c r="AA48" s="48" t="n">
        <v>10000</v>
      </c>
      <c r="AB48" s="50" t="n">
        <f aca="false">IF(AND(mig_endo=1,$A48&gt;=talent_start),AA48*MIN(0.5,talent_share_a*U48),0)</f>
        <v>231.489834480329</v>
      </c>
      <c r="AC48" s="50" t="n">
        <f aca="false">entry_cap*People!B48</f>
        <v>13719.444978277</v>
      </c>
      <c r="AD48" s="50" t="n">
        <f aca="false">MIN(AC48,Y48+Z48+AB48)</f>
        <v>5406.67657412256</v>
      </c>
      <c r="AE48" s="50" t="n">
        <f aca="false">IF(Y48+Z48+AB48&gt;0,AD48*Y48/(Y48+Z48+AB48),0)</f>
        <v>2800.10103787406</v>
      </c>
      <c r="AF48" s="50" t="n">
        <f aca="false">IF(Y48+Z48+AB48&gt;0,AD48*AB48/(Y48+Z48+AB48),0)</f>
        <v>231.489834480329</v>
      </c>
      <c r="AG48" s="50" t="n">
        <f aca="false">AD48*family_mult</f>
        <v>11894.6884630696</v>
      </c>
      <c r="AH48" s="50" t="n">
        <f aca="false">AH47*(1+Paths!C48)+AG48</f>
        <v>32746.2545818544</v>
      </c>
      <c r="AI48" s="50" t="n">
        <f aca="false">IF(AND(mig_endo=1,$A48&gt;=talent_start),chain_rate*AH47,0)</f>
        <v>306.941601356008</v>
      </c>
      <c r="AJ48" s="50" t="n">
        <f aca="false">IF(AND(mig_endo=1,$A48&gt;=talent_start),IF(H47&gt;0,H47*job_fill,H47*job_return)*job_family,0)</f>
        <v>2354.58208049195</v>
      </c>
      <c r="AK48" s="50" t="n">
        <f aca="false">K48*gw_conv_family</f>
        <v>0</v>
      </c>
      <c r="AL48" s="50" t="n">
        <f aca="false">AG48+AI48+AJ48+AK48+AR48</f>
        <v>30471.1382654402</v>
      </c>
      <c r="AM48" s="50" t="n">
        <f aca="false">AM47*(1-skill_ret)+AD48</f>
        <v>13665.9005208893</v>
      </c>
      <c r="AN48" s="67" t="n">
        <f aca="false">AM48/B48</f>
        <v>0.0069689304786817</v>
      </c>
      <c r="AO48" s="67" t="n">
        <f aca="false">(skill_rel-1+skill_spill)*AM47/B47-AT48</f>
        <v>0.00465550679025034</v>
      </c>
      <c r="AP48" s="67" t="n">
        <f aca="false">talent_champ*AM47/(skill_base_share*B47)</f>
        <v>0.00903309546595965</v>
      </c>
      <c r="AQ48" s="48" t="n">
        <v>550000</v>
      </c>
      <c r="AR48" s="50" t="n">
        <f aca="false">IF(AND(div_on=1,$A48&gt;=div_start),AQ48*MIN(div_max,div_rate*U48)*(1-div_comp*S48),0)</f>
        <v>15914.9261205226</v>
      </c>
      <c r="AS48" s="50" t="n">
        <f aca="false">AS47*(1-div_assim)+AR48</f>
        <v>36549.6082280129</v>
      </c>
      <c r="AT48" s="67" t="n">
        <f aca="false">(1-div_rel)*AS47/Economy!B47</f>
        <v>0.00121600526262343</v>
      </c>
      <c r="AU48" s="50" t="n">
        <f aca="false">AU47*(1-skill_ret)+AE48</f>
        <v>7131.62118590496</v>
      </c>
      <c r="AV48" s="50" t="n">
        <f aca="false">AV47*(1+union_nat)+AR48</f>
        <v>41611.9345906255</v>
      </c>
      <c r="AW48" s="50" t="n">
        <f aca="false">AW47*(1+union_nat)+AE48*family_mult</f>
        <v>16902.8786017078</v>
      </c>
      <c r="AX48" s="70" t="n">
        <f aca="false">V48-(AV48+AW48)/1000000</f>
        <v>47.9414851868077</v>
      </c>
      <c r="AY48" s="50" t="n">
        <f aca="false">L48*gw_union</f>
        <v>0</v>
      </c>
      <c r="AZ48" s="49" t="n">
        <v>1.101</v>
      </c>
      <c r="BA48" s="50" t="n">
        <f aca="false">Economy!Q48*AZ48/lf_rate</f>
        <v>542.635714285714</v>
      </c>
      <c r="BB48" s="67" t="n">
        <f aca="false">bd_growth*AU47/W47</f>
        <v>5.62637381865651E-005</v>
      </c>
      <c r="BC48" s="67" t="n">
        <f aca="false">tg_k*MIN(1,Economy!O47/BK47)</f>
        <v>0.000423098251252319</v>
      </c>
      <c r="BD48" s="67" t="n">
        <f aca="false">emu_g*S48</f>
        <v>0</v>
      </c>
      <c r="BE48" s="68" t="n">
        <f aca="false">BE47*(1-BB48-BC48+BD48)</f>
        <v>0.989932765944874</v>
      </c>
      <c r="BF48" s="49" t="n">
        <v>1</v>
      </c>
      <c r="BG48" s="56" t="n">
        <f aca="false">AU48*BA48*BE48*(skill_rel-1+skill_spill)/1000000</f>
        <v>4.98018747909157</v>
      </c>
      <c r="BH48" s="56" t="n">
        <f aca="false">union_disp*(Champions!AP48+Champions!AZ48)*(1-IF(union_resp=2,mkt_cut*S48,0))</f>
        <v>18.6298821580973</v>
      </c>
      <c r="BI48" s="56" t="n">
        <f aca="false">AY48*BA48*BE48/1000000</f>
        <v>0</v>
      </c>
      <c r="BJ48" s="50" t="n">
        <f aca="false">V48*Economy!Q48*AZ48</f>
        <v>10939.536</v>
      </c>
      <c r="BK48" s="50" t="n">
        <f aca="false">MAX(0.3*BJ48,AX48*Economy!Q48*AZ48*BE48*BF48-BG48-BH48-BI48)</f>
        <v>10792.5933814504</v>
      </c>
      <c r="BL48" s="66" t="n">
        <f aca="false">1-BK48/BJ48</f>
        <v>0.0134322533011974</v>
      </c>
      <c r="BM48" s="50" t="n">
        <f aca="false">MAX(0,BH48-BH47)*1000000/BA48</f>
        <v>2907.08894296348</v>
      </c>
      <c r="BN48" s="50" t="n">
        <f aca="false">BN47*(1-IF(AND($A48&gt;=1930,$A48&lt;=1932),0,union_reabsorb))+BM48</f>
        <v>10128.0781837646</v>
      </c>
      <c r="BO48" s="62" t="n">
        <v>0.04</v>
      </c>
      <c r="BP48" s="66" t="n">
        <f aca="false">BO48+BN48/(AX48*1000000*lf_rate)</f>
        <v>0.0405029980146035</v>
      </c>
    </row>
    <row r="49" customFormat="false" ht="14.25" hidden="false" customHeight="false" outlineLevel="0" collapsed="false">
      <c r="A49" s="61" t="n">
        <v>1889</v>
      </c>
      <c r="B49" s="50" t="n">
        <f aca="false">Economy!B49*lf_rate</f>
        <v>2044025.68542955</v>
      </c>
      <c r="C49" s="50" t="n">
        <f aca="false">Economy!O49*1000000/(B49+L49)</f>
        <v>835.166811783524</v>
      </c>
      <c r="D49" s="50" t="n">
        <f aca="false">Champions!AP49*1000000/(C49*champ_prem)</f>
        <v>37856.838558581</v>
      </c>
      <c r="E49" s="50" t="n">
        <f aca="false">D49*job_mult</f>
        <v>26499.7869910067</v>
      </c>
      <c r="F49" s="50" t="n">
        <f aca="false">D49+E49</f>
        <v>64356.6255495878</v>
      </c>
      <c r="G49" s="66" t="n">
        <f aca="false">F49/B49</f>
        <v>0.0314852332866175</v>
      </c>
      <c r="H49" s="50" t="n">
        <f aca="false">F49-F48</f>
        <v>3744.48280074618</v>
      </c>
      <c r="I49" s="66" t="n">
        <f aca="false">MAX(0.005,pac_u_base*IF(Paths!AC49=1,pac_u_war,1)+(okun*(1-Economy!G49)*(B49+L49)-MAX(0,L48-L49))/B49)</f>
        <v>0.015</v>
      </c>
      <c r="J49" s="50" t="n">
        <f aca="false">IF(AND(gw_on=1,$A49&gt;=gw_start),MIN(gw_cap*B48,gw_cover*F48+gw_gen*B48),0)</f>
        <v>0</v>
      </c>
      <c r="K49" s="50" t="n">
        <f aca="false">L48*gw_conv</f>
        <v>0</v>
      </c>
      <c r="L49" s="50" t="n">
        <f aca="false">MAX(0,L48-K49+gw_adj*(J49-L48))*MAX(0,1-gw_slump*(1-Economy!G49))</f>
        <v>0</v>
      </c>
      <c r="M49" s="50"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1.65401586253704</v>
      </c>
      <c r="U49" s="70" t="n">
        <f aca="false">MAX(0,T49-gap_base)</f>
        <v>0.154015862537036</v>
      </c>
      <c r="V49" s="71" t="n">
        <v>49</v>
      </c>
      <c r="W49" s="50" t="n">
        <f aca="false">V49*1000000*lf_rate*union_skill_share</f>
        <v>2469600</v>
      </c>
      <c r="X49" s="48" t="n">
        <v>78000</v>
      </c>
      <c r="Y49" s="50" t="n">
        <f aca="false">IF(AND(mig_endo=1,$A49&gt;=talent_start),talent_rate_u*W49*U49*(1-(1-bd_keep)*S49),0)</f>
        <v>3803.57574121464</v>
      </c>
      <c r="Z49" s="50" t="n">
        <f aca="false">IF(AND(mig_endo=1,$A49&gt;=talent_start),X49*MIN(0.5,talent_share_o*U49)*(1-eu_comp*S49),0)</f>
        <v>3243.57406502997</v>
      </c>
      <c r="AA49" s="48" t="n">
        <v>11000</v>
      </c>
      <c r="AB49" s="50" t="n">
        <f aca="false">IF(AND(mig_endo=1,$A49&gt;=talent_start),AA49*MIN(0.5,talent_share_a*U49),0)</f>
        <v>338.834897581479</v>
      </c>
      <c r="AC49" s="50" t="n">
        <f aca="false">entry_cap*People!B49</f>
        <v>14294.4878476606</v>
      </c>
      <c r="AD49" s="50" t="n">
        <f aca="false">MIN(AC49,Y49+Z49+AB49)</f>
        <v>7385.98470382609</v>
      </c>
      <c r="AE49" s="50" t="n">
        <f aca="false">IF(Y49+Z49+AB49&gt;0,AD49*Y49/(Y49+Z49+AB49),0)</f>
        <v>3803.57574121464</v>
      </c>
      <c r="AF49" s="50" t="n">
        <f aca="false">IF(Y49+Z49+AB49&gt;0,AD49*AB49/(Y49+Z49+AB49),0)</f>
        <v>338.834897581479</v>
      </c>
      <c r="AG49" s="50" t="n">
        <f aca="false">AD49*family_mult</f>
        <v>16249.1663484174</v>
      </c>
      <c r="AH49" s="50" t="n">
        <f aca="false">AH48*(1+Paths!C49)+AG49</f>
        <v>49617.5997673271</v>
      </c>
      <c r="AI49" s="50" t="n">
        <f aca="false">IF(AND(mig_endo=1,$A49&gt;=talent_start),chain_rate*AH48,0)</f>
        <v>491.193818727817</v>
      </c>
      <c r="AJ49" s="50" t="n">
        <f aca="false">IF(AND(mig_endo=1,$A49&gt;=talent_start),IF(H48&gt;0,H48*job_fill,H48*job_return)*job_family,0)</f>
        <v>1874.86940499103</v>
      </c>
      <c r="AK49" s="50" t="n">
        <f aca="false">K49*gw_conv_family</f>
        <v>0</v>
      </c>
      <c r="AL49" s="50" t="n">
        <f aca="false">AG49+AI49+AJ49+AK49+AR49</f>
        <v>38945.323427025</v>
      </c>
      <c r="AM49" s="50" t="n">
        <f aca="false">AM48*(1-skill_ret)+AD49</f>
        <v>20710.2377116932</v>
      </c>
      <c r="AN49" s="67" t="n">
        <f aca="false">AM49/B49</f>
        <v>0.0101320829084107</v>
      </c>
      <c r="AO49" s="67" t="n">
        <f aca="false">(skill_rel-1+skill_spill)*AM48/B48-AT49</f>
        <v>0.00710256872115081</v>
      </c>
      <c r="AP49" s="67" t="n">
        <f aca="false">talent_champ*AM48/(skill_base_share*B48)</f>
        <v>0.0139378609573634</v>
      </c>
      <c r="AQ49" s="48" t="n">
        <v>528000</v>
      </c>
      <c r="AR49" s="50" t="n">
        <f aca="false">IF(AND(div_on=1,$A49&gt;=div_start),AQ49*MIN(div_max,div_rate*U49)*(1-div_comp*S49),0)</f>
        <v>20330.0938548887</v>
      </c>
      <c r="AS49" s="50" t="n">
        <f aca="false">AS48*(1-div_assim)+AR49</f>
        <v>55052.221671501</v>
      </c>
      <c r="AT49" s="67" t="n">
        <f aca="false">(1-div_rel)*AS48/Economy!B48</f>
        <v>0.00195704090113539</v>
      </c>
      <c r="AU49" s="50" t="n">
        <f aca="false">AU48*(1-skill_ret)+AE49</f>
        <v>10756.906397472</v>
      </c>
      <c r="AV49" s="50" t="n">
        <f aca="false">AV48*(1+union_nat)+AR49</f>
        <v>62482.9835951923</v>
      </c>
      <c r="AW49" s="50" t="n">
        <f aca="false">AW48*(1+union_nat)+AE49*family_mult</f>
        <v>25490.4826542022</v>
      </c>
      <c r="AX49" s="70" t="n">
        <f aca="false">V49-(AV49+AW49)/1000000</f>
        <v>48.9120265337506</v>
      </c>
      <c r="AY49" s="50" t="n">
        <f aca="false">L49*gw_union</f>
        <v>0</v>
      </c>
      <c r="AZ49" s="49" t="n">
        <v>1.1</v>
      </c>
      <c r="BA49" s="50" t="n">
        <f aca="false">Economy!Q49*AZ49/lf_rate</f>
        <v>542.142857142857</v>
      </c>
      <c r="BB49" s="67" t="n">
        <f aca="false">bd_growth*AU48/W48</f>
        <v>8.84377627220357E-005</v>
      </c>
      <c r="BC49" s="67" t="n">
        <f aca="false">tg_k*MIN(1,Economy!O48/BK48)</f>
        <v>0.00044435317532567</v>
      </c>
      <c r="BD49" s="67" t="n">
        <f aca="false">emu_g*S49</f>
        <v>0</v>
      </c>
      <c r="BE49" s="68" t="n">
        <f aca="false">BE48*(1-BB49-BC49+BD49)</f>
        <v>0.989405338737902</v>
      </c>
      <c r="BF49" s="49" t="n">
        <v>1</v>
      </c>
      <c r="BG49" s="56" t="n">
        <f aca="false">AU49*BA49*BE49*(skill_rel-1+skill_spill)/1000000</f>
        <v>7.50099250553125</v>
      </c>
      <c r="BH49" s="56" t="n">
        <f aca="false">union_disp*(Champions!AP49+Champions!AZ49)*(1-IF(union_resp=2,mkt_cut*S49,0))</f>
        <v>20.1965083120526</v>
      </c>
      <c r="BI49" s="56" t="n">
        <f aca="false">AY49*BA49*BE49/1000000</f>
        <v>0</v>
      </c>
      <c r="BJ49" s="50" t="n">
        <f aca="false">V49*Economy!Q49*AZ49</f>
        <v>11157.3</v>
      </c>
      <c r="BK49" s="50" t="n">
        <f aca="false">MAX(0.3*BJ49,AX49*Economy!Q49*AZ49*BE49*BF49-BG49-BH49-BI49)</f>
        <v>10991.5753543922</v>
      </c>
      <c r="BL49" s="66" t="n">
        <f aca="false">1-BK49/BJ49</f>
        <v>0.0148534722206816</v>
      </c>
      <c r="BM49" s="50" t="n">
        <f aca="false">MAX(0,BH49-BH48)*1000000/BA49</f>
        <v>2889.69251058938</v>
      </c>
      <c r="BN49" s="50" t="n">
        <f aca="false">BN48*(1-IF(AND($A49&gt;=1930,$A49&lt;=1932),0,union_reabsorb))+BM49</f>
        <v>10485.7511484128</v>
      </c>
      <c r="BO49" s="62" t="n">
        <v>0.04</v>
      </c>
      <c r="BP49" s="66" t="n">
        <f aca="false">BO49+BN49/(AX49*1000000*lf_rate)</f>
        <v>0.0405104281284616</v>
      </c>
    </row>
    <row r="50" customFormat="false" ht="14.25" hidden="false" customHeight="false" outlineLevel="0" collapsed="false">
      <c r="A50" s="61" t="n">
        <v>1890</v>
      </c>
      <c r="B50" s="50" t="n">
        <f aca="false">Economy!B50*lf_rate</f>
        <v>2133101.57590798</v>
      </c>
      <c r="C50" s="50" t="n">
        <f aca="false">Economy!O50*1000000/(B50+L50)</f>
        <v>839.300332739703</v>
      </c>
      <c r="D50" s="50" t="n">
        <f aca="false">Champions!AP50*1000000/(C50*champ_prem)</f>
        <v>42179.877556008</v>
      </c>
      <c r="E50" s="50" t="n">
        <f aca="false">D50*job_mult</f>
        <v>29525.9142892056</v>
      </c>
      <c r="F50" s="50" t="n">
        <f aca="false">D50+E50</f>
        <v>71705.7918452137</v>
      </c>
      <c r="G50" s="66" t="n">
        <f aca="false">F50/B50</f>
        <v>0.0336157418170259</v>
      </c>
      <c r="H50" s="50" t="n">
        <f aca="false">F50-F49</f>
        <v>7349.16629562588</v>
      </c>
      <c r="I50" s="66" t="n">
        <f aca="false">MAX(0.005,pac_u_base*IF(Paths!AC50=1,pac_u_war,1)+(okun*(1-Economy!G50)*(B50+L50)-MAX(0,L49-L50))/B50)</f>
        <v>0.015</v>
      </c>
      <c r="J50" s="50" t="n">
        <f aca="false">IF(AND(gw_on=1,$A50&gt;=gw_start),MIN(gw_cap*B49,gw_cover*F49+gw_gen*B49),0)</f>
        <v>202136.030164117</v>
      </c>
      <c r="K50" s="50" t="n">
        <f aca="false">L49*gw_conv</f>
        <v>0</v>
      </c>
      <c r="L50" s="50" t="n">
        <f aca="false">MAX(0,L49-K50+gw_adj*(J50-L49))*MAX(0,1-gw_slump*(1-Economy!G50))</f>
        <v>80854.4120656467</v>
      </c>
      <c r="M50" s="50" t="n">
        <f aca="false">MAX(0,L50-L49+L49/gw_term)</f>
        <v>80854.4120656467</v>
      </c>
      <c r="N50" s="66" t="n">
        <f aca="false">L50/B50</f>
        <v>0.0379046234735588</v>
      </c>
      <c r="O50" s="56" t="n">
        <f aca="false">Economy!L50</f>
        <v>39.2933428865871</v>
      </c>
      <c r="P50" s="56" t="n">
        <f aca="false">O50*gw_wage_share</f>
        <v>25.5406728762816</v>
      </c>
      <c r="Q50" s="56" t="n">
        <f aca="false">P50*gw_levy</f>
        <v>6.38516821907041</v>
      </c>
      <c r="R50" s="56" t="n">
        <f aca="false">P50*gw_remit</f>
        <v>6.38516821907041</v>
      </c>
      <c r="S50" s="66" t="n">
        <f aca="false">IF(union_resp&gt;=1,MIN(1,MAX(0,($A50-resp_start)/(resp_full-resp_start))),0)</f>
        <v>0</v>
      </c>
      <c r="T50" s="70" t="n">
        <f aca="false">Economy!R49</f>
        <v>1.69454135724193</v>
      </c>
      <c r="U50" s="70" t="n">
        <f aca="false">MAX(0,T50-gap_base)</f>
        <v>0.194541357241933</v>
      </c>
      <c r="V50" s="71" t="n">
        <v>50</v>
      </c>
      <c r="W50" s="50" t="n">
        <f aca="false">V50*1000000*lf_rate*union_skill_share</f>
        <v>2520000</v>
      </c>
      <c r="X50" s="48" t="n">
        <v>80000</v>
      </c>
      <c r="Y50" s="50" t="n">
        <f aca="false">IF(AND(mig_endo=1,$A50&gt;=talent_start),talent_rate_u*W50*U50*(1-(1-bd_keep)*S50),0)</f>
        <v>4902.44220249671</v>
      </c>
      <c r="Z50" s="50" t="n">
        <f aca="false">IF(AND(mig_endo=1,$A50&gt;=talent_start),X50*MIN(0.5,talent_share_o*U50)*(1-eu_comp*S50),0)</f>
        <v>4202.09331642575</v>
      </c>
      <c r="AA50" s="48" t="n">
        <v>12000</v>
      </c>
      <c r="AB50" s="50" t="n">
        <f aca="false">IF(AND(mig_endo=1,$A50&gt;=talent_start),AA50*MIN(0.5,talent_share_a*U50),0)</f>
        <v>466.899257380639</v>
      </c>
      <c r="AC50" s="50" t="n">
        <f aca="false">entry_cap*People!B50</f>
        <v>14905.8790870473</v>
      </c>
      <c r="AD50" s="50" t="n">
        <f aca="false">MIN(AC50,Y50+Z50+AB50)</f>
        <v>9571.4347763031</v>
      </c>
      <c r="AE50" s="50" t="n">
        <f aca="false">IF(Y50+Z50+AB50&gt;0,AD50*Y50/(Y50+Z50+AB50),0)</f>
        <v>4902.44220249671</v>
      </c>
      <c r="AF50" s="50" t="n">
        <f aca="false">IF(Y50+Z50+AB50&gt;0,AD50*AB50/(Y50+Z50+AB50),0)</f>
        <v>466.899257380639</v>
      </c>
      <c r="AG50" s="50" t="n">
        <f aca="false">AD50*family_mult</f>
        <v>21057.1565078668</v>
      </c>
      <c r="AH50" s="50" t="n">
        <f aca="false">AH49*(1+Paths!C50)+AG50</f>
        <v>71617.4906707731</v>
      </c>
      <c r="AI50" s="50" t="n">
        <f aca="false">IF(AND(mig_endo=1,$A50&gt;=talent_start),chain_rate*AH49,0)</f>
        <v>744.263996509906</v>
      </c>
      <c r="AJ50" s="50" t="n">
        <f aca="false">IF(AND(mig_endo=1,$A50&gt;=talent_start),IF(H49&gt;0,H49*job_fill,H49*job_return)*job_family,0)</f>
        <v>2359.02416447009</v>
      </c>
      <c r="AK50" s="50" t="n">
        <f aca="false">K50*gw_conv_family</f>
        <v>0</v>
      </c>
      <c r="AL50" s="50" t="n">
        <f aca="false">AG50+AI50+AJ50+AK50+AR50</f>
        <v>48769.9263599514</v>
      </c>
      <c r="AM50" s="50" t="n">
        <f aca="false">AM49*(1-skill_ret)+AD50</f>
        <v>29763.9165452039</v>
      </c>
      <c r="AN50" s="67" t="n">
        <f aca="false">AM50/B50</f>
        <v>0.0139533517209721</v>
      </c>
      <c r="AO50" s="67" t="n">
        <f aca="false">(skill_rel-1+skill_spill)*AM49/B49-AT50</f>
        <v>0.0103437182323129</v>
      </c>
      <c r="AP50" s="67" t="n">
        <f aca="false">talent_champ*AM49/(skill_base_share*B49)</f>
        <v>0.0202641658168213</v>
      </c>
      <c r="AQ50" s="48" t="n">
        <v>506000</v>
      </c>
      <c r="AR50" s="50" t="n">
        <f aca="false">IF(AND(div_on=1,$A50&gt;=div_start),AQ50*MIN(div_max,div_rate*U50)*(1-div_comp*S50),0)</f>
        <v>24609.4816911045</v>
      </c>
      <c r="AS50" s="50" t="n">
        <f aca="false">AS49*(1-div_assim)+AR50</f>
        <v>76909.0922790305</v>
      </c>
      <c r="AT50" s="67" t="n">
        <f aca="false">(1-div_rel)*AS49/Economy!B49</f>
        <v>0.00282798954862098</v>
      </c>
      <c r="AU50" s="50" t="n">
        <f aca="false">AU49*(1-skill_ret)+AE50</f>
        <v>15390.4259400319</v>
      </c>
      <c r="AV50" s="50" t="n">
        <f aca="false">AV49*(1+union_nat)+AR50</f>
        <v>87904.7440730343</v>
      </c>
      <c r="AW50" s="50" t="n">
        <f aca="false">AW49*(1+union_nat)+AE50*family_mult</f>
        <v>36607.2317741996</v>
      </c>
      <c r="AX50" s="70" t="n">
        <f aca="false">V50-(AV50+AW50)/1000000</f>
        <v>49.8754880241528</v>
      </c>
      <c r="AY50" s="50" t="n">
        <f aca="false">L50*gw_union</f>
        <v>16170.8824131293</v>
      </c>
      <c r="AZ50" s="49" t="n">
        <v>1.1</v>
      </c>
      <c r="BA50" s="50" t="n">
        <f aca="false">Economy!Q50*AZ50/lf_rate</f>
        <v>544.761904761905</v>
      </c>
      <c r="BB50" s="67" t="n">
        <f aca="false">bd_growth*AU49/W49</f>
        <v>0.000130671846422157</v>
      </c>
      <c r="BC50" s="67" t="n">
        <f aca="false">tg_k*MIN(1,Economy!O49/BK49)</f>
        <v>0.000465930231071476</v>
      </c>
      <c r="BD50" s="67" t="n">
        <f aca="false">emu_g*S50</f>
        <v>0</v>
      </c>
      <c r="BE50" s="68" t="n">
        <f aca="false">BE49*(1-BB50-BC50+BD50)</f>
        <v>0.988815057457328</v>
      </c>
      <c r="BF50" s="49" t="n">
        <v>1</v>
      </c>
      <c r="BG50" s="56" t="n">
        <f aca="false">AU50*BA50*BE50*(skill_rel-1+skill_spill)/1000000</f>
        <v>10.7774444373465</v>
      </c>
      <c r="BH50" s="56" t="n">
        <f aca="false">union_disp*(Champions!AP50+Champions!AZ50)*(1-IF(union_resp=2,mkt_cut*S50,0))</f>
        <v>22.6963197534359</v>
      </c>
      <c r="BI50" s="56" t="n">
        <f aca="false">AY50*BA50*BE50/1000000</f>
        <v>8.71074940652879</v>
      </c>
      <c r="BJ50" s="50" t="n">
        <f aca="false">V50*Economy!Q50*AZ50</f>
        <v>11440</v>
      </c>
      <c r="BK50" s="50" t="n">
        <f aca="false">MAX(0.3*BJ50,AX50*Economy!Q50*AZ50*BE50*BF50-BG50-BH50-BI50)</f>
        <v>11241.6900440875</v>
      </c>
      <c r="BL50" s="66" t="n">
        <f aca="false">1-BK50/BJ50</f>
        <v>0.0173347863559851</v>
      </c>
      <c r="BM50" s="50" t="n">
        <f aca="false">MAX(0,BH50-BH49)*1000000/BA50</f>
        <v>4588.81470883297</v>
      </c>
      <c r="BN50" s="50" t="n">
        <f aca="false">BN49*(1-IF(AND($A50&gt;=1930,$A50&lt;=1932),0,union_reabsorb))+BM50</f>
        <v>12453.1280701426</v>
      </c>
      <c r="BO50" s="62" t="n">
        <v>0.04</v>
      </c>
      <c r="BP50" s="66" t="n">
        <f aca="false">BO50+BN50/(AX50*1000000*lf_rate)</f>
        <v>0.0405944865123837</v>
      </c>
    </row>
    <row r="51" customFormat="false" ht="14.25" hidden="false" customHeight="false" outlineLevel="0" collapsed="false">
      <c r="A51" s="61" t="n">
        <v>1891</v>
      </c>
      <c r="B51" s="50" t="n">
        <f aca="false">Economy!B51*lf_rate</f>
        <v>2229659.79115525</v>
      </c>
      <c r="C51" s="50" t="n">
        <f aca="false">Economy!O51*1000000/(B51+L51)</f>
        <v>845.970870179991</v>
      </c>
      <c r="D51" s="50" t="n">
        <f aca="false">Champions!AP51*1000000/(C51*champ_prem)</f>
        <v>49148.5102136399</v>
      </c>
      <c r="E51" s="50" t="n">
        <f aca="false">D51*job_mult</f>
        <v>34403.9571495479</v>
      </c>
      <c r="F51" s="50" t="n">
        <f aca="false">D51+E51</f>
        <v>83552.4673631879</v>
      </c>
      <c r="G51" s="66" t="n">
        <f aca="false">F51/B51</f>
        <v>0.0374731910646766</v>
      </c>
      <c r="H51" s="50" t="n">
        <f aca="false">F51-F50</f>
        <v>11846.6755179742</v>
      </c>
      <c r="I51" s="66" t="n">
        <f aca="false">MAX(0.005,pac_u_base*IF(Paths!AC51=1,pac_u_war,1)+(okun*(1-Economy!G51)*(B51+L51)-MAX(0,L50-L51))/B51)</f>
        <v>0.015</v>
      </c>
      <c r="J51" s="50" t="n">
        <f aca="false">IF(AND(gw_on=1,$A51&gt;=gw_start),MIN(gw_cap*B50,gw_cover*F50+gw_gen*B50),0)</f>
        <v>213671.601179766</v>
      </c>
      <c r="K51" s="50" t="n">
        <f aca="false">L50*gw_conv</f>
        <v>2425.6323619694</v>
      </c>
      <c r="L51" s="50" t="n">
        <f aca="false">MAX(0,L50-K51+gw_adj*(J51-L50))*MAX(0,1-gw_slump*(1-Economy!G51))</f>
        <v>131555.655349325</v>
      </c>
      <c r="M51" s="50" t="n">
        <f aca="false">MAX(0,L51-L50+L50/gw_term)</f>
        <v>77652.7139722274</v>
      </c>
      <c r="N51" s="66" t="n">
        <f aca="false">L51/B51</f>
        <v>0.0590025688543104</v>
      </c>
      <c r="O51" s="56" t="n">
        <f aca="false">Economy!L51</f>
        <v>64.8689959126602</v>
      </c>
      <c r="P51" s="56" t="n">
        <f aca="false">O51*gw_wage_share</f>
        <v>42.1648473432291</v>
      </c>
      <c r="Q51" s="56" t="n">
        <f aca="false">P51*gw_levy</f>
        <v>10.5412118358073</v>
      </c>
      <c r="R51" s="56" t="n">
        <f aca="false">P51*gw_remit</f>
        <v>10.5412118358073</v>
      </c>
      <c r="S51" s="66" t="n">
        <f aca="false">IF(union_resp&gt;=1,MIN(1,MAX(0,($A51-resp_start)/(resp_full-resp_start))),0)</f>
        <v>0</v>
      </c>
      <c r="T51" s="70" t="n">
        <f aca="false">Economy!R50</f>
        <v>1.73141554334162</v>
      </c>
      <c r="U51" s="70" t="n">
        <f aca="false">MAX(0,T51-gap_base)</f>
        <v>0.231415543341619</v>
      </c>
      <c r="V51" s="71" t="n">
        <v>50.94</v>
      </c>
      <c r="W51" s="50" t="n">
        <f aca="false">V51*1000000*lf_rate*union_skill_share</f>
        <v>2567376</v>
      </c>
      <c r="X51" s="48" t="n">
        <v>82000</v>
      </c>
      <c r="Y51" s="50" t="n">
        <f aca="false">IF(AND(mig_endo=1,$A51&gt;=talent_start),talent_rate_u*W51*U51*(1-(1-bd_keep)*S51),0)</f>
        <v>5941.30712002232</v>
      </c>
      <c r="Z51" s="50" t="n">
        <f aca="false">IF(AND(mig_endo=1,$A51&gt;=talent_start),X51*MIN(0.5,talent_share_o*U51)*(1-eu_comp*S51),0)</f>
        <v>5123.54012958344</v>
      </c>
      <c r="AA51" s="48" t="n">
        <v>12000</v>
      </c>
      <c r="AB51" s="50" t="n">
        <f aca="false">IF(AND(mig_endo=1,$A51&gt;=talent_start),AA51*MIN(0.5,talent_share_a*U51),0)</f>
        <v>555.397304019886</v>
      </c>
      <c r="AC51" s="50" t="n">
        <f aca="false">entry_cap*People!B51</f>
        <v>15567.000568781</v>
      </c>
      <c r="AD51" s="50" t="n">
        <f aca="false">MIN(AC51,Y51+Z51+AB51)</f>
        <v>11620.2445536257</v>
      </c>
      <c r="AE51" s="50" t="n">
        <f aca="false">IF(Y51+Z51+AB51&gt;0,AD51*Y51/(Y51+Z51+AB51),0)</f>
        <v>5941.30712002232</v>
      </c>
      <c r="AF51" s="50" t="n">
        <f aca="false">IF(Y51+Z51+AB51&gt;0,AD51*AB51/(Y51+Z51+AB51),0)</f>
        <v>555.397304019886</v>
      </c>
      <c r="AG51" s="50" t="n">
        <f aca="false">AD51*family_mult</f>
        <v>25564.5380179764</v>
      </c>
      <c r="AH51" s="50" t="n">
        <f aca="false">AH50*(1+Paths!C51)+AG51</f>
        <v>98542.7610114942</v>
      </c>
      <c r="AI51" s="50" t="n">
        <f aca="false">IF(AND(mig_endo=1,$A51&gt;=talent_start),chain_rate*AH50,0)</f>
        <v>1074.2623600616</v>
      </c>
      <c r="AJ51" s="50" t="n">
        <f aca="false">IF(AND(mig_endo=1,$A51&gt;=talent_start),IF(H50&gt;0,H50*job_fill,H50*job_return)*job_family,0)</f>
        <v>4629.9747662443</v>
      </c>
      <c r="AK51" s="50" t="n">
        <f aca="false">K51*gw_conv_family</f>
        <v>4366.13825154492</v>
      </c>
      <c r="AL51" s="50" t="n">
        <f aca="false">AG51+AI51+AJ51+AK51+AR51</f>
        <v>63636.1941401632</v>
      </c>
      <c r="AM51" s="50" t="n">
        <f aca="false">AM50*(1-skill_ret)+AD51</f>
        <v>40640.0631851995</v>
      </c>
      <c r="AN51" s="67" t="n">
        <f aca="false">AM51/B51</f>
        <v>0.0182270242959993</v>
      </c>
      <c r="AO51" s="67" t="n">
        <f aca="false">(skill_rel-1+skill_spill)*AM50/B50-AT51</f>
        <v>0.0143535765784778</v>
      </c>
      <c r="AP51" s="67" t="n">
        <f aca="false">talent_champ*AM50/(skill_base_share*B50)</f>
        <v>0.0279067034419442</v>
      </c>
      <c r="AQ51" s="48" t="n">
        <v>484000</v>
      </c>
      <c r="AR51" s="50" t="n">
        <f aca="false">IF(AND(div_on=1,$A51&gt;=div_start),AQ51*MIN(div_max,div_rate*U51)*(1-div_comp*S51),0)</f>
        <v>28001.2807443359</v>
      </c>
      <c r="AS51" s="50" t="n">
        <f aca="false">AS50*(1-div_assim)+AR51</f>
        <v>101064.918409415</v>
      </c>
      <c r="AT51" s="67" t="n">
        <f aca="false">(1-div_rel)*AS50/Economy!B50</f>
        <v>0.00378578065878592</v>
      </c>
      <c r="AU51" s="50" t="n">
        <f aca="false">AU50*(1-skill_ret)+AE51</f>
        <v>20946.9724115534</v>
      </c>
      <c r="AV51" s="50" t="n">
        <f aca="false">AV50*(1+union_nat)+AR51</f>
        <v>117048.78649032</v>
      </c>
      <c r="AW51" s="50" t="n">
        <f aca="false">AW50*(1+union_nat)+AE51*family_mult</f>
        <v>50154.0014513133</v>
      </c>
      <c r="AX51" s="70" t="n">
        <f aca="false">V51-(AV51+AW51)/1000000</f>
        <v>50.7727972120584</v>
      </c>
      <c r="AY51" s="50" t="n">
        <f aca="false">L51*gw_union</f>
        <v>26311.131069865</v>
      </c>
      <c r="AZ51" s="49" t="n">
        <v>1.099</v>
      </c>
      <c r="BA51" s="50" t="n">
        <f aca="false">Economy!Q51*AZ51/lf_rate</f>
        <v>539.033333333333</v>
      </c>
      <c r="BB51" s="67" t="n">
        <f aca="false">bd_growth*AU50/W50</f>
        <v>0.000183219356428951</v>
      </c>
      <c r="BC51" s="67" t="n">
        <f aca="false">tg_k*MIN(1,Economy!O50/BK50)</f>
        <v>0.000495879353573161</v>
      </c>
      <c r="BD51" s="67" t="n">
        <f aca="false">emu_g*S51</f>
        <v>0</v>
      </c>
      <c r="BE51" s="68" t="n">
        <f aca="false">BE50*(1-BB51-BC51+BD51)</f>
        <v>0.988143554427377</v>
      </c>
      <c r="BF51" s="49" t="n">
        <v>1</v>
      </c>
      <c r="BG51" s="56" t="n">
        <f aca="false">AU51*BA51*BE51*(skill_rel-1+skill_spill)/1000000</f>
        <v>14.5044170123293</v>
      </c>
      <c r="BH51" s="56" t="n">
        <f aca="false">union_disp*(Champions!AP51+Champions!AZ51)*(1-IF(union_resp=2,mkt_cut*S51,0))</f>
        <v>26.8012538002667</v>
      </c>
      <c r="BI51" s="56" t="n">
        <f aca="false">AY51*BA51*BE51/1000000</f>
        <v>14.0144217358219</v>
      </c>
      <c r="BJ51" s="50" t="n">
        <f aca="false">V51*Economy!Q51*AZ51</f>
        <v>11532.51036</v>
      </c>
      <c r="BK51" s="50" t="n">
        <f aca="false">MAX(0.3*BJ51,AX51*Economy!Q51*AZ51*BE51*BF51-BG51-BH51-BI51)</f>
        <v>11303.0507885076</v>
      </c>
      <c r="BL51" s="66" t="n">
        <f aca="false">1-BK51/BJ51</f>
        <v>0.0198967583231733</v>
      </c>
      <c r="BM51" s="50" t="n">
        <f aca="false">MAX(0,BH51-BH50)*1000000/BA51</f>
        <v>7615.36215477854</v>
      </c>
      <c r="BN51" s="50" t="n">
        <f aca="false">BN50*(1-IF(AND($A51&gt;=1930,$A51&lt;=1932),0,union_reabsorb))+BM51</f>
        <v>16955.2082073855</v>
      </c>
      <c r="BO51" s="62" t="n">
        <v>0.066</v>
      </c>
      <c r="BP51" s="66" t="n">
        <f aca="false">BO51+BN51/(AX51*1000000*lf_rate)</f>
        <v>0.0667951018176586</v>
      </c>
    </row>
    <row r="52" customFormat="false" ht="14.25" hidden="false" customHeight="false" outlineLevel="0" collapsed="false">
      <c r="A52" s="61" t="n">
        <v>1892</v>
      </c>
      <c r="B52" s="50" t="n">
        <f aca="false">Economy!B52*lf_rate</f>
        <v>2334739.44219346</v>
      </c>
      <c r="C52" s="50" t="n">
        <f aca="false">Economy!O52*1000000/(B52+L52)</f>
        <v>856.357772061769</v>
      </c>
      <c r="D52" s="50" t="n">
        <f aca="false">Champions!AP52*1000000/(C52*champ_prem)</f>
        <v>56096.2860103012</v>
      </c>
      <c r="E52" s="50" t="n">
        <f aca="false">D52*job_mult</f>
        <v>39267.4002072108</v>
      </c>
      <c r="F52" s="50" t="n">
        <f aca="false">D52+E52</f>
        <v>95363.686217512</v>
      </c>
      <c r="G52" s="66" t="n">
        <f aca="false">F52/B52</f>
        <v>0.0408455369768881</v>
      </c>
      <c r="H52" s="50" t="n">
        <f aca="false">F52-F51</f>
        <v>11811.2188543242</v>
      </c>
      <c r="I52" s="66" t="n">
        <f aca="false">MAX(0.005,pac_u_base*IF(Paths!AC52=1,pac_u_war,1)+(okun*(1-Economy!G52)*(B52+L52)-MAX(0,L51-L52))/B52)</f>
        <v>0.015</v>
      </c>
      <c r="J52" s="50" t="n">
        <f aca="false">IF(AND(gw_on=1,$A52&gt;=gw_start),MIN(gw_cap*B51,gw_cover*F51+gw_gen*B51),0)</f>
        <v>228504.263710333</v>
      </c>
      <c r="K52" s="50" t="n">
        <f aca="false">L51*gw_conv</f>
        <v>3946.66966047976</v>
      </c>
      <c r="L52" s="50" t="n">
        <f aca="false">MAX(0,L51-K52+gw_adj*(J52-L51))*MAX(0,1-gw_slump*(1-Economy!G52))</f>
        <v>166388.429033249</v>
      </c>
      <c r="M52" s="50" t="n">
        <f aca="false">MAX(0,L52-L51+L51/gw_term)</f>
        <v>78684.6588003651</v>
      </c>
      <c r="N52" s="66" t="n">
        <f aca="false">L52/B52</f>
        <v>0.0712663803190512</v>
      </c>
      <c r="O52" s="56" t="n">
        <f aca="false">Economy!L52</f>
        <v>83.3319042519256</v>
      </c>
      <c r="P52" s="56" t="n">
        <f aca="false">O52*gw_wage_share</f>
        <v>54.1657377637516</v>
      </c>
      <c r="Q52" s="56" t="n">
        <f aca="false">P52*gw_levy</f>
        <v>13.5414344409379</v>
      </c>
      <c r="R52" s="56" t="n">
        <f aca="false">P52*gw_remit</f>
        <v>13.5414344409379</v>
      </c>
      <c r="S52" s="66" t="n">
        <f aca="false">IF(union_resp&gt;=1,MIN(1,MAX(0,($A52-resp_start)/(resp_full-resp_start))),0)</f>
        <v>0</v>
      </c>
      <c r="T52" s="70" t="n">
        <f aca="false">Economy!R51</f>
        <v>1.78239269836556</v>
      </c>
      <c r="U52" s="70" t="n">
        <f aca="false">MAX(0,T52-gap_base)</f>
        <v>0.282392698365557</v>
      </c>
      <c r="V52" s="71" t="n">
        <v>51.88</v>
      </c>
      <c r="W52" s="50" t="n">
        <f aca="false">V52*1000000*lf_rate*union_skill_share</f>
        <v>2614752</v>
      </c>
      <c r="X52" s="48" t="n">
        <v>84000</v>
      </c>
      <c r="Y52" s="50" t="n">
        <f aca="false">IF(AND(mig_endo=1,$A52&gt;=talent_start),talent_rate_u*W52*U52*(1-(1-bd_keep)*S52),0)</f>
        <v>7383.86872836736</v>
      </c>
      <c r="Z52" s="50" t="n">
        <f aca="false">IF(AND(mig_endo=1,$A52&gt;=talent_start),X52*MIN(0.5,talent_share_o*U52)*(1-eu_comp*S52),0)</f>
        <v>6404.66639893083</v>
      </c>
      <c r="AA52" s="48" t="n">
        <v>13000</v>
      </c>
      <c r="AB52" s="50" t="n">
        <f aca="false">IF(AND(mig_endo=1,$A52&gt;=talent_start),AA52*MIN(0.5,talent_share_a*U52),0)</f>
        <v>734.221015750447</v>
      </c>
      <c r="AC52" s="50" t="n">
        <f aca="false">entry_cap*People!B52</f>
        <v>16285.2821620083</v>
      </c>
      <c r="AD52" s="50" t="n">
        <f aca="false">MIN(AC52,Y52+Z52+AB52)</f>
        <v>14522.7561430486</v>
      </c>
      <c r="AE52" s="50" t="n">
        <f aca="false">IF(Y52+Z52+AB52&gt;0,AD52*Y52/(Y52+Z52+AB52),0)</f>
        <v>7383.86872836736</v>
      </c>
      <c r="AF52" s="50" t="n">
        <f aca="false">IF(Y52+Z52+AB52&gt;0,AD52*AB52/(Y52+Z52+AB52),0)</f>
        <v>734.221015750447</v>
      </c>
      <c r="AG52" s="50" t="n">
        <f aca="false">AD52*family_mult</f>
        <v>31950.063514707</v>
      </c>
      <c r="AH52" s="50" t="n">
        <f aca="false">AH51*(1+Paths!C52)+AG52</f>
        <v>132365.13698542</v>
      </c>
      <c r="AI52" s="50" t="n">
        <f aca="false">IF(AND(mig_endo=1,$A52&gt;=talent_start),chain_rate*AH51,0)</f>
        <v>1478.14141517241</v>
      </c>
      <c r="AJ52" s="50" t="n">
        <f aca="false">IF(AND(mig_endo=1,$A52&gt;=talent_start),IF(H51&gt;0,H51*job_fill,H51*job_return)*job_family,0)</f>
        <v>7463.40557632375</v>
      </c>
      <c r="AK52" s="50" t="n">
        <f aca="false">K52*gw_conv_family</f>
        <v>7104.00538886356</v>
      </c>
      <c r="AL52" s="50" t="n">
        <f aca="false">AG52+AI52+AJ52+AK52+AR52</f>
        <v>80611.9725562885</v>
      </c>
      <c r="AM52" s="50" t="n">
        <f aca="false">AM51*(1-skill_ret)+AD52</f>
        <v>54146.8177486181</v>
      </c>
      <c r="AN52" s="67" t="n">
        <f aca="false">AM52/B52</f>
        <v>0.0231918032351173</v>
      </c>
      <c r="AO52" s="67" t="n">
        <f aca="false">(skill_rel-1+skill_spill)*AM51/B51-AT52</f>
        <v>0.018935743414871</v>
      </c>
      <c r="AP52" s="67" t="n">
        <f aca="false">talent_champ*AM51/(skill_base_share*B51)</f>
        <v>0.0364540485919986</v>
      </c>
      <c r="AQ52" s="48" t="n">
        <v>462000</v>
      </c>
      <c r="AR52" s="50" t="n">
        <f aca="false">IF(AND(div_on=1,$A52&gt;=div_start),AQ52*MIN(div_max,div_rate*U52)*(1-div_comp*S52),0)</f>
        <v>32616.3566612218</v>
      </c>
      <c r="AS52" s="50" t="n">
        <f aca="false">AS51*(1-div_assim)+AR52</f>
        <v>128628.029150166</v>
      </c>
      <c r="AT52" s="67" t="n">
        <f aca="false">(1-div_rel)*AS51/Economy!B51</f>
        <v>0.00475938816992805</v>
      </c>
      <c r="AU52" s="50" t="n">
        <f aca="false">AU51*(1-skill_ret)+AE52</f>
        <v>27807.1668296319</v>
      </c>
      <c r="AV52" s="50" t="n">
        <f aca="false">AV51*(1+union_nat)+AR52</f>
        <v>151186.777375916</v>
      </c>
      <c r="AW52" s="50" t="n">
        <f aca="false">AW51*(1+union_nat)+AE52*family_mult</f>
        <v>67050.5146725885</v>
      </c>
      <c r="AX52" s="70" t="n">
        <f aca="false">V52-(AV52+AW52)/1000000</f>
        <v>51.6617627079515</v>
      </c>
      <c r="AY52" s="50" t="n">
        <f aca="false">L52*gw_union</f>
        <v>33277.6858066497</v>
      </c>
      <c r="AZ52" s="49" t="n">
        <v>1.098</v>
      </c>
      <c r="BA52" s="50" t="n">
        <f aca="false">Economy!Q52*AZ52/lf_rate</f>
        <v>535.928571428572</v>
      </c>
      <c r="BB52" s="67" t="n">
        <f aca="false">bd_growth*AU51/W51</f>
        <v>0.000244767097747507</v>
      </c>
      <c r="BC52" s="67" t="n">
        <f aca="false">tg_k*MIN(1,Economy!O51/BK51)</f>
        <v>0.000530171771322014</v>
      </c>
      <c r="BD52" s="67" t="n">
        <f aca="false">emu_g*S52</f>
        <v>0</v>
      </c>
      <c r="BE52" s="68" t="n">
        <f aca="false">BE51*(1-BB52-BC52+BD52)</f>
        <v>0.987377803578831</v>
      </c>
      <c r="BF52" s="49" t="n">
        <v>1</v>
      </c>
      <c r="BG52" s="56" t="n">
        <f aca="false">AU52*BA52*BE52*(skill_rel-1+skill_spill)/1000000</f>
        <v>19.1289162394446</v>
      </c>
      <c r="BH52" s="56" t="n">
        <f aca="false">union_disp*(Champions!AP52+Champions!AZ52)*(1-IF(union_resp=2,mkt_cut*S52,0))</f>
        <v>31.0713375470627</v>
      </c>
      <c r="BI52" s="56" t="n">
        <f aca="false">AY52*BA52*BE52/1000000</f>
        <v>17.6093525246166</v>
      </c>
      <c r="BJ52" s="50" t="n">
        <f aca="false">V52*Economy!Q52*AZ52</f>
        <v>11677.6692</v>
      </c>
      <c r="BK52" s="50" t="n">
        <f aca="false">MAX(0.3*BJ52,AX52*Economy!Q52*AZ52*BE52*BF52-BG52-BH52-BI52)</f>
        <v>11413.9587677974</v>
      </c>
      <c r="BL52" s="66" t="n">
        <f aca="false">1-BK52/BJ52</f>
        <v>0.0225824543995987</v>
      </c>
      <c r="BM52" s="50" t="n">
        <f aca="false">MAX(0,BH52-BH51)*1000000/BA52</f>
        <v>7967.63593964346</v>
      </c>
      <c r="BN52" s="50" t="n">
        <f aca="false">BN51*(1-IF(AND($A52&gt;=1930,$A52&lt;=1932),0,union_reabsorb))+BM52</f>
        <v>20684.0420951826</v>
      </c>
      <c r="BO52" s="62" t="n">
        <v>0.091</v>
      </c>
      <c r="BP52" s="66" t="n">
        <f aca="false">BO52+BN52/(AX52*1000000*lf_rate)</f>
        <v>0.0919532721435125</v>
      </c>
    </row>
    <row r="53" customFormat="false" ht="14.25" hidden="false" customHeight="false" outlineLevel="0" collapsed="false">
      <c r="A53" s="61" t="n">
        <v>1893</v>
      </c>
      <c r="B53" s="50" t="n">
        <f aca="false">Economy!B53*lf_rate</f>
        <v>2447709.15094292</v>
      </c>
      <c r="C53" s="50" t="n">
        <f aca="false">Economy!O53*1000000/(B53+L53)</f>
        <v>830.561740993764</v>
      </c>
      <c r="D53" s="50" t="n">
        <f aca="false">Champions!AP53*1000000/(C53*champ_prem)</f>
        <v>66301.9155395164</v>
      </c>
      <c r="E53" s="50" t="n">
        <f aca="false">D53*job_mult</f>
        <v>46411.3408776615</v>
      </c>
      <c r="F53" s="50" t="n">
        <f aca="false">D53+E53</f>
        <v>112713.256417178</v>
      </c>
      <c r="G53" s="66" t="n">
        <f aca="false">F53/B53</f>
        <v>0.0460484679618728</v>
      </c>
      <c r="H53" s="50" t="n">
        <f aca="false">F53-F52</f>
        <v>17349.5701996658</v>
      </c>
      <c r="I53" s="66" t="n">
        <f aca="false">MAX(0.005,pac_u_base*IF(Paths!AC53=1,pac_u_war,1)+(okun*(1-Economy!G53)*(B53+L53)-MAX(0,L52-L53))/B53)</f>
        <v>0.041808273699633</v>
      </c>
      <c r="J53" s="50" t="n">
        <f aca="false">IF(AND(gw_on=1,$A53&gt;=gw_start),MIN(gw_cap*B52,gw_cover*F52+gw_gen*B52),0)</f>
        <v>243997.367105984</v>
      </c>
      <c r="K53" s="50" t="n">
        <f aca="false">L52*gw_conv</f>
        <v>4991.65287099746</v>
      </c>
      <c r="L53" s="50" t="n">
        <f aca="false">MAX(0,L52-K53+gw_adj*(J53-L52))*MAX(0,1-gw_slump*(1-Economy!G53))</f>
        <v>177045.123280038</v>
      </c>
      <c r="M53" s="50" t="n">
        <f aca="false">MAX(0,L53-L52+L52/gw_term)</f>
        <v>66119.5039245386</v>
      </c>
      <c r="N53" s="66" t="n">
        <f aca="false">L53/B53</f>
        <v>0.0723309479853174</v>
      </c>
      <c r="O53" s="56" t="n">
        <f aca="false">Economy!L53</f>
        <v>85.6846481887363</v>
      </c>
      <c r="P53" s="56" t="n">
        <f aca="false">O53*gw_wage_share</f>
        <v>55.6950213226786</v>
      </c>
      <c r="Q53" s="56" t="n">
        <f aca="false">P53*gw_levy</f>
        <v>13.9237553306696</v>
      </c>
      <c r="R53" s="56" t="n">
        <f aca="false">P53*gw_remit</f>
        <v>13.9237553306696</v>
      </c>
      <c r="S53" s="66" t="n">
        <f aca="false">IF(union_resp&gt;=1,MIN(1,MAX(0,($A53-resp_start)/(resp_full-resp_start))),0)</f>
        <v>0</v>
      </c>
      <c r="T53" s="70" t="n">
        <f aca="false">Economy!R52</f>
        <v>1.82490242121921</v>
      </c>
      <c r="U53" s="70" t="n">
        <f aca="false">MAX(0,T53-gap_base)</f>
        <v>0.32490242121921</v>
      </c>
      <c r="V53" s="71" t="n">
        <v>52.82</v>
      </c>
      <c r="W53" s="50" t="n">
        <f aca="false">V53*1000000*lf_rate*union_skill_share</f>
        <v>2662128</v>
      </c>
      <c r="X53" s="48" t="n">
        <v>86000</v>
      </c>
      <c r="Y53" s="50" t="n">
        <f aca="false">IF(AND(mig_endo=1,$A53&gt;=talent_start),talent_rate_u*W53*U53*(1-(1-bd_keep)*S53),0)</f>
        <v>8649.31832795454</v>
      </c>
      <c r="Z53" s="50" t="n">
        <f aca="false">IF(AND(mig_endo=1,$A53&gt;=talent_start),X53*MIN(0.5,talent_share_o*U53)*(1-eu_comp*S53),0)</f>
        <v>7544.23422071007</v>
      </c>
      <c r="AA53" s="48" t="n">
        <v>14000</v>
      </c>
      <c r="AB53" s="50" t="n">
        <f aca="false">IF(AND(mig_endo=1,$A53&gt;=talent_start),AA53*MIN(0.5,talent_share_a*U53),0)</f>
        <v>909.726779413789</v>
      </c>
      <c r="AC53" s="50" t="n">
        <f aca="false">entry_cap*People!B53</f>
        <v>17068.1384407554</v>
      </c>
      <c r="AD53" s="50" t="n">
        <f aca="false">MIN(AC53,Y53+Z53+AB53)</f>
        <v>17068.1384407554</v>
      </c>
      <c r="AE53" s="50" t="n">
        <f aca="false">IF(Y53+Z53+AB53&gt;0,AD53*Y53/(Y53+Z53+AB53),0)</f>
        <v>8631.5471909139</v>
      </c>
      <c r="AF53" s="50" t="n">
        <f aca="false">IF(Y53+Z53+AB53&gt;0,AD53*AB53/(Y53+Z53+AB53),0)</f>
        <v>907.857628730058</v>
      </c>
      <c r="AG53" s="50" t="n">
        <f aca="false">AD53*family_mult</f>
        <v>37549.9045696618</v>
      </c>
      <c r="AH53" s="50" t="n">
        <f aca="false">AH52*(1+Paths!C53)+AG53</f>
        <v>172429.979157804</v>
      </c>
      <c r="AI53" s="50" t="n">
        <f aca="false">IF(AND(mig_endo=1,$A53&gt;=talent_start),chain_rate*AH52,0)</f>
        <v>1985.47705478129</v>
      </c>
      <c r="AJ53" s="50" t="n">
        <f aca="false">IF(AND(mig_endo=1,$A53&gt;=talent_start),IF(H52&gt;0,H52*job_fill,H52*job_return)*job_family,0)</f>
        <v>7441.06787822423</v>
      </c>
      <c r="AK53" s="50" t="n">
        <f aca="false">K53*gw_conv_family</f>
        <v>8984.97516779542</v>
      </c>
      <c r="AL53" s="50" t="n">
        <f aca="false">AG53+AI53+AJ53+AK53+AR53</f>
        <v>91700.6910045759</v>
      </c>
      <c r="AM53" s="50" t="n">
        <f aca="false">AM52*(1-skill_ret)+AD53</f>
        <v>69861.2857456581</v>
      </c>
      <c r="AN53" s="67" t="n">
        <f aca="false">AM53/B53</f>
        <v>0.0285414979630018</v>
      </c>
      <c r="AO53" s="67" t="n">
        <f aca="false">(skill_rel-1+skill_spill)*AM52/B52-AT53</f>
        <v>0.0243645689040973</v>
      </c>
      <c r="AP53" s="67" t="n">
        <f aca="false">talent_champ*AM52/(skill_base_share*B52)</f>
        <v>0.0463836064702345</v>
      </c>
      <c r="AQ53" s="48" t="n">
        <v>440000</v>
      </c>
      <c r="AR53" s="50" t="n">
        <f aca="false">IF(AND(div_on=1,$A53&gt;=div_start),AQ53*MIN(div_max,div_rate*U53)*(1-div_comp*S53),0)</f>
        <v>35739.2663341132</v>
      </c>
      <c r="AS53" s="50" t="n">
        <f aca="false">AS52*(1-div_assim)+AR53</f>
        <v>157935.894026771</v>
      </c>
      <c r="AT53" s="67" t="n">
        <f aca="false">(1-div_rel)*AS52/Economy!B52</f>
        <v>0.00578477530155517</v>
      </c>
      <c r="AU53" s="50" t="n">
        <f aca="false">AU52*(1-skill_ret)+AE53</f>
        <v>35743.534849805</v>
      </c>
      <c r="AV53" s="50" t="n">
        <f aca="false">AV52*(1+union_nat)+AR53</f>
        <v>188891.471815916</v>
      </c>
      <c r="AW53" s="50" t="n">
        <f aca="false">AW52*(1+union_nat)+AE53*family_mult</f>
        <v>86911.5751833427</v>
      </c>
      <c r="AX53" s="70" t="n">
        <f aca="false">V53-(AV53+AW53)/1000000</f>
        <v>52.5441969530007</v>
      </c>
      <c r="AY53" s="50" t="n">
        <f aca="false">L53*gw_union</f>
        <v>35409.0246560075</v>
      </c>
      <c r="AZ53" s="49" t="n">
        <v>1.097</v>
      </c>
      <c r="BA53" s="50" t="n">
        <f aca="false">Economy!Q53*AZ53/lf_rate</f>
        <v>530.216666666667</v>
      </c>
      <c r="BB53" s="67" t="n">
        <f aca="false">bd_growth*AU52/W52</f>
        <v>0.00031904173125748</v>
      </c>
      <c r="BC53" s="67" t="n">
        <f aca="false">tg_k*MIN(1,Economy!O52/BK52)</f>
        <v>0.0005629581291694</v>
      </c>
      <c r="BD53" s="67" t="n">
        <f aca="false">emu_g*S53</f>
        <v>0</v>
      </c>
      <c r="BE53" s="68" t="n">
        <f aca="false">BE52*(1-BB53-BC53+BD53)</f>
        <v>0.986506936493886</v>
      </c>
      <c r="BF53" s="49" t="n">
        <v>1</v>
      </c>
      <c r="BG53" s="56" t="n">
        <f aca="false">AU53*BA53*BE53*(skill_rel-1+skill_spill)/1000000</f>
        <v>24.3049297665547</v>
      </c>
      <c r="BH53" s="56" t="n">
        <f aca="false">union_disp*(Champions!AP53+Champions!AZ53)*(1-IF(union_resp=2,mkt_cut*S53,0))</f>
        <v>35.720752251637</v>
      </c>
      <c r="BI53" s="56" t="n">
        <f aca="false">AY53*BA53*BE53/1000000</f>
        <v>18.5211301091078</v>
      </c>
      <c r="BJ53" s="50" t="n">
        <f aca="false">V53*Economy!Q53*AZ53</f>
        <v>11762.53862</v>
      </c>
      <c r="BK53" s="50" t="n">
        <f aca="false">MAX(0.3*BJ53,AX53*Economy!Q53*AZ53*BE53*BF53-BG53-BH53-BI53)</f>
        <v>11464.6889994697</v>
      </c>
      <c r="BL53" s="66" t="n">
        <f aca="false">1-BK53/BJ53</f>
        <v>0.0253218824738986</v>
      </c>
      <c r="BM53" s="50" t="n">
        <f aca="false">MAX(0,BH53-BH52)*1000000/BA53</f>
        <v>8768.89580594267</v>
      </c>
      <c r="BN53" s="50" t="n">
        <f aca="false">BN52*(1-IF(AND($A53&gt;=1930,$A53&lt;=1932),0,union_reabsorb))+BM53</f>
        <v>24281.9273773296</v>
      </c>
      <c r="BO53" s="62" t="n">
        <v>0.117</v>
      </c>
      <c r="BP53" s="66" t="n">
        <f aca="false">BO53+BN53/(AX53*1000000*lf_rate)</f>
        <v>0.11810029491658</v>
      </c>
    </row>
    <row r="54" customFormat="false" ht="14.25" hidden="false" customHeight="false" outlineLevel="0" collapsed="false">
      <c r="A54" s="61" t="n">
        <v>1894</v>
      </c>
      <c r="B54" s="50" t="n">
        <f aca="false">Economy!B54*lf_rate</f>
        <v>2564052.93863443</v>
      </c>
      <c r="C54" s="50" t="n">
        <f aca="false">Economy!O54*1000000/(B54+L54)</f>
        <v>836.979785600593</v>
      </c>
      <c r="D54" s="50" t="n">
        <f aca="false">Champions!AP54*1000000/(C54*champ_prem)</f>
        <v>74322.1674884408</v>
      </c>
      <c r="E54" s="50" t="n">
        <f aca="false">D54*job_mult</f>
        <v>52025.5172419085</v>
      </c>
      <c r="F54" s="50" t="n">
        <f aca="false">D54+E54</f>
        <v>126347.684730349</v>
      </c>
      <c r="G54" s="66" t="n">
        <f aca="false">F54/B54</f>
        <v>0.0492765507398766</v>
      </c>
      <c r="H54" s="50" t="n">
        <f aca="false">F54-F53</f>
        <v>13634.4283131715</v>
      </c>
      <c r="I54" s="66" t="n">
        <f aca="false">MAX(0.005,pac_u_base*IF(Paths!AC54=1,pac_u_war,1)+(okun*(1-Economy!G54)*(B54+L54)-MAX(0,L53-L54))/B54)</f>
        <v>0.0471819683214553</v>
      </c>
      <c r="J54" s="50" t="n">
        <f aca="false">IF(AND(gw_on=1,$A54&gt;=gw_start),MIN(gw_cap*B53,gw_cover*F53+gw_gen*B53),0)</f>
        <v>263444.68592574</v>
      </c>
      <c r="K54" s="50" t="n">
        <f aca="false">L53*gw_conv</f>
        <v>5311.35369840113</v>
      </c>
      <c r="L54" s="50" t="n">
        <f aca="false">MAX(0,L53-K54+gw_adj*(J54-L53))*MAX(0,1-gw_slump*(1-Economy!G54))</f>
        <v>186489.409554485</v>
      </c>
      <c r="M54" s="50" t="n">
        <f aca="false">MAX(0,L54-L53+L53/gw_term)</f>
        <v>68459.3273677937</v>
      </c>
      <c r="N54" s="66" t="n">
        <f aca="false">L54/B54</f>
        <v>0.0727322773818415</v>
      </c>
      <c r="O54" s="56" t="n">
        <f aca="false">Economy!L54</f>
        <v>90.8143232742485</v>
      </c>
      <c r="P54" s="56" t="n">
        <f aca="false">O54*gw_wage_share</f>
        <v>59.0293101282616</v>
      </c>
      <c r="Q54" s="56" t="n">
        <f aca="false">P54*gw_levy</f>
        <v>14.7573275320654</v>
      </c>
      <c r="R54" s="56" t="n">
        <f aca="false">P54*gw_remit</f>
        <v>14.7573275320654</v>
      </c>
      <c r="S54" s="66" t="n">
        <f aca="false">IF(union_resp&gt;=1,MIN(1,MAX(0,($A54-resp_start)/(resp_full-resp_start))),0)</f>
        <v>0</v>
      </c>
      <c r="T54" s="70" t="n">
        <f aca="false">Economy!R53</f>
        <v>1.78836851965712</v>
      </c>
      <c r="U54" s="70" t="n">
        <f aca="false">MAX(0,T54-gap_base)</f>
        <v>0.288368519657124</v>
      </c>
      <c r="V54" s="71" t="n">
        <v>53.76</v>
      </c>
      <c r="W54" s="50" t="n">
        <f aca="false">V54*1000000*lf_rate*union_skill_share</f>
        <v>2709504</v>
      </c>
      <c r="X54" s="48" t="n">
        <v>88000</v>
      </c>
      <c r="Y54" s="50" t="n">
        <f aca="false">IF(AND(mig_endo=1,$A54&gt;=talent_start),talent_rate_u*W54*U54*(1-(1-bd_keep)*S54),0)</f>
        <v>7813.35657485057</v>
      </c>
      <c r="Z54" s="50" t="n">
        <f aca="false">IF(AND(mig_endo=1,$A54&gt;=talent_start),X54*MIN(0.5,talent_share_o*U54)*(1-eu_comp*S54),0)</f>
        <v>6851.63602705328</v>
      </c>
      <c r="AA54" s="48" t="n">
        <v>14000</v>
      </c>
      <c r="AB54" s="50" t="n">
        <f aca="false">IF(AND(mig_endo=1,$A54&gt;=talent_start),AA54*MIN(0.5,talent_share_a*U54),0)</f>
        <v>807.431855039948</v>
      </c>
      <c r="AC54" s="50" t="n">
        <f aca="false">entry_cap*People!B54</f>
        <v>17899.1351441434</v>
      </c>
      <c r="AD54" s="50" t="n">
        <f aca="false">MIN(AC54,Y54+Z54+AB54)</f>
        <v>15472.4244569438</v>
      </c>
      <c r="AE54" s="50" t="n">
        <f aca="false">IF(Y54+Z54+AB54&gt;0,AD54*Y54/(Y54+Z54+AB54),0)</f>
        <v>7813.35657485057</v>
      </c>
      <c r="AF54" s="50" t="n">
        <f aca="false">IF(Y54+Z54+AB54&gt;0,AD54*AB54/(Y54+Z54+AB54),0)</f>
        <v>807.431855039948</v>
      </c>
      <c r="AG54" s="50" t="n">
        <f aca="false">AD54*family_mult</f>
        <v>34039.3338052764</v>
      </c>
      <c r="AH54" s="50" t="n">
        <f aca="false">AH53*(1+Paths!C54)+AG54</f>
        <v>209745.482567079</v>
      </c>
      <c r="AI54" s="50" t="n">
        <f aca="false">IF(AND(mig_endo=1,$A54&gt;=talent_start),chain_rate*AH53,0)</f>
        <v>2586.44968736707</v>
      </c>
      <c r="AJ54" s="50" t="n">
        <f aca="false">IF(AND(mig_endo=1,$A54&gt;=talent_start),IF(H53&gt;0,H53*job_fill,H53*job_return)*job_family,0)</f>
        <v>10930.2292257894</v>
      </c>
      <c r="AK54" s="50" t="n">
        <f aca="false">K54*gw_conv_family</f>
        <v>9560.43665712203</v>
      </c>
      <c r="AL54" s="50" t="n">
        <f aca="false">AG54+AI54+AJ54+AK54+AR54</f>
        <v>86457.9462506673</v>
      </c>
      <c r="AM54" s="50" t="n">
        <f aca="false">AM53*(1-skill_ret)+AD54</f>
        <v>83587.1780589604</v>
      </c>
      <c r="AN54" s="67" t="n">
        <f aca="false">AM54/B54</f>
        <v>0.0325996303740427</v>
      </c>
      <c r="AO54" s="67" t="n">
        <f aca="false">(skill_rel-1+skill_spill)*AM53/B53-AT54</f>
        <v>0.0303289312653617</v>
      </c>
      <c r="AP54" s="67" t="n">
        <f aca="false">talent_champ*AM53/(skill_base_share*B53)</f>
        <v>0.0570829959260036</v>
      </c>
      <c r="AQ54" s="48" t="n">
        <v>407000</v>
      </c>
      <c r="AR54" s="50" t="n">
        <f aca="false">IF(AND(div_on=1,$A54&gt;=div_start),AQ54*MIN(div_max,div_rate*U54)*(1-div_comp*S54),0)</f>
        <v>29341.4968751124</v>
      </c>
      <c r="AS54" s="50" t="n">
        <f aca="false">AS53*(1-div_assim)+AR54</f>
        <v>179380.596200545</v>
      </c>
      <c r="AT54" s="67" t="n">
        <f aca="false">(1-div_rel)*AS53/Economy!B53</f>
        <v>0.00677501608654062</v>
      </c>
      <c r="AU54" s="50" t="n">
        <f aca="false">AU53*(1-skill_ret)+AE54</f>
        <v>42663.3030534105</v>
      </c>
      <c r="AV54" s="50" t="n">
        <f aca="false">AV53*(1+union_nat)+AR54</f>
        <v>220688.557824635</v>
      </c>
      <c r="AW54" s="50" t="n">
        <f aca="false">AW53*(1+union_nat)+AE54*family_mult</f>
        <v>105230.810125397</v>
      </c>
      <c r="AX54" s="70" t="n">
        <f aca="false">V54-(AV54+AW54)/1000000</f>
        <v>53.43408063205</v>
      </c>
      <c r="AY54" s="50" t="n">
        <f aca="false">L54*gw_union</f>
        <v>37297.8819108971</v>
      </c>
      <c r="AZ54" s="49" t="n">
        <v>1.097</v>
      </c>
      <c r="BA54" s="50" t="n">
        <f aca="false">Economy!Q54*AZ54/lf_rate</f>
        <v>527.604761904762</v>
      </c>
      <c r="BB54" s="67" t="n">
        <f aca="false">bd_growth*AU53/W53</f>
        <v>0.00040280033322746</v>
      </c>
      <c r="BC54" s="67" t="n">
        <f aca="false">tg_k*MIN(1,Economy!O53/BK53)</f>
        <v>0.000570452581778786</v>
      </c>
      <c r="BD54" s="67" t="n">
        <f aca="false">emu_g*S54</f>
        <v>0</v>
      </c>
      <c r="BE54" s="68" t="n">
        <f aca="false">BE53*(1-BB54-BC54+BD54)</f>
        <v>0.985546815742269</v>
      </c>
      <c r="BF54" s="49" t="n">
        <v>1</v>
      </c>
      <c r="BG54" s="56" t="n">
        <f aca="false">AU54*BA54*BE54*(skill_rel-1+skill_spill)/1000000</f>
        <v>28.8392388637985</v>
      </c>
      <c r="BH54" s="56" t="n">
        <f aca="false">union_disp*(Champions!AP54+Champions!AZ54)*(1-IF(union_resp=2,mkt_cut*S54,0))</f>
        <v>40.4249428207888</v>
      </c>
      <c r="BI54" s="56" t="n">
        <f aca="false">AY54*BA54*BE54/1000000</f>
        <v>19.3941225390879</v>
      </c>
      <c r="BJ54" s="50" t="n">
        <f aca="false">V54*Economy!Q54*AZ54</f>
        <v>11912.89344</v>
      </c>
      <c r="BK54" s="50" t="n">
        <f aca="false">MAX(0.3*BJ54,AX54*Economy!Q54*AZ54*BE54*BF54-BG54-BH54-BI54)</f>
        <v>11580.8779500658</v>
      </c>
      <c r="BL54" s="66" t="n">
        <f aca="false">1-BK54/BJ54</f>
        <v>0.0278702643993588</v>
      </c>
      <c r="BM54" s="50" t="n">
        <f aca="false">MAX(0,BH54-BH53)*1000000/BA54</f>
        <v>8916.12606408004</v>
      </c>
      <c r="BN54" s="50" t="n">
        <f aca="false">BN53*(1-IF(AND($A54&gt;=1930,$A54&lt;=1932),0,union_reabsorb))+BM54</f>
        <v>27127.5715970772</v>
      </c>
      <c r="BO54" s="62" t="n">
        <v>0.184</v>
      </c>
      <c r="BP54" s="66" t="n">
        <f aca="false">BO54+BN54/(AX54*1000000*lf_rate)</f>
        <v>0.185208768924617</v>
      </c>
    </row>
    <row r="55" customFormat="false" ht="14.25" hidden="false" customHeight="false" outlineLevel="0" collapsed="false">
      <c r="A55" s="61" t="n">
        <v>1895</v>
      </c>
      <c r="B55" s="50" t="n">
        <f aca="false">Economy!B55*lf_rate</f>
        <v>2681925.31792441</v>
      </c>
      <c r="C55" s="50" t="n">
        <f aca="false">Economy!O55*1000000/(B55+L55)</f>
        <v>873.96652523743</v>
      </c>
      <c r="D55" s="50" t="n">
        <f aca="false">Champions!AP55*1000000/(C55*champ_prem)</f>
        <v>79507.7763381621</v>
      </c>
      <c r="E55" s="50" t="n">
        <f aca="false">D55*job_mult</f>
        <v>55655.4434367135</v>
      </c>
      <c r="F55" s="50" t="n">
        <f aca="false">D55+E55</f>
        <v>135163.219774876</v>
      </c>
      <c r="G55" s="66" t="n">
        <f aca="false">F55/B55</f>
        <v>0.0503978313160043</v>
      </c>
      <c r="H55" s="50" t="n">
        <f aca="false">F55-F54</f>
        <v>8815.53504452623</v>
      </c>
      <c r="I55" s="66" t="n">
        <f aca="false">MAX(0.005,pac_u_base*IF(Paths!AC55=1,pac_u_war,1)+(okun*(1-Economy!G55)*(B55+L55)-MAX(0,L54-L55))/B55)</f>
        <v>0.0311643268338183</v>
      </c>
      <c r="J55" s="50" t="n">
        <f aca="false">IF(AND(gw_on=1,$A55&gt;=gw_start),MIN(gw_cap*B54,gw_cover*F54+gw_gen*B54),0)</f>
        <v>280932.845928964</v>
      </c>
      <c r="K55" s="50" t="n">
        <f aca="false">L54*gw_conv</f>
        <v>5594.68228663456</v>
      </c>
      <c r="L55" s="50" t="n">
        <f aca="false">MAX(0,L54-K55+gw_adj*(J55-L54))*MAX(0,1-gw_slump*(1-Economy!G55))</f>
        <v>208175.840930396</v>
      </c>
      <c r="M55" s="50" t="n">
        <f aca="false">MAX(0,L55-L54+L54/gw_term)</f>
        <v>83849.567894072</v>
      </c>
      <c r="N55" s="66" t="n">
        <f aca="false">L55/B55</f>
        <v>0.0776217889212168</v>
      </c>
      <c r="O55" s="56" t="n">
        <f aca="false">Economy!L55</f>
        <v>106.13792993801</v>
      </c>
      <c r="P55" s="56" t="n">
        <f aca="false">O55*gw_wage_share</f>
        <v>68.9896544597063</v>
      </c>
      <c r="Q55" s="56" t="n">
        <f aca="false">P55*gw_levy</f>
        <v>17.2474136149266</v>
      </c>
      <c r="R55" s="56" t="n">
        <f aca="false">P55*gw_remit</f>
        <v>17.2474136149266</v>
      </c>
      <c r="S55" s="66" t="n">
        <f aca="false">IF(union_resp&gt;=1,MIN(1,MAX(0,($A55-resp_start)/(resp_full-resp_start))),0)</f>
        <v>0</v>
      </c>
      <c r="T55" s="70" t="n">
        <f aca="false">Economy!R54</f>
        <v>1.81149108291625</v>
      </c>
      <c r="U55" s="70" t="n">
        <f aca="false">MAX(0,T55-gap_base)</f>
        <v>0.311491082916246</v>
      </c>
      <c r="V55" s="71" t="n">
        <v>54.7</v>
      </c>
      <c r="W55" s="50" t="n">
        <f aca="false">V55*1000000*lf_rate*union_skill_share</f>
        <v>2756880</v>
      </c>
      <c r="X55" s="48" t="n">
        <v>90000</v>
      </c>
      <c r="Y55" s="50" t="n">
        <f aca="false">IF(AND(mig_endo=1,$A55&gt;=talent_start),talent_rate_u*W55*U55*(1-(1-bd_keep)*S55),0)</f>
        <v>8587.4353667014</v>
      </c>
      <c r="Z55" s="50" t="n">
        <f aca="false">IF(AND(mig_endo=1,$A55&gt;=talent_start),X55*MIN(0.5,talent_share_o*U55)*(1-eu_comp*S55),0)</f>
        <v>7569.23331486477</v>
      </c>
      <c r="AA55" s="48" t="n">
        <v>15000</v>
      </c>
      <c r="AB55" s="50" t="n">
        <f aca="false">IF(AND(mig_endo=1,$A55&gt;=talent_start),AA55*MIN(0.5,talent_share_a*U55),0)</f>
        <v>934.473248748738</v>
      </c>
      <c r="AC55" s="50" t="n">
        <f aca="false">entry_cap*People!B55</f>
        <v>18730.1925506342</v>
      </c>
      <c r="AD55" s="50" t="n">
        <f aca="false">MIN(AC55,Y55+Z55+AB55)</f>
        <v>17091.1419303149</v>
      </c>
      <c r="AE55" s="50" t="n">
        <f aca="false">IF(Y55+Z55+AB55&gt;0,AD55*Y55/(Y55+Z55+AB55),0)</f>
        <v>8587.4353667014</v>
      </c>
      <c r="AF55" s="50" t="n">
        <f aca="false">IF(Y55+Z55+AB55&gt;0,AD55*AB55/(Y55+Z55+AB55),0)</f>
        <v>934.473248748738</v>
      </c>
      <c r="AG55" s="50" t="n">
        <f aca="false">AD55*family_mult</f>
        <v>37600.5122466928</v>
      </c>
      <c r="AH55" s="50" t="n">
        <f aca="false">AH54*(1+Paths!C55)+AG55</f>
        <v>251331.158982546</v>
      </c>
      <c r="AI55" s="50" t="n">
        <f aca="false">IF(AND(mig_endo=1,$A55&gt;=talent_start),chain_rate*AH54,0)</f>
        <v>3146.18223850619</v>
      </c>
      <c r="AJ55" s="50" t="n">
        <f aca="false">IF(AND(mig_endo=1,$A55&gt;=talent_start),IF(H54&gt;0,H54*job_fill,H54*job_return)*job_family,0)</f>
        <v>8589.68983729805</v>
      </c>
      <c r="AK55" s="50" t="n">
        <f aca="false">K55*gw_conv_family</f>
        <v>10070.4281159422</v>
      </c>
      <c r="AL55" s="50" t="n">
        <f aca="false">AG55+AI55+AJ55+AK55+AR55</f>
        <v>88453.3559203792</v>
      </c>
      <c r="AM55" s="50" t="n">
        <f aca="false">AM54*(1-skill_ret)+AD55</f>
        <v>98588.6405378013</v>
      </c>
      <c r="AN55" s="67" t="n">
        <f aca="false">AM55/B55</f>
        <v>0.0367603974200523</v>
      </c>
      <c r="AO55" s="67" t="n">
        <f aca="false">(skill_rel-1+skill_spill)*AM54/B54-AT55</f>
        <v>0.0350337419021591</v>
      </c>
      <c r="AP55" s="67" t="n">
        <f aca="false">talent_champ*AM54/(skill_base_share*B54)</f>
        <v>0.0651992607480853</v>
      </c>
      <c r="AQ55" s="48" t="n">
        <v>373000</v>
      </c>
      <c r="AR55" s="50" t="n">
        <f aca="false">IF(AND(div_on=1,$A55&gt;=div_start),AQ55*MIN(div_max,div_rate*U55)*(1-div_comp*S55),0)</f>
        <v>29046.5434819399</v>
      </c>
      <c r="AS55" s="50" t="n">
        <f aca="false">AS54*(1-div_assim)+AR55</f>
        <v>199458.109872457</v>
      </c>
      <c r="AT55" s="67" t="n">
        <f aca="false">(1-div_rel)*AS54/Economy!B54</f>
        <v>0.00734577758409635</v>
      </c>
      <c r="AU55" s="50" t="n">
        <f aca="false">AU54*(1-skill_ret)+AE55</f>
        <v>50184.1558437766</v>
      </c>
      <c r="AV55" s="50" t="n">
        <f aca="false">AV54*(1+union_nat)+AR55</f>
        <v>252604.052558295</v>
      </c>
      <c r="AW55" s="50" t="n">
        <f aca="false">AW54*(1+union_nat)+AE55*family_mult</f>
        <v>125491.168463771</v>
      </c>
      <c r="AX55" s="70" t="n">
        <f aca="false">V55-(AV55+AW55)/1000000</f>
        <v>54.3219047789779</v>
      </c>
      <c r="AY55" s="50" t="n">
        <f aca="false">L55*gw_union</f>
        <v>41635.1681860791</v>
      </c>
      <c r="AZ55" s="49" t="n">
        <v>1.096</v>
      </c>
      <c r="BA55" s="50" t="n">
        <f aca="false">Economy!Q55*AZ55/lf_rate</f>
        <v>521.904761904762</v>
      </c>
      <c r="BB55" s="67" t="n">
        <f aca="false">bd_growth*AU54/W54</f>
        <v>0.00047237394430948</v>
      </c>
      <c r="BC55" s="67" t="n">
        <f aca="false">tg_k*MIN(1,Economy!O54/BK54)</f>
        <v>0.00059636627416303</v>
      </c>
      <c r="BD55" s="67" t="n">
        <f aca="false">emu_g*S55</f>
        <v>0</v>
      </c>
      <c r="BE55" s="68" t="n">
        <f aca="false">BE54*(1-BB55-BC55+BD55)</f>
        <v>0.984493522223098</v>
      </c>
      <c r="BF55" s="49" t="n">
        <v>1</v>
      </c>
      <c r="BG55" s="56" t="n">
        <f aca="false">AU55*BA55*BE55*(skill_rel-1+skill_spill)/1000000</f>
        <v>33.5207786182843</v>
      </c>
      <c r="BH55" s="56" t="n">
        <f aca="false">union_disp*(Champions!AP55+Champions!AZ55)*(1-IF(union_resp=2,mkt_cut*S55,0))</f>
        <v>45.1227783061197</v>
      </c>
      <c r="BI55" s="56" t="n">
        <f aca="false">AY55*BA55*BE55/1000000</f>
        <v>21.3926430952129</v>
      </c>
      <c r="BJ55" s="50" t="n">
        <f aca="false">V55*Economy!Q55*AZ55</f>
        <v>11990.24</v>
      </c>
      <c r="BK55" s="50" t="n">
        <f aca="false">MAX(0.3*BJ55,AX55*Economy!Q55*AZ55*BE55*BF55-BG55-BH55-BI55)</f>
        <v>11622.6840906238</v>
      </c>
      <c r="BL55" s="66" t="n">
        <f aca="false">1-BK55/BJ55</f>
        <v>0.0306545915157805</v>
      </c>
      <c r="BM55" s="50" t="n">
        <f aca="false">MAX(0,BH55-BH54)*1000000/BA55</f>
        <v>9001.32711605387</v>
      </c>
      <c r="BN55" s="50" t="n">
        <f aca="false">BN54*(1-IF(AND($A55&gt;=1930,$A55&lt;=1932),0,union_reabsorb))+BM55</f>
        <v>29347.0058138618</v>
      </c>
      <c r="BO55" s="62" t="n">
        <v>0.137</v>
      </c>
      <c r="BP55" s="66" t="n">
        <f aca="false">BO55+BN55/(AX55*1000000*lf_rate)</f>
        <v>0.138286291849497</v>
      </c>
    </row>
    <row r="56" customFormat="false" ht="14.25" hidden="false" customHeight="false" outlineLevel="0" collapsed="false">
      <c r="A56" s="61" t="n">
        <v>1896</v>
      </c>
      <c r="B56" s="50" t="n">
        <f aca="false">Economy!B56*lf_rate</f>
        <v>2804661.13870215</v>
      </c>
      <c r="C56" s="50" t="n">
        <f aca="false">Economy!O56*1000000/(B56+L56)</f>
        <v>891.608169956782</v>
      </c>
      <c r="D56" s="50" t="n">
        <f aca="false">Champions!AP56*1000000/(C56*champ_prem)</f>
        <v>86724.5406121878</v>
      </c>
      <c r="E56" s="50" t="n">
        <f aca="false">D56*job_mult</f>
        <v>60707.1784285314</v>
      </c>
      <c r="F56" s="50" t="n">
        <f aca="false">D56+E56</f>
        <v>147431.719040719</v>
      </c>
      <c r="G56" s="66" t="n">
        <f aca="false">F56/B56</f>
        <v>0.0525666780226231</v>
      </c>
      <c r="H56" s="50" t="n">
        <f aca="false">F56-F55</f>
        <v>12268.4992658437</v>
      </c>
      <c r="I56" s="66" t="n">
        <f aca="false">MAX(0.005,pac_u_base*IF(Paths!AC56=1,pac_u_war,1)+(okun*(1-Economy!G56)*(B56+L56)-MAX(0,L55-L56))/B56)</f>
        <v>0.025817708552</v>
      </c>
      <c r="J56" s="50" t="n">
        <f aca="false">IF(AND(gw_on=1,$A56&gt;=gw_start),MIN(gw_cap*B55,gw_cover*F55+gw_gen*B55),0)</f>
        <v>295651.957298878</v>
      </c>
      <c r="K56" s="50" t="n">
        <f aca="false">L55*gw_conv</f>
        <v>6245.27522791187</v>
      </c>
      <c r="L56" s="50" t="n">
        <f aca="false">MAX(0,L55-K56+gw_adj*(J56-L55))*MAX(0,1-gw_slump*(1-Economy!G56))</f>
        <v>229339.539857881</v>
      </c>
      <c r="M56" s="50" t="n">
        <f aca="false">MAX(0,L56-L55+L55/gw_term)</f>
        <v>90555.6459042836</v>
      </c>
      <c r="N56" s="66" t="n">
        <f aca="false">L56/B56</f>
        <v>0.0817708552000001</v>
      </c>
      <c r="O56" s="56" t="n">
        <f aca="false">Economy!L56</f>
        <v>119.184304955545</v>
      </c>
      <c r="P56" s="56" t="n">
        <f aca="false">O56*gw_wage_share</f>
        <v>77.4697982211043</v>
      </c>
      <c r="Q56" s="56" t="n">
        <f aca="false">P56*gw_levy</f>
        <v>19.3674495552761</v>
      </c>
      <c r="R56" s="56" t="n">
        <f aca="false">P56*gw_remit</f>
        <v>19.3674495552761</v>
      </c>
      <c r="S56" s="66" t="n">
        <f aca="false">IF(union_resp&gt;=1,MIN(1,MAX(0,($A56-resp_start)/(resp_full-resp_start))),0)</f>
        <v>0</v>
      </c>
      <c r="T56" s="70" t="n">
        <f aca="false">Economy!R55</f>
        <v>1.91534870479836</v>
      </c>
      <c r="U56" s="70" t="n">
        <f aca="false">MAX(0,T56-gap_base)</f>
        <v>0.415348704798358</v>
      </c>
      <c r="V56" s="71" t="n">
        <v>55.64</v>
      </c>
      <c r="W56" s="50" t="n">
        <f aca="false">V56*1000000*lf_rate*union_skill_share</f>
        <v>2804256</v>
      </c>
      <c r="X56" s="48" t="n">
        <v>92000</v>
      </c>
      <c r="Y56" s="50" t="n">
        <f aca="false">IF(AND(mig_endo=1,$A56&gt;=talent_start),talent_rate_u*W56*U56*(1-(1-bd_keep)*S56),0)</f>
        <v>11647.4409752302</v>
      </c>
      <c r="Z56" s="50" t="n">
        <f aca="false">IF(AND(mig_endo=1,$A56&gt;=talent_start),X56*MIN(0.5,talent_share_o*U56)*(1-eu_comp*S56),0)</f>
        <v>10317.2618271912</v>
      </c>
      <c r="AA56" s="48" t="n">
        <v>16000</v>
      </c>
      <c r="AB56" s="50" t="n">
        <f aca="false">IF(AND(mig_endo=1,$A56&gt;=talent_start),AA56*MIN(0.5,talent_share_a*U56),0)</f>
        <v>1329.11585535475</v>
      </c>
      <c r="AC56" s="50" t="n">
        <f aca="false">entry_cap*People!B56</f>
        <v>19583.0262768574</v>
      </c>
      <c r="AD56" s="50" t="n">
        <f aca="false">MIN(AC56,Y56+Z56+AB56)</f>
        <v>19583.0262768574</v>
      </c>
      <c r="AE56" s="50" t="n">
        <f aca="false">IF(Y56+Z56+AB56&gt;0,AD56*Y56/(Y56+Z56+AB56),0)</f>
        <v>9791.9600915213</v>
      </c>
      <c r="AF56" s="50" t="n">
        <f aca="false">IF(Y56+Z56+AB56&gt;0,AD56*AB56/(Y56+Z56+AB56),0)</f>
        <v>1117.38273156474</v>
      </c>
      <c r="AG56" s="50" t="n">
        <f aca="false">AD56*family_mult</f>
        <v>43082.6578090862</v>
      </c>
      <c r="AH56" s="50" t="n">
        <f aca="false">AH55*(1+Paths!C56)+AG56</f>
        <v>299189.108812301</v>
      </c>
      <c r="AI56" s="50" t="n">
        <f aca="false">IF(AND(mig_endo=1,$A56&gt;=talent_start),chain_rate*AH55,0)</f>
        <v>3769.96738473819</v>
      </c>
      <c r="AJ56" s="50" t="n">
        <f aca="false">IF(AND(mig_endo=1,$A56&gt;=talent_start),IF(H55&gt;0,H55*job_fill,H55*job_return)*job_family,0)</f>
        <v>5553.78707805153</v>
      </c>
      <c r="AK56" s="50" t="n">
        <f aca="false">K56*gw_conv_family</f>
        <v>11241.4954102414</v>
      </c>
      <c r="AL56" s="50" t="n">
        <f aca="false">AG56+AI56+AJ56+AK56+AR56</f>
        <v>98952.5475899777</v>
      </c>
      <c r="AM56" s="50" t="n">
        <f aca="false">AM55*(1-skill_ret)+AD56</f>
        <v>115706.950801214</v>
      </c>
      <c r="AN56" s="67" t="n">
        <f aca="false">AM56/B56</f>
        <v>0.0412552337266515</v>
      </c>
      <c r="AO56" s="67" t="n">
        <f aca="false">(skill_rel-1+skill_spill)*AM55/B55-AT56</f>
        <v>0.0399795365090609</v>
      </c>
      <c r="AP56" s="67" t="n">
        <f aca="false">talent_champ*AM55/(skill_base_share*B55)</f>
        <v>0.0735207948401046</v>
      </c>
      <c r="AQ56" s="48" t="n">
        <v>340000</v>
      </c>
      <c r="AR56" s="50" t="n">
        <f aca="false">IF(AND(div_on=1,$A56&gt;=div_start),AQ56*MIN(div_max,div_rate*U56)*(1-div_comp*S56),0)</f>
        <v>35304.6399078604</v>
      </c>
      <c r="AS56" s="50" t="n">
        <f aca="false">AS55*(1-div_assim)+AR56</f>
        <v>224789.844286695</v>
      </c>
      <c r="AT56" s="67" t="n">
        <f aca="false">(1-div_rel)*AS55/Economy!B55</f>
        <v>0.00780898013700705</v>
      </c>
      <c r="AU56" s="50" t="n">
        <f aca="false">AU55*(1-skill_ret)+AE56</f>
        <v>58721.5120392035</v>
      </c>
      <c r="AV56" s="50" t="n">
        <f aca="false">AV55*(1+union_nat)+AR56</f>
        <v>291192.545149413</v>
      </c>
      <c r="AW56" s="50" t="n">
        <f aca="false">AW55*(1+union_nat)+AE56*family_mult</f>
        <v>148664.865855147</v>
      </c>
      <c r="AX56" s="70" t="n">
        <f aca="false">V56-(AV56+AW56)/1000000</f>
        <v>55.2001425889954</v>
      </c>
      <c r="AY56" s="50" t="n">
        <f aca="false">L56*gw_union</f>
        <v>45867.9079715761</v>
      </c>
      <c r="AZ56" s="49" t="n">
        <v>1.095</v>
      </c>
      <c r="BA56" s="50" t="n">
        <f aca="false">Economy!Q56*AZ56/lf_rate</f>
        <v>544.892857142857</v>
      </c>
      <c r="BB56" s="67" t="n">
        <f aca="false">bd_growth*AU55/W55</f>
        <v>0.00054609728218613</v>
      </c>
      <c r="BC56" s="67" t="n">
        <f aca="false">tg_k*MIN(1,Economy!O55/BK55)</f>
        <v>0.000651962571045006</v>
      </c>
      <c r="BD56" s="67" t="n">
        <f aca="false">emu_g*S56</f>
        <v>0</v>
      </c>
      <c r="BE56" s="68" t="n">
        <f aca="false">BE55*(1-BB56-BC56+BD56)</f>
        <v>0.983314040058357</v>
      </c>
      <c r="BF56" s="49" t="n">
        <v>1</v>
      </c>
      <c r="BG56" s="56" t="n">
        <f aca="false">AU56*BA56*BE56*(skill_rel-1+skill_spill)/1000000</f>
        <v>40.9019428185254</v>
      </c>
      <c r="BH56" s="56" t="n">
        <f aca="false">union_disp*(Champions!AP56+Champions!AZ56)*(1-IF(union_resp=2,mkt_cut*S56,0))</f>
        <v>50.2494514474481</v>
      </c>
      <c r="BI56" s="56" t="n">
        <f aca="false">AY56*BA56*BE56/1000000</f>
        <v>24.5760616367052</v>
      </c>
      <c r="BJ56" s="50" t="n">
        <f aca="false">V56*Economy!Q56*AZ56</f>
        <v>12733.4922</v>
      </c>
      <c r="BK56" s="50" t="n">
        <f aca="false">MAX(0.3*BJ56,AX56*Economy!Q56*AZ56*BE56*BF56-BG56-BH56-BI56)</f>
        <v>12306.3103037953</v>
      </c>
      <c r="BL56" s="66" t="n">
        <f aca="false">1-BK56/BJ56</f>
        <v>0.0335478978975414</v>
      </c>
      <c r="BM56" s="50" t="n">
        <f aca="false">MAX(0,BH56-BH55)*1000000/BA56</f>
        <v>9408.58936600866</v>
      </c>
      <c r="BN56" s="50" t="n">
        <f aca="false">BN55*(1-IF(AND($A56&gt;=1930,$A56&lt;=1932),0,union_reabsorb))+BM56</f>
        <v>31418.843726405</v>
      </c>
      <c r="BO56" s="62" t="n">
        <v>0.145</v>
      </c>
      <c r="BP56" s="66" t="n">
        <f aca="false">BO56+BN56/(AX56*1000000*lf_rate)</f>
        <v>0.146355191622133</v>
      </c>
    </row>
    <row r="57" customFormat="false" ht="14.25" hidden="false" customHeight="false" outlineLevel="0" collapsed="false">
      <c r="A57" s="61" t="n">
        <v>1897</v>
      </c>
      <c r="B57" s="50" t="n">
        <f aca="false">Economy!B57*lf_rate</f>
        <v>2932261.3122813</v>
      </c>
      <c r="C57" s="50" t="n">
        <f aca="false">Economy!O57*1000000/(B57+L57)</f>
        <v>957.092035420053</v>
      </c>
      <c r="D57" s="50" t="n">
        <f aca="false">Champions!AP57*1000000/(C57*champ_prem)</f>
        <v>90035.7837933228</v>
      </c>
      <c r="E57" s="50" t="n">
        <f aca="false">D57*job_mult</f>
        <v>63025.0486553259</v>
      </c>
      <c r="F57" s="50" t="n">
        <f aca="false">D57+E57</f>
        <v>153060.832448649</v>
      </c>
      <c r="G57" s="66" t="n">
        <f aca="false">F57/B57</f>
        <v>0.0521989059459259</v>
      </c>
      <c r="H57" s="50" t="n">
        <f aca="false">F57-F56</f>
        <v>5629.11340792949</v>
      </c>
      <c r="I57" s="66" t="n">
        <f aca="false">MAX(0.005,pac_u_base*IF(Paths!AC57=1,pac_u_war,1)+(okun*(1-Economy!G57)*(B57+L57)-MAX(0,L56-L57))/B57)</f>
        <v>0.015</v>
      </c>
      <c r="J57" s="50" t="n">
        <f aca="false">IF(AND(gw_on=1,$A57&gt;=gw_start),MIN(gw_cap*B56,gw_cover*F56+gw_gen*B56),0)</f>
        <v>312831.922520603</v>
      </c>
      <c r="K57" s="50" t="n">
        <f aca="false">L56*gw_conv</f>
        <v>6880.18619573642</v>
      </c>
      <c r="L57" s="50" t="n">
        <f aca="false">MAX(0,L56-K57+gw_adj*(J57-L56))*MAX(0,1-gw_slump*(1-Economy!G57))</f>
        <v>255856.306727233</v>
      </c>
      <c r="M57" s="50" t="n">
        <f aca="false">MAX(0,L57-L56+L56/gw_term)</f>
        <v>102963.280155313</v>
      </c>
      <c r="N57" s="66" t="n">
        <f aca="false">L57/B57</f>
        <v>0.0872556295223829</v>
      </c>
      <c r="O57" s="56" t="n">
        <f aca="false">Economy!L57</f>
        <v>143.148163945824</v>
      </c>
      <c r="P57" s="56" t="n">
        <f aca="false">O57*gw_wage_share</f>
        <v>93.0463065647855</v>
      </c>
      <c r="Q57" s="56" t="n">
        <f aca="false">P57*gw_levy</f>
        <v>23.2615766411964</v>
      </c>
      <c r="R57" s="56" t="n">
        <f aca="false">P57*gw_remit</f>
        <v>23.2615766411964</v>
      </c>
      <c r="S57" s="66" t="n">
        <f aca="false">IF(union_resp&gt;=1,MIN(1,MAX(0,($A57-resp_start)/(resp_full-resp_start))),0)</f>
        <v>0</v>
      </c>
      <c r="T57" s="70" t="n">
        <f aca="false">Economy!R56</f>
        <v>1.87390436056403</v>
      </c>
      <c r="U57" s="70" t="n">
        <f aca="false">MAX(0,T57-gap_base)</f>
        <v>0.373904360564028</v>
      </c>
      <c r="V57" s="71" t="n">
        <v>56.58</v>
      </c>
      <c r="W57" s="50" t="n">
        <f aca="false">V57*1000000*lf_rate*union_skill_share</f>
        <v>2851632</v>
      </c>
      <c r="X57" s="48" t="n">
        <v>94000</v>
      </c>
      <c r="Y57" s="50" t="n">
        <f aca="false">IF(AND(mig_endo=1,$A57&gt;=talent_start),talent_rate_u*W57*U57*(1-(1-bd_keep)*S57),0)</f>
        <v>10662.3763952392</v>
      </c>
      <c r="Z57" s="50" t="n">
        <f aca="false">IF(AND(mig_endo=1,$A57&gt;=talent_start),X57*MIN(0.5,talent_share_o*U57)*(1-eu_comp*S57),0)</f>
        <v>9489.69267111504</v>
      </c>
      <c r="AA57" s="48" t="n">
        <v>18000</v>
      </c>
      <c r="AB57" s="50" t="n">
        <f aca="false">IF(AND(mig_endo=1,$A57&gt;=talent_start),AA57*MIN(0.5,talent_share_a*U57),0)</f>
        <v>1346.0556980305</v>
      </c>
      <c r="AC57" s="50" t="n">
        <f aca="false">entry_cap*People!B57</f>
        <v>20483.5614188876</v>
      </c>
      <c r="AD57" s="50" t="n">
        <f aca="false">MIN(AC57,Y57+Z57+AB57)</f>
        <v>20483.5614188876</v>
      </c>
      <c r="AE57" s="50" t="n">
        <f aca="false">IF(Y57+Z57+AB57&gt;0,AD57*Y57/(Y57+Z57+AB57),0)</f>
        <v>10159.1857037225</v>
      </c>
      <c r="AF57" s="50" t="n">
        <f aca="false">IF(Y57+Z57+AB57&gt;0,AD57*AB57/(Y57+Z57+AB57),0)</f>
        <v>1282.53114474101</v>
      </c>
      <c r="AG57" s="50" t="n">
        <f aca="false">AD57*family_mult</f>
        <v>45063.8351215527</v>
      </c>
      <c r="AH57" s="50" t="n">
        <f aca="false">AH56*(1+Paths!C57)+AG57</f>
        <v>349937.537001287</v>
      </c>
      <c r="AI57" s="50" t="n">
        <f aca="false">IF(AND(mig_endo=1,$A57&gt;=talent_start),chain_rate*AH56,0)</f>
        <v>4487.83663218451</v>
      </c>
      <c r="AJ57" s="50" t="n">
        <f aca="false">IF(AND(mig_endo=1,$A57&gt;=talent_start),IF(H56&gt;0,H56*job_fill,H56*job_return)*job_family,0)</f>
        <v>7729.1545374815</v>
      </c>
      <c r="AK57" s="50" t="n">
        <f aca="false">K57*gw_conv_family</f>
        <v>12384.3351523256</v>
      </c>
      <c r="AL57" s="50" t="n">
        <f aca="false">AG57+AI57+AJ57+AK57+AR57</f>
        <v>100512.271190077</v>
      </c>
      <c r="AM57" s="50" t="n">
        <f aca="false">AM56*(1-skill_ret)+AD57</f>
        <v>133297.838450071</v>
      </c>
      <c r="AN57" s="67" t="n">
        <f aca="false">AM57/B57</f>
        <v>0.0454590584719631</v>
      </c>
      <c r="AO57" s="67" t="n">
        <f aca="false">(skill_rel-1+skill_spill)*AM56/B56-AT57</f>
        <v>0.0452161940854498</v>
      </c>
      <c r="AP57" s="67" t="n">
        <f aca="false">talent_champ*AM56/(skill_base_share*B56)</f>
        <v>0.0825104674533031</v>
      </c>
      <c r="AQ57" s="48" t="n">
        <v>330000</v>
      </c>
      <c r="AR57" s="50" t="n">
        <f aca="false">IF(AND(div_on=1,$A57&gt;=div_start),AQ57*MIN(div_max,div_rate*U57)*(1-div_comp*S57),0)</f>
        <v>30847.1097465323</v>
      </c>
      <c r="AS57" s="50" t="n">
        <f aca="false">AS56*(1-div_assim)+AR57</f>
        <v>244397.461818892</v>
      </c>
      <c r="AT57" s="67" t="n">
        <f aca="false">(1-div_rel)*AS56/Economy!B56</f>
        <v>0.00841560975919722</v>
      </c>
      <c r="AU57" s="50" t="n">
        <f aca="false">AU56*(1-skill_ret)+AE57</f>
        <v>67412.6599419459</v>
      </c>
      <c r="AV57" s="50" t="n">
        <f aca="false">AV56*(1+union_nat)+AR57</f>
        <v>325825.157982888</v>
      </c>
      <c r="AW57" s="50" t="n">
        <f aca="false">AW56*(1+union_nat)+AE57*family_mult</f>
        <v>172947.717659453</v>
      </c>
      <c r="AX57" s="70" t="n">
        <f aca="false">V57-(AV57+AW57)/1000000</f>
        <v>56.0812271243577</v>
      </c>
      <c r="AY57" s="50" t="n">
        <f aca="false">L57*gw_union</f>
        <v>51171.2613454466</v>
      </c>
      <c r="AZ57" s="49" t="n">
        <v>1.094</v>
      </c>
      <c r="BA57" s="50" t="n">
        <f aca="false">Economy!Q57*AZ57/lf_rate</f>
        <v>567.838095238095</v>
      </c>
      <c r="BB57" s="67" t="n">
        <f aca="false">bd_growth*AU56/W56</f>
        <v>0.000628204187198353</v>
      </c>
      <c r="BC57" s="67" t="n">
        <f aca="false">tg_k*MIN(1,Economy!O56/BK56)</f>
        <v>0.0006594518728715</v>
      </c>
      <c r="BD57" s="67" t="n">
        <f aca="false">emu_g*S57</f>
        <v>0</v>
      </c>
      <c r="BE57" s="68" t="n">
        <f aca="false">BE56*(1-BB57-BC57+BD57)</f>
        <v>0.982047869775724</v>
      </c>
      <c r="BF57" s="49" t="n">
        <v>1</v>
      </c>
      <c r="BG57" s="56" t="n">
        <f aca="false">AU57*BA57*BE57*(skill_rel-1+skill_spill)/1000000</f>
        <v>48.8699617520715</v>
      </c>
      <c r="BH57" s="56" t="n">
        <f aca="false">union_disp*(Champions!AP57+Champions!AZ57)*(1-IF(union_resp=2,mkt_cut*S57,0))</f>
        <v>55.9463028707917</v>
      </c>
      <c r="BI57" s="56" t="n">
        <f aca="false">AY57*BA57*BE57/1000000</f>
        <v>28.5353566766791</v>
      </c>
      <c r="BJ57" s="50" t="n">
        <f aca="false">V57*Economy!Q57*AZ57</f>
        <v>13493.87736</v>
      </c>
      <c r="BK57" s="50" t="n">
        <f aca="false">MAX(0.3*BJ57,AX57*Economy!Q57*AZ57*BE57*BF57-BG57-BH57-BI57)</f>
        <v>13001.4640203077</v>
      </c>
      <c r="BL57" s="66" t="n">
        <f aca="false">1-BK57/BJ57</f>
        <v>0.0364916121997623</v>
      </c>
      <c r="BM57" s="50" t="n">
        <f aca="false">MAX(0,BH57-BH56)*1000000/BA57</f>
        <v>10032.5277066079</v>
      </c>
      <c r="BN57" s="50" t="n">
        <f aca="false">BN56*(1-IF(AND($A57&gt;=1930,$A57&lt;=1932),0,union_reabsorb))+BM57</f>
        <v>33596.6605014116</v>
      </c>
      <c r="BO57" s="62" t="n">
        <v>0.145</v>
      </c>
      <c r="BP57" s="66" t="n">
        <f aca="false">BO57+BN57/(AX57*1000000*lf_rate)</f>
        <v>0.146426360529443</v>
      </c>
    </row>
    <row r="58" customFormat="false" ht="14.25" hidden="false" customHeight="false" outlineLevel="0" collapsed="false">
      <c r="A58" s="61" t="n">
        <v>1898</v>
      </c>
      <c r="B58" s="50" t="n">
        <f aca="false">Economy!B58*lf_rate</f>
        <v>3063434.31914252</v>
      </c>
      <c r="C58" s="50" t="n">
        <f aca="false">Economy!O58*1000000/(B58+L58)</f>
        <v>1005.73951194832</v>
      </c>
      <c r="D58" s="50" t="n">
        <f aca="false">Champions!AP58*1000000/(C58*champ_prem)</f>
        <v>93307.1675419318</v>
      </c>
      <c r="E58" s="50" t="n">
        <f aca="false">D58*job_mult</f>
        <v>65315.0172793522</v>
      </c>
      <c r="F58" s="50" t="n">
        <f aca="false">D58+E58</f>
        <v>158622.184821284</v>
      </c>
      <c r="G58" s="66" t="n">
        <f aca="false">F58/B58</f>
        <v>0.0517792021294858</v>
      </c>
      <c r="H58" s="50" t="n">
        <f aca="false">F58-F57</f>
        <v>5561.35237263533</v>
      </c>
      <c r="I58" s="66" t="n">
        <f aca="false">MAX(0.005,pac_u_base*IF(Paths!AC58=1,pac_u_war,1)+(okun*(1-Economy!G58)*(B58+L58)-MAX(0,L57-L58))/B58)</f>
        <v>0.015</v>
      </c>
      <c r="J58" s="50" t="n">
        <f aca="false">IF(AND(gw_on=1,$A58&gt;=gw_start),MIN(gw_cap*B57,gw_cover*F57+gw_gen*B57),0)</f>
        <v>326417.404451693</v>
      </c>
      <c r="K58" s="50" t="n">
        <f aca="false">L57*gw_conv</f>
        <v>7675.689201817</v>
      </c>
      <c r="L58" s="50" t="n">
        <f aca="false">MAX(0,L57-K58+gw_adj*(J58-L57))*MAX(0,1-gw_slump*(1-Economy!G58))</f>
        <v>276405.0566152</v>
      </c>
      <c r="M58" s="50" t="n">
        <f aca="false">MAX(0,L58-L57+L57/gw_term)</f>
        <v>105834.185463711</v>
      </c>
      <c r="N58" s="66" t="n">
        <f aca="false">L58/B58</f>
        <v>0.0902271855113801</v>
      </c>
      <c r="O58" s="56" t="n">
        <f aca="false">Economy!L58</f>
        <v>162.769151050169</v>
      </c>
      <c r="P58" s="56" t="n">
        <f aca="false">O58*gw_wage_share</f>
        <v>105.79994818261</v>
      </c>
      <c r="Q58" s="56" t="n">
        <f aca="false">P58*gw_levy</f>
        <v>26.4499870456524</v>
      </c>
      <c r="R58" s="56" t="n">
        <f aca="false">P58*gw_remit</f>
        <v>26.4499870456524</v>
      </c>
      <c r="S58" s="66" t="n">
        <f aca="false">IF(union_resp&gt;=1,MIN(1,MAX(0,($A58-resp_start)/(resp_full-resp_start))),0)</f>
        <v>0</v>
      </c>
      <c r="T58" s="70" t="n">
        <f aca="false">Economy!R57</f>
        <v>1.93395834694737</v>
      </c>
      <c r="U58" s="70" t="n">
        <f aca="false">MAX(0,T58-gap_base)</f>
        <v>0.433958346947374</v>
      </c>
      <c r="V58" s="71" t="n">
        <v>57.52</v>
      </c>
      <c r="W58" s="50" t="n">
        <f aca="false">V58*1000000*lf_rate*union_skill_share</f>
        <v>2899008</v>
      </c>
      <c r="X58" s="48" t="n">
        <v>96000</v>
      </c>
      <c r="Y58" s="50" t="n">
        <f aca="false">IF(AND(mig_endo=1,$A58&gt;=talent_start),talent_rate_u*W58*U58*(1-(1-bd_keep)*S58),0)</f>
        <v>12580.4871946721</v>
      </c>
      <c r="Z58" s="50" t="n">
        <f aca="false">IF(AND(mig_endo=1,$A58&gt;=talent_start),X58*MIN(0.5,talent_share_o*U58)*(1-eu_comp*S58),0)</f>
        <v>11248.2003528759</v>
      </c>
      <c r="AA58" s="48" t="n">
        <v>20000</v>
      </c>
      <c r="AB58" s="50" t="n">
        <f aca="false">IF(AND(mig_endo=1,$A58&gt;=talent_start),AA58*MIN(0.5,talent_share_a*U58),0)</f>
        <v>1735.8333877895</v>
      </c>
      <c r="AC58" s="50" t="n">
        <f aca="false">entry_cap*People!B58</f>
        <v>21405.8858994167</v>
      </c>
      <c r="AD58" s="50" t="n">
        <f aca="false">MIN(AC58,Y58+Z58+AB58)</f>
        <v>21405.8858994167</v>
      </c>
      <c r="AE58" s="50" t="n">
        <f aca="false">IF(Y58+Z58+AB58&gt;0,AD58*Y58/(Y58+Z58+AB58),0)</f>
        <v>10533.9925645146</v>
      </c>
      <c r="AF58" s="50" t="n">
        <f aca="false">IF(Y58+Z58+AB58&gt;0,AD58*AB58/(Y58+Z58+AB58),0)</f>
        <v>1453.46167578905</v>
      </c>
      <c r="AG58" s="50" t="n">
        <f aca="false">AD58*family_mult</f>
        <v>47092.9489787167</v>
      </c>
      <c r="AH58" s="50" t="n">
        <f aca="false">AH57*(1+Paths!C58)+AG58</f>
        <v>403679.299183028</v>
      </c>
      <c r="AI58" s="50" t="n">
        <f aca="false">IF(AND(mig_endo=1,$A58&gt;=talent_start),chain_rate*AH57,0)</f>
        <v>5249.06305501931</v>
      </c>
      <c r="AJ58" s="50" t="n">
        <f aca="false">IF(AND(mig_endo=1,$A58&gt;=talent_start),IF(H57&gt;0,H57*job_fill,H57*job_return)*job_family,0)</f>
        <v>3546.34144699558</v>
      </c>
      <c r="AK58" s="50" t="n">
        <f aca="false">K58*gw_conv_family</f>
        <v>13816.2405632706</v>
      </c>
      <c r="AL58" s="50" t="n">
        <f aca="false">AG58+AI58+AJ58+AK58+AR58</f>
        <v>104421.261799792</v>
      </c>
      <c r="AM58" s="50" t="n">
        <f aca="false">AM57*(1-skill_ret)+AD58</f>
        <v>151371.278388236</v>
      </c>
      <c r="AN58" s="67" t="n">
        <f aca="false">AM58/B58</f>
        <v>0.0494122813217703</v>
      </c>
      <c r="AO58" s="67" t="n">
        <f aca="false">(skill_rel-1+skill_spill)*AM57/B57-AT58</f>
        <v>0.0503452594336676</v>
      </c>
      <c r="AP58" s="67" t="n">
        <f aca="false">talent_champ*AM57/(skill_base_share*B57)</f>
        <v>0.0909181169439263</v>
      </c>
      <c r="AQ58" s="48" t="n">
        <v>320000</v>
      </c>
      <c r="AR58" s="50" t="n">
        <f aca="false">IF(AND(div_on=1,$A58&gt;=div_start),AQ58*MIN(div_max,div_rate*U58)*(1-div_comp*S58),0)</f>
        <v>34716.6677557899</v>
      </c>
      <c r="AS58" s="50" t="n">
        <f aca="false">AS57*(1-div_assim)+AR58</f>
        <v>266894.256483738</v>
      </c>
      <c r="AT58" s="67" t="n">
        <f aca="false">(1-div_rel)*AS57/Economy!B57</f>
        <v>0.00875151657988452</v>
      </c>
      <c r="AU58" s="50" t="n">
        <f aca="false">AU57*(1-skill_ret)+AE58</f>
        <v>76261.3360079119</v>
      </c>
      <c r="AV58" s="50" t="n">
        <f aca="false">AV57*(1+union_nat)+AR58</f>
        <v>364777.552792455</v>
      </c>
      <c r="AW58" s="50" t="n">
        <f aca="false">AW57*(1+union_nat)+AE58*family_mult</f>
        <v>198370.821630958</v>
      </c>
      <c r="AX58" s="70" t="n">
        <f aca="false">V58-(AV58+AW58)/1000000</f>
        <v>56.9568516255766</v>
      </c>
      <c r="AY58" s="50" t="n">
        <f aca="false">L58*gw_union</f>
        <v>55281.01132304</v>
      </c>
      <c r="AZ58" s="49" t="n">
        <v>1.094</v>
      </c>
      <c r="BA58" s="50" t="n">
        <f aca="false">Economy!Q58*AZ58/lf_rate</f>
        <v>593.885714285714</v>
      </c>
      <c r="BB58" s="67" t="n">
        <f aca="false">bd_growth*AU57/W57</f>
        <v>0.000709200835962837</v>
      </c>
      <c r="BC58" s="67" t="n">
        <f aca="false">tg_k*MIN(1,Economy!O57/BK57)</f>
        <v>0.000704071935984142</v>
      </c>
      <c r="BD58" s="67" t="n">
        <f aca="false">emu_g*S58</f>
        <v>0</v>
      </c>
      <c r="BE58" s="68" t="n">
        <f aca="false">BE57*(1-BB58-BC58+BD58)</f>
        <v>0.980659968260621</v>
      </c>
      <c r="BF58" s="49" t="n">
        <v>1</v>
      </c>
      <c r="BG58" s="56" t="n">
        <f aca="false">AU58*BA58*BE58*(skill_rel-1+skill_spill)/1000000</f>
        <v>57.7389773371902</v>
      </c>
      <c r="BH58" s="56" t="n">
        <f aca="false">union_disp*(Champions!AP58+Champions!AZ58)*(1-IF(union_resp=2,mkt_cut*S58,0))</f>
        <v>61.0838513686637</v>
      </c>
      <c r="BI58" s="56" t="n">
        <f aca="false">AY58*BA58*BE58/1000000</f>
        <v>32.1956579939883</v>
      </c>
      <c r="BJ58" s="50" t="n">
        <f aca="false">V58*Economy!Q58*AZ58</f>
        <v>14347.32864</v>
      </c>
      <c r="BK58" s="50" t="n">
        <f aca="false">MAX(0.3*BJ58,AX58*Economy!Q58*AZ58*BE58*BF58-BG58-BH58-BI58)</f>
        <v>13781.0817772943</v>
      </c>
      <c r="BL58" s="66" t="n">
        <f aca="false">1-BK58/BJ58</f>
        <v>0.0394670587754596</v>
      </c>
      <c r="BM58" s="50" t="n">
        <f aca="false">MAX(0,BH58-BH57)*1000000/BA58</f>
        <v>8650.73594849997</v>
      </c>
      <c r="BN58" s="50" t="n">
        <f aca="false">BN57*(1-IF(AND($A58&gt;=1930,$A58&lt;=1932),0,union_reabsorb))+BM58</f>
        <v>33848.2313245587</v>
      </c>
      <c r="BO58" s="62" t="n">
        <v>0.124</v>
      </c>
      <c r="BP58" s="66" t="n">
        <f aca="false">BO58+BN58/(AX58*1000000*lf_rate)</f>
        <v>0.125414948766709</v>
      </c>
    </row>
    <row r="59" customFormat="false" ht="14.25" hidden="false" customHeight="false" outlineLevel="0" collapsed="false">
      <c r="A59" s="61" t="n">
        <v>1899</v>
      </c>
      <c r="B59" s="50" t="n">
        <f aca="false">Economy!B59*lf_rate</f>
        <v>3198723.12083116</v>
      </c>
      <c r="C59" s="50" t="n">
        <f aca="false">Economy!O59*1000000/(B59+L59)</f>
        <v>1056.04347384163</v>
      </c>
      <c r="D59" s="50" t="n">
        <f aca="false">Champions!AP59*1000000/(C59*champ_prem)</f>
        <v>96651.5898447637</v>
      </c>
      <c r="E59" s="50" t="n">
        <f aca="false">D59*job_mult</f>
        <v>67656.1128913346</v>
      </c>
      <c r="F59" s="50" t="n">
        <f aca="false">D59+E59</f>
        <v>164307.702736098</v>
      </c>
      <c r="G59" s="66" t="n">
        <f aca="false">F59/B59</f>
        <v>0.0513666536706698</v>
      </c>
      <c r="H59" s="50" t="n">
        <f aca="false">F59-F58</f>
        <v>5685.51791481429</v>
      </c>
      <c r="I59" s="66" t="n">
        <f aca="false">MAX(0.005,pac_u_base*IF(Paths!AC59=1,pac_u_war,1)+(okun*(1-Economy!G59)*(B59+L59)-MAX(0,L58-L59))/B59)</f>
        <v>0.015</v>
      </c>
      <c r="J59" s="50" t="n">
        <f aca="false">IF(AND(gw_on=1,$A59&gt;=gw_start),MIN(gw_cap*B58,gw_cover*F58+gw_gen*B58),0)</f>
        <v>340248.056424172</v>
      </c>
      <c r="K59" s="50" t="n">
        <f aca="false">L58*gw_conv</f>
        <v>8292.151698456</v>
      </c>
      <c r="L59" s="50" t="n">
        <f aca="false">MAX(0,L58-K59+gw_adj*(J59-L58))*MAX(0,1-gw_slump*(1-Economy!G59))</f>
        <v>293650.104840333</v>
      </c>
      <c r="M59" s="50" t="n">
        <f aca="false">MAX(0,L59-L58+L58/gw_term)</f>
        <v>109380.067096866</v>
      </c>
      <c r="N59" s="66" t="n">
        <f aca="false">L59/B59</f>
        <v>0.0918022891471865</v>
      </c>
      <c r="O59" s="56" t="n">
        <f aca="false">Economy!L59</f>
        <v>181.657128966101</v>
      </c>
      <c r="P59" s="56" t="n">
        <f aca="false">O59*gw_wage_share</f>
        <v>118.077133827966</v>
      </c>
      <c r="Q59" s="56" t="n">
        <f aca="false">P59*gw_levy</f>
        <v>29.5192834569915</v>
      </c>
      <c r="R59" s="56" t="n">
        <f aca="false">P59*gw_remit</f>
        <v>29.5192834569915</v>
      </c>
      <c r="S59" s="66" t="n">
        <f aca="false">IF(union_resp&gt;=1,MIN(1,MAX(0,($A59-resp_start)/(resp_full-resp_start))),0)</f>
        <v>0</v>
      </c>
      <c r="T59" s="70" t="n">
        <f aca="false">Economy!R58</f>
        <v>1.94609200447483</v>
      </c>
      <c r="U59" s="70" t="n">
        <f aca="false">MAX(0,T59-gap_base)</f>
        <v>0.446092004474825</v>
      </c>
      <c r="V59" s="71" t="n">
        <v>58.46</v>
      </c>
      <c r="W59" s="50" t="n">
        <f aca="false">V59*1000000*lf_rate*union_skill_share</f>
        <v>2946384</v>
      </c>
      <c r="X59" s="48" t="n">
        <v>98000</v>
      </c>
      <c r="Y59" s="50" t="n">
        <f aca="false">IF(AND(mig_endo=1,$A59&gt;=talent_start),talent_rate_u*W59*U59*(1-(1-bd_keep)*S59),0)</f>
        <v>13143.5834451255</v>
      </c>
      <c r="Z59" s="50" t="n">
        <f aca="false">IF(AND(mig_endo=1,$A59&gt;=talent_start),X59*MIN(0.5,talent_share_o*U59)*(1-eu_comp*S59),0)</f>
        <v>11803.5944384039</v>
      </c>
      <c r="AA59" s="48" t="n">
        <v>21000</v>
      </c>
      <c r="AB59" s="50" t="n">
        <f aca="false">IF(AND(mig_endo=1,$A59&gt;=talent_start),AA59*MIN(0.5,talent_share_a*U59),0)</f>
        <v>1873.58641879427</v>
      </c>
      <c r="AC59" s="50" t="n">
        <f aca="false">entry_cap*People!B59</f>
        <v>22357.461516905</v>
      </c>
      <c r="AD59" s="50" t="n">
        <f aca="false">MIN(AC59,Y59+Z59+AB59)</f>
        <v>22357.461516905</v>
      </c>
      <c r="AE59" s="50" t="n">
        <f aca="false">IF(Y59+Z59+AB59&gt;0,AD59*Y59/(Y59+Z59+AB59),0)</f>
        <v>10956.3306159461</v>
      </c>
      <c r="AF59" s="50" t="n">
        <f aca="false">IF(Y59+Z59+AB59&gt;0,AD59*AB59/(Y59+Z59+AB59),0)</f>
        <v>1561.79875355601</v>
      </c>
      <c r="AG59" s="50" t="n">
        <f aca="false">AD59*family_mult</f>
        <v>49186.4153371909</v>
      </c>
      <c r="AH59" s="50" t="n">
        <f aca="false">AH58*(1+Paths!C59)+AG59</f>
        <v>460535.621204697</v>
      </c>
      <c r="AI59" s="50" t="n">
        <f aca="false">IF(AND(mig_endo=1,$A59&gt;=talent_start),chain_rate*AH58,0)</f>
        <v>6055.18948774543</v>
      </c>
      <c r="AJ59" s="50" t="n">
        <f aca="false">IF(AND(mig_endo=1,$A59&gt;=talent_start),IF(H58&gt;0,H58*job_fill,H58*job_return)*job_family,0)</f>
        <v>3503.65199476026</v>
      </c>
      <c r="AK59" s="50" t="n">
        <f aca="false">K59*gw_conv_family</f>
        <v>14925.8730572208</v>
      </c>
      <c r="AL59" s="50" t="n">
        <f aca="false">AG59+AI59+AJ59+AK59+AR59</f>
        <v>108243.260223716</v>
      </c>
      <c r="AM59" s="50" t="n">
        <f aca="false">AM58*(1-skill_ret)+AD59</f>
        <v>169944.457945435</v>
      </c>
      <c r="AN59" s="67" t="n">
        <f aca="false">AM59/B59</f>
        <v>0.0531288428306594</v>
      </c>
      <c r="AO59" s="67" t="n">
        <f aca="false">(skill_rel-1+skill_spill)*AM58/B58-AT59</f>
        <v>0.0550880963627617</v>
      </c>
      <c r="AP59" s="67" t="n">
        <f aca="false">talent_champ*AM58/(skill_base_share*B58)</f>
        <v>0.0988245626435406</v>
      </c>
      <c r="AQ59" s="48" t="n">
        <v>310000</v>
      </c>
      <c r="AR59" s="50" t="n">
        <f aca="false">IF(AND(div_on=1,$A59&gt;=div_start),AQ59*MIN(div_max,div_rate*U59)*(1-div_comp*S59),0)</f>
        <v>34572.130346799</v>
      </c>
      <c r="AS59" s="50" t="n">
        <f aca="false">AS58*(1-div_assim)+AR59</f>
        <v>288121.67400635</v>
      </c>
      <c r="AT59" s="67" t="n">
        <f aca="false">(1-div_rel)*AS58/Economy!B58</f>
        <v>0.00914786935553971</v>
      </c>
      <c r="AU59" s="50" t="n">
        <f aca="false">AU58*(1-skill_ret)+AE59</f>
        <v>85311.1332236602</v>
      </c>
      <c r="AV59" s="50" t="n">
        <f aca="false">AV58*(1+union_nat)+AR59</f>
        <v>404091.791325556</v>
      </c>
      <c r="AW59" s="50" t="n">
        <f aca="false">AW58*(1+union_nat)+AE59*family_mult</f>
        <v>225053.569667242</v>
      </c>
      <c r="AX59" s="70" t="n">
        <f aca="false">V59-(AV59+AW59)/1000000</f>
        <v>57.8308546390072</v>
      </c>
      <c r="AY59" s="50" t="n">
        <f aca="false">L59*gw_union</f>
        <v>58730.0209680665</v>
      </c>
      <c r="AZ59" s="49" t="n">
        <v>1.093</v>
      </c>
      <c r="BA59" s="50" t="n">
        <f aca="false">Economy!Q59*AZ59/lf_rate</f>
        <v>616.764285714286</v>
      </c>
      <c r="BB59" s="67" t="n">
        <f aca="false">bd_growth*AU58/W58</f>
        <v>0.000789180326593564</v>
      </c>
      <c r="BC59" s="67" t="n">
        <f aca="false">tg_k*MIN(1,Economy!O58/BK58)</f>
        <v>0.000731221643854109</v>
      </c>
      <c r="BD59" s="67" t="n">
        <f aca="false">emu_g*S59</f>
        <v>0</v>
      </c>
      <c r="BE59" s="68" t="n">
        <f aca="false">BE58*(1-BB59-BC59+BD59)</f>
        <v>0.979168970912539</v>
      </c>
      <c r="BF59" s="49" t="n">
        <v>1</v>
      </c>
      <c r="BG59" s="56" t="n">
        <f aca="false">AU59*BA59*BE59*(skill_rel-1+skill_spill)/1000000</f>
        <v>66.9770358425627</v>
      </c>
      <c r="BH59" s="56" t="n">
        <f aca="false">union_disp*(Champions!AP59+Champions!AZ59)*(1-IF(union_resp=2,mkt_cut*S59,0))</f>
        <v>66.4945749525129</v>
      </c>
      <c r="BI59" s="56" t="n">
        <f aca="false">AY59*BA59*BE59/1000000</f>
        <v>35.4680258265763</v>
      </c>
      <c r="BJ59" s="50" t="n">
        <f aca="false">V59*Economy!Q59*AZ59</f>
        <v>15143.53686</v>
      </c>
      <c r="BK59" s="50" t="n">
        <f aca="false">MAX(0.3*BJ59,AX59*Economy!Q59*AZ59*BE59*BF59-BG59-BH59-BI59)</f>
        <v>14499.5622484759</v>
      </c>
      <c r="BL59" s="66" t="n">
        <f aca="false">1-BK59/BJ59</f>
        <v>0.0425247164831827</v>
      </c>
      <c r="BM59" s="50" t="n">
        <f aca="false">MAX(0,BH59-BH58)*1000000/BA59</f>
        <v>8772.75761449601</v>
      </c>
      <c r="BN59" s="50" t="n">
        <f aca="false">BN58*(1-IF(AND($A59&gt;=1930,$A59&lt;=1932),0,union_reabsorb))+BM59</f>
        <v>34158.931107915</v>
      </c>
      <c r="BO59" s="62" t="n">
        <v>0.065</v>
      </c>
      <c r="BP59" s="66" t="n">
        <f aca="false">BO59+BN59/(AX59*1000000*lf_rate)</f>
        <v>0.0664063563276016</v>
      </c>
    </row>
    <row r="60" customFormat="false" ht="14.25" hidden="false" customHeight="false" outlineLevel="0" collapsed="false">
      <c r="A60" s="61" t="n">
        <v>1900</v>
      </c>
      <c r="B60" s="50" t="n">
        <f aca="false">Economy!B60*lf_rate</f>
        <v>3348582.09152504</v>
      </c>
      <c r="C60" s="50" t="n">
        <f aca="false">Economy!O60*1000000/(B60+L60)</f>
        <v>1108.70290451058</v>
      </c>
      <c r="D60" s="50" t="n">
        <f aca="false">Champions!AP60*1000000/(C60*champ_prem)</f>
        <v>101596.305880518</v>
      </c>
      <c r="E60" s="50" t="n">
        <f aca="false">D60*job_mult</f>
        <v>71117.4141163624</v>
      </c>
      <c r="F60" s="50" t="n">
        <f aca="false">D60+E60</f>
        <v>172713.71999688</v>
      </c>
      <c r="G60" s="66" t="n">
        <f aca="false">F60/B60</f>
        <v>0.0515781651087494</v>
      </c>
      <c r="H60" s="50" t="n">
        <f aca="false">F60-F59</f>
        <v>8406.01726078172</v>
      </c>
      <c r="I60" s="66" t="n">
        <f aca="false">MAX(0.005,pac_u_base*IF(Paths!AC60=1,pac_u_war,1)+(okun*(1-Economy!G60)*(B60+L60)-MAX(0,L59-L60))/B60)</f>
        <v>0.015</v>
      </c>
      <c r="J60" s="50" t="n">
        <f aca="false">IF(AND(gw_on=1,$A60&gt;=gw_start),MIN(gw_cap*B59,gw_cover*F59+gw_gen*B59),0)</f>
        <v>354482.471308152</v>
      </c>
      <c r="K60" s="50" t="n">
        <f aca="false">L59*gw_conv</f>
        <v>8809.50314520998</v>
      </c>
      <c r="L60" s="50" t="n">
        <f aca="false">MAX(0,L59-K60+gw_adj*(J60-L59))*MAX(0,1-gw_slump*(1-Economy!G60))</f>
        <v>309173.54828225</v>
      </c>
      <c r="M60" s="50" t="n">
        <f aca="false">MAX(0,L60-L59+L59/gw_term)</f>
        <v>113406.811722029</v>
      </c>
      <c r="N60" s="66" t="n">
        <f aca="false">L60/B60</f>
        <v>0.0923296905471545</v>
      </c>
      <c r="O60" s="56" t="n">
        <f aca="false">Economy!L60</f>
        <v>200.781492700903</v>
      </c>
      <c r="P60" s="56" t="n">
        <f aca="false">O60*gw_wage_share</f>
        <v>130.507970255587</v>
      </c>
      <c r="Q60" s="56" t="n">
        <f aca="false">P60*gw_levy</f>
        <v>32.6269925638968</v>
      </c>
      <c r="R60" s="56" t="n">
        <f aca="false">P60*gw_remit</f>
        <v>32.6269925638968</v>
      </c>
      <c r="S60" s="66" t="n">
        <f aca="false">IF(union_resp&gt;=1,MIN(1,MAX(0,($A60-resp_start)/(resp_full-resp_start))),0)</f>
        <v>0</v>
      </c>
      <c r="T60" s="70" t="n">
        <f aca="false">Economy!R59</f>
        <v>1.96741700504332</v>
      </c>
      <c r="U60" s="70" t="n">
        <f aca="false">MAX(0,T60-gap_base)</f>
        <v>0.467417005043322</v>
      </c>
      <c r="V60" s="71" t="n">
        <v>59.4</v>
      </c>
      <c r="W60" s="50" t="n">
        <f aca="false">V60*1000000*lf_rate*union_skill_share</f>
        <v>2993760</v>
      </c>
      <c r="X60" s="48" t="n">
        <v>100000</v>
      </c>
      <c r="Y60" s="50" t="n">
        <f aca="false">IF(AND(mig_endo=1,$A60&gt;=talent_start),talent_rate_u*W60*U60*(1-(1-bd_keep)*S60),0)</f>
        <v>13993.343330185</v>
      </c>
      <c r="Z60" s="50" t="n">
        <f aca="false">IF(AND(mig_endo=1,$A60&gt;=talent_start),X60*MIN(0.5,talent_share_o*U60)*(1-eu_comp*S60),0)</f>
        <v>12620.2591361697</v>
      </c>
      <c r="AA60" s="48" t="n">
        <v>22000</v>
      </c>
      <c r="AB60" s="50" t="n">
        <f aca="false">IF(AND(mig_endo=1,$A60&gt;=talent_start),AA60*MIN(0.5,talent_share_a*U60),0)</f>
        <v>2056.63482219062</v>
      </c>
      <c r="AC60" s="50" t="n">
        <f aca="false">entry_cap*People!B60</f>
        <v>23338.5830663973</v>
      </c>
      <c r="AD60" s="50" t="n">
        <f aca="false">MIN(AC60,Y60+Z60+AB60)</f>
        <v>23338.5830663973</v>
      </c>
      <c r="AE60" s="50" t="n">
        <f aca="false">IF(Y60+Z60+AB60&gt;0,AD60*Y60/(Y60+Z60+AB60),0)</f>
        <v>11391.0743884432</v>
      </c>
      <c r="AF60" s="50" t="n">
        <f aca="false">IF(Y60+Z60+AB60&gt;0,AD60*AB60/(Y60+Z60+AB60),0)</f>
        <v>1674.17319054133</v>
      </c>
      <c r="AG60" s="50" t="n">
        <f aca="false">AD60*family_mult</f>
        <v>51344.8827460741</v>
      </c>
      <c r="AH60" s="50" t="n">
        <f aca="false">AH59*(1+Paths!C60)+AG60</f>
        <v>520630.68075366</v>
      </c>
      <c r="AI60" s="50" t="n">
        <f aca="false">IF(AND(mig_endo=1,$A60&gt;=talent_start),chain_rate*AH59,0)</f>
        <v>6908.03431807045</v>
      </c>
      <c r="AJ60" s="50" t="n">
        <f aca="false">IF(AND(mig_endo=1,$A60&gt;=talent_start),IF(H59&gt;0,H59*job_fill,H59*job_return)*job_family,0)</f>
        <v>3581.876286333</v>
      </c>
      <c r="AK60" s="50" t="n">
        <f aca="false">K60*gw_conv_family</f>
        <v>15857.105661378</v>
      </c>
      <c r="AL60" s="50" t="n">
        <f aca="false">AG60+AI60+AJ60+AK60+AR60</f>
        <v>130042.603576708</v>
      </c>
      <c r="AM60" s="50" t="n">
        <f aca="false">AM59*(1-skill_ret)+AD60</f>
        <v>189034.429563196</v>
      </c>
      <c r="AN60" s="67" t="n">
        <f aca="false">AM60/B60</f>
        <v>0.0564520816263174</v>
      </c>
      <c r="AO60" s="67" t="n">
        <f aca="false">(skill_rel-1+skill_spill)*AM59/B59-AT60</f>
        <v>0.0596097293687781</v>
      </c>
      <c r="AP60" s="67" t="n">
        <f aca="false">talent_champ*AM59/(skill_base_share*B59)</f>
        <v>0.106257685661319</v>
      </c>
      <c r="AQ60" s="48" t="n">
        <v>448000</v>
      </c>
      <c r="AR60" s="50" t="n">
        <f aca="false">IF(AND(div_on=1,$A60&gt;=div_start),AQ60*MIN(div_max,div_rate*U60)*(1-div_comp*S60),0)</f>
        <v>52350.7045648521</v>
      </c>
      <c r="AS60" s="50" t="n">
        <f aca="false">AS59*(1-div_assim)+AR60</f>
        <v>326066.294870884</v>
      </c>
      <c r="AT60" s="67" t="n">
        <f aca="false">(1-div_rel)*AS59/Economy!B59</f>
        <v>0.0094577663110791</v>
      </c>
      <c r="AU60" s="50" t="n">
        <f aca="false">AU59*(1-skill_ret)+AE60</f>
        <v>94569.4292815119</v>
      </c>
      <c r="AV60" s="50" t="n">
        <f aca="false">AV59*(1+union_nat)+AR60</f>
        <v>461695.689177641</v>
      </c>
      <c r="AW60" s="50" t="n">
        <f aca="false">AW59*(1+union_nat)+AE60*family_mult</f>
        <v>253039.629727491</v>
      </c>
      <c r="AX60" s="70" t="n">
        <f aca="false">V60-(AV60+AW60)/1000000</f>
        <v>58.6852646810949</v>
      </c>
      <c r="AY60" s="50" t="n">
        <f aca="false">L60*gw_union</f>
        <v>61834.7096564501</v>
      </c>
      <c r="AZ60" s="49" t="n">
        <v>1.092</v>
      </c>
      <c r="BA60" s="50" t="n">
        <f aca="false">Economy!Q60*AZ60/lf_rate</f>
        <v>639.6</v>
      </c>
      <c r="BB60" s="67" t="n">
        <f aca="false">bd_growth*AU59/W59</f>
        <v>0.000868635587455608</v>
      </c>
      <c r="BC60" s="67" t="n">
        <f aca="false">tg_k*MIN(1,Economy!O59/BK59)</f>
        <v>0.000763077786071225</v>
      </c>
      <c r="BD60" s="67" t="n">
        <f aca="false">emu_g*S60</f>
        <v>0</v>
      </c>
      <c r="BE60" s="68" t="n">
        <f aca="false">BE59*(1-BB60-BC60+BD60)</f>
        <v>0.977571247807758</v>
      </c>
      <c r="BF60" s="49" t="n">
        <v>1</v>
      </c>
      <c r="BG60" s="56" t="n">
        <f aca="false">AU60*BA60*BE60*(skill_rel-1+skill_spill)/1000000</f>
        <v>76.868958204753</v>
      </c>
      <c r="BH60" s="56" t="n">
        <f aca="false">union_disp*(Champions!AP60+Champions!AZ60)*(1-IF(union_resp=2,mkt_cut*S60,0))</f>
        <v>73.1864110483958</v>
      </c>
      <c r="BI60" s="56" t="n">
        <f aca="false">AY60*BA60*BE60/1000000</f>
        <v>38.6624348033686</v>
      </c>
      <c r="BJ60" s="50" t="n">
        <f aca="false">V60*Economy!Q60*AZ60</f>
        <v>15956.7408</v>
      </c>
      <c r="BK60" s="50" t="n">
        <f aca="false">MAX(0.3*BJ60,AX60*Economy!Q60*AZ60*BE60*BF60-BG60-BH60-BI60)</f>
        <v>15222.438770431</v>
      </c>
      <c r="BL60" s="66" t="n">
        <f aca="false">1-BK60/BJ60</f>
        <v>0.0460182965163526</v>
      </c>
      <c r="BM60" s="50" t="n">
        <f aca="false">MAX(0,BH60-BH59)*1000000/BA60</f>
        <v>10462.5329829312</v>
      </c>
      <c r="BN60" s="50" t="n">
        <f aca="false">BN59*(1-IF(AND($A60&gt;=1930,$A60&lt;=1932),0,union_reabsorb))+BM60</f>
        <v>36081.7313138675</v>
      </c>
      <c r="BO60" s="62" t="n">
        <v>0.05</v>
      </c>
      <c r="BP60" s="66" t="n">
        <f aca="false">BO60+BN60/(AX60*1000000*lf_rate)</f>
        <v>0.0514638919079173</v>
      </c>
    </row>
    <row r="61" customFormat="false" ht="14.25" hidden="false" customHeight="false" outlineLevel="0" collapsed="false">
      <c r="A61" s="61" t="n">
        <v>1901</v>
      </c>
      <c r="B61" s="50" t="n">
        <f aca="false">Economy!B61*lf_rate</f>
        <v>3517817.04285044</v>
      </c>
      <c r="C61" s="50" t="n">
        <f aca="false">Economy!O61*1000000/(B61+L61)</f>
        <v>1154.17465605313</v>
      </c>
      <c r="D61" s="50" t="n">
        <f aca="false">Champions!AP61*1000000/(C61*champ_prem)</f>
        <v>111917.992738714</v>
      </c>
      <c r="E61" s="50" t="n">
        <f aca="false">D61*job_mult</f>
        <v>78342.5949171001</v>
      </c>
      <c r="F61" s="50" t="n">
        <f aca="false">D61+E61</f>
        <v>190260.587655815</v>
      </c>
      <c r="G61" s="66" t="n">
        <f aca="false">F61/B61</f>
        <v>0.0540848444754959</v>
      </c>
      <c r="H61" s="50" t="n">
        <f aca="false">F61-F60</f>
        <v>17546.8676589345</v>
      </c>
      <c r="I61" s="66" t="n">
        <f aca="false">MAX(0.005,pac_u_base*IF(Paths!AC61=1,pac_u_war,1)+(okun*(1-Economy!G61)*(B61+L61)-MAX(0,L60-L61))/B61)</f>
        <v>0.015</v>
      </c>
      <c r="J61" s="50" t="n">
        <f aca="false">IF(AND(gw_on=1,$A61&gt;=gw_start),MIN(gw_cap*B60,gw_cover*F60+gw_gen*B60),0)</f>
        <v>371514.799320131</v>
      </c>
      <c r="K61" s="50" t="n">
        <f aca="false">L60*gw_conv</f>
        <v>9275.20644846751</v>
      </c>
      <c r="L61" s="50" t="n">
        <f aca="false">MAX(0,L60-K61+gw_adj*(J61-L60))*MAX(0,1-gw_slump*(1-Economy!G61))</f>
        <v>324834.842248935</v>
      </c>
      <c r="M61" s="50" t="n">
        <f aca="false">MAX(0,L61-L60+L60/gw_term)</f>
        <v>118719.143394102</v>
      </c>
      <c r="N61" s="66" t="n">
        <f aca="false">L61/B61</f>
        <v>0.0923398909869759</v>
      </c>
      <c r="O61" s="56" t="n">
        <f aca="false">Economy!L61</f>
        <v>219.249218099916</v>
      </c>
      <c r="P61" s="56" t="n">
        <f aca="false">O61*gw_wage_share</f>
        <v>142.511991764945</v>
      </c>
      <c r="Q61" s="56" t="n">
        <f aca="false">P61*gw_levy</f>
        <v>35.6279979412364</v>
      </c>
      <c r="R61" s="56" t="n">
        <f aca="false">P61*gw_remit</f>
        <v>35.6279979412364</v>
      </c>
      <c r="S61" s="66" t="n">
        <f aca="false">IF(union_resp&gt;=1,MIN(1,MAX(0,($A61-resp_start)/(resp_full-resp_start))),0)</f>
        <v>0</v>
      </c>
      <c r="T61" s="70" t="n">
        <f aca="false">Economy!R60</f>
        <v>1.99049076572817</v>
      </c>
      <c r="U61" s="70" t="n">
        <f aca="false">MAX(0,T61-gap_base)</f>
        <v>0.490490765728171</v>
      </c>
      <c r="V61" s="71" t="n">
        <v>60.68</v>
      </c>
      <c r="W61" s="50" t="n">
        <f aca="false">V61*1000000*lf_rate*union_skill_share</f>
        <v>3058272</v>
      </c>
      <c r="X61" s="48" t="n">
        <v>105000</v>
      </c>
      <c r="Y61" s="50" t="n">
        <f aca="false">IF(AND(mig_endo=1,$A61&gt;=talent_start),talent_rate_u*W61*U61*(1-(1-bd_keep)*S61),0)</f>
        <v>15000.5417508502</v>
      </c>
      <c r="Z61" s="50" t="n">
        <f aca="false">IF(AND(mig_endo=1,$A61&gt;=talent_start),X61*MIN(0.5,talent_share_o*U61)*(1-eu_comp*S61),0)</f>
        <v>13905.4132083936</v>
      </c>
      <c r="AA61" s="48" t="n">
        <v>24000</v>
      </c>
      <c r="AB61" s="50" t="n">
        <f aca="false">IF(AND(mig_endo=1,$A61&gt;=talent_start),AA61*MIN(0.5,talent_share_a*U61),0)</f>
        <v>2354.35567549522</v>
      </c>
      <c r="AC61" s="50" t="n">
        <f aca="false">entry_cap*People!B61</f>
        <v>24498.303955389</v>
      </c>
      <c r="AD61" s="50" t="n">
        <f aca="false">MIN(AC61,Y61+Z61+AB61)</f>
        <v>24498.303955389</v>
      </c>
      <c r="AE61" s="50" t="n">
        <f aca="false">IF(Y61+Z61+AB61&gt;0,AD61*Y61/(Y61+Z61+AB61),0)</f>
        <v>11755.7319119999</v>
      </c>
      <c r="AF61" s="50" t="n">
        <f aca="false">IF(Y61+Z61+AB61&gt;0,AD61*AB61/(Y61+Z61+AB61),0)</f>
        <v>1845.07830492512</v>
      </c>
      <c r="AG61" s="50" t="n">
        <f aca="false">AD61*family_mult</f>
        <v>53896.2687018558</v>
      </c>
      <c r="AH61" s="50" t="n">
        <f aca="false">AH60*(1+Paths!C61)+AG61</f>
        <v>584418.932389835</v>
      </c>
      <c r="AI61" s="50" t="n">
        <f aca="false">IF(AND(mig_endo=1,$A61&gt;=talent_start),chain_rate*AH60,0)</f>
        <v>7809.4602113049</v>
      </c>
      <c r="AJ61" s="50" t="n">
        <f aca="false">IF(AND(mig_endo=1,$A61&gt;=talent_start),IF(H60&gt;0,H60*job_fill,H60*job_return)*job_family,0)</f>
        <v>5295.79087429249</v>
      </c>
      <c r="AK61" s="50" t="n">
        <f aca="false">K61*gw_conv_family</f>
        <v>16695.3716072415</v>
      </c>
      <c r="AL61" s="50" t="n">
        <f aca="false">AG61+AI61+AJ61+AK61+AR61</f>
        <v>155431.16588244</v>
      </c>
      <c r="AM61" s="50" t="n">
        <f aca="false">AM60*(1-skill_ret)+AD61</f>
        <v>208806.872779505</v>
      </c>
      <c r="AN61" s="67" t="n">
        <f aca="false">AM61/B61</f>
        <v>0.0593569450133518</v>
      </c>
      <c r="AO61" s="67" t="n">
        <f aca="false">(skill_rel-1+skill_spill)*AM60/B60-AT61</f>
        <v>0.0631633902618125</v>
      </c>
      <c r="AP61" s="67" t="n">
        <f aca="false">talent_champ*AM60/(skill_base_share*B60)</f>
        <v>0.112904163252635</v>
      </c>
      <c r="AQ61" s="48" t="n">
        <v>585000</v>
      </c>
      <c r="AR61" s="50" t="n">
        <f aca="false">IF(AND(div_on=1,$A61&gt;=div_start),AQ61*MIN(div_max,div_rate*U61)*(1-div_comp*S61),0)</f>
        <v>71734.274487745</v>
      </c>
      <c r="AS61" s="50" t="n">
        <f aca="false">AS60*(1-div_assim)+AR61</f>
        <v>381497.254615085</v>
      </c>
      <c r="AT61" s="67" t="n">
        <f aca="false">(1-div_rel)*AS60/Economy!B60</f>
        <v>0.0102243158524002</v>
      </c>
      <c r="AU61" s="50" t="n">
        <f aca="false">AU60*(1-skill_ret)+AE61</f>
        <v>103960.925461474</v>
      </c>
      <c r="AV61" s="50" t="n">
        <f aca="false">AV60*(1+union_nat)+AR61</f>
        <v>539432.007624695</v>
      </c>
      <c r="AW61" s="50" t="n">
        <f aca="false">AW60*(1+union_nat)+AE61*family_mult</f>
        <v>282191.755120348</v>
      </c>
      <c r="AX61" s="70" t="n">
        <f aca="false">V61-(AV61+AW61)/1000000</f>
        <v>59.858376237255</v>
      </c>
      <c r="AY61" s="50" t="n">
        <f aca="false">L61*gw_union</f>
        <v>64966.968449787</v>
      </c>
      <c r="AZ61" s="49" t="n">
        <v>1.089</v>
      </c>
      <c r="BA61" s="50" t="n">
        <f aca="false">Economy!Q61*AZ61/lf_rate</f>
        <v>661.178571428571</v>
      </c>
      <c r="BB61" s="67" t="n">
        <f aca="false">bd_growth*AU60/W60</f>
        <v>0.000947665436923921</v>
      </c>
      <c r="BC61" s="67" t="n">
        <f aca="false">tg_k*MIN(1,Economy!O60/BK60)</f>
        <v>0.000799221011101391</v>
      </c>
      <c r="BD61" s="67" t="n">
        <f aca="false">emu_g*S61</f>
        <v>0</v>
      </c>
      <c r="BE61" s="68" t="n">
        <f aca="false">BE60*(1-BB61-BC61+BD61)</f>
        <v>0.975863541842984</v>
      </c>
      <c r="BF61" s="49" t="n">
        <v>1</v>
      </c>
      <c r="BG61" s="56" t="n">
        <f aca="false">AU61*BA61*BE61*(skill_rel-1+skill_spill)/1000000</f>
        <v>87.2009772716248</v>
      </c>
      <c r="BH61" s="56" t="n">
        <f aca="false">union_disp*(Champions!AP61+Champions!AZ61)*(1-IF(union_resp=2,mkt_cut*S61,0))</f>
        <v>95.3508708394901</v>
      </c>
      <c r="BI61" s="56" t="n">
        <f aca="false">AY61*BA61*BE61/1000000</f>
        <v>41.91799144393</v>
      </c>
      <c r="BJ61" s="50" t="n">
        <f aca="false">V61*Economy!Q61*AZ61</f>
        <v>16850.5326</v>
      </c>
      <c r="BK61" s="50" t="n">
        <f aca="false">MAX(0.3*BJ61,AX61*Economy!Q61*AZ61*BE61*BF61-BG61-BH61-BI61)</f>
        <v>15996.696768489</v>
      </c>
      <c r="BL61" s="66" t="n">
        <f aca="false">1-BK61/BJ61</f>
        <v>0.0506711480152877</v>
      </c>
      <c r="BM61" s="50" t="n">
        <f aca="false">MAX(0,BH61-BH60)*1000000/BA61</f>
        <v>33522.6529547152</v>
      </c>
      <c r="BN61" s="50" t="n">
        <f aca="false">BN60*(1-IF(AND($A61&gt;=1930,$A61&lt;=1932),0,union_reabsorb))+BM61</f>
        <v>60583.9514401158</v>
      </c>
      <c r="BO61" s="62" t="n">
        <v>0.045</v>
      </c>
      <c r="BP61" s="66" t="n">
        <f aca="false">BO61+BN61/(AX61*1000000*lf_rate)</f>
        <v>0.0474098131706264</v>
      </c>
    </row>
    <row r="62" customFormat="false" ht="14.25" hidden="false" customHeight="false" outlineLevel="0" collapsed="false">
      <c r="A62" s="61" t="n">
        <v>1902</v>
      </c>
      <c r="B62" s="50" t="n">
        <f aca="false">Economy!B62*lf_rate</f>
        <v>3701618.63909076</v>
      </c>
      <c r="C62" s="50" t="n">
        <f aca="false">Economy!O62*1000000/(B62+L62)</f>
        <v>1200.7387889496</v>
      </c>
      <c r="D62" s="50" t="n">
        <f aca="false">Champions!AP62*1000000/(C62*champ_prem)</f>
        <v>121846.107608989</v>
      </c>
      <c r="E62" s="50" t="n">
        <f aca="false">D62*job_mult</f>
        <v>85292.2753262924</v>
      </c>
      <c r="F62" s="50" t="n">
        <f aca="false">D62+E62</f>
        <v>207138.382935281</v>
      </c>
      <c r="G62" s="66" t="n">
        <f aca="false">F62/B62</f>
        <v>0.055958866412603</v>
      </c>
      <c r="H62" s="50" t="n">
        <f aca="false">F62-F61</f>
        <v>16877.7952794669</v>
      </c>
      <c r="I62" s="66" t="n">
        <f aca="false">MAX(0.005,pac_u_base*IF(Paths!AC62=1,pac_u_war,1)+(okun*(1-Economy!G62)*(B62+L62)-MAX(0,L61-L62))/B62)</f>
        <v>0.015</v>
      </c>
      <c r="J62" s="50" t="n">
        <f aca="false">IF(AND(gw_on=1,$A62&gt;=gw_start),MIN(gw_cap*B61,gw_cover*F61+gw_gen*B61),0)</f>
        <v>395581.716021524</v>
      </c>
      <c r="K62" s="50" t="n">
        <f aca="false">L61*gw_conv</f>
        <v>9745.04526746806</v>
      </c>
      <c r="L62" s="50" t="n">
        <f aca="false">MAX(0,L61-K62+gw_adj*(J62-L61))*MAX(0,1-gw_slump*(1-Economy!G62))</f>
        <v>343388.546490503</v>
      </c>
      <c r="M62" s="50" t="n">
        <f aca="false">MAX(0,L62-L61+L61/gw_term)</f>
        <v>126831.984991212</v>
      </c>
      <c r="N62" s="66" t="n">
        <f aca="false">L62/B62</f>
        <v>0.0927671324280045</v>
      </c>
      <c r="O62" s="56" t="n">
        <f aca="false">Economy!L62</f>
        <v>240.933155611574</v>
      </c>
      <c r="P62" s="56" t="n">
        <f aca="false">O62*gw_wage_share</f>
        <v>156.606551147523</v>
      </c>
      <c r="Q62" s="56" t="n">
        <f aca="false">P62*gw_levy</f>
        <v>39.1516377868807</v>
      </c>
      <c r="R62" s="56" t="n">
        <f aca="false">P62*gw_remit</f>
        <v>39.1516377868807</v>
      </c>
      <c r="S62" s="66" t="n">
        <f aca="false">IF(union_resp&gt;=1,MIN(1,MAX(0,($A62-resp_start)/(resp_full-resp_start))),0)</f>
        <v>0</v>
      </c>
      <c r="T62" s="70" t="n">
        <f aca="false">Economy!R61</f>
        <v>1.9990041998688</v>
      </c>
      <c r="U62" s="70" t="n">
        <f aca="false">MAX(0,T62-gap_base)</f>
        <v>0.499004199868802</v>
      </c>
      <c r="V62" s="71" t="n">
        <v>61.97</v>
      </c>
      <c r="W62" s="50" t="n">
        <f aca="false">V62*1000000*lf_rate*union_skill_share</f>
        <v>3123288</v>
      </c>
      <c r="X62" s="48" t="n">
        <v>109000</v>
      </c>
      <c r="Y62" s="50" t="n">
        <f aca="false">IF(AND(mig_endo=1,$A62&gt;=talent_start),talent_rate_u*W62*U62*(1-(1-bd_keep)*S62),0)</f>
        <v>15585.3382939983</v>
      </c>
      <c r="Z62" s="50" t="n">
        <f aca="false">IF(AND(mig_endo=1,$A62&gt;=talent_start),X62*MIN(0.5,talent_share_o*U62)*(1-eu_comp*S62),0)</f>
        <v>14685.6936021388</v>
      </c>
      <c r="AA62" s="48" t="n">
        <v>26000</v>
      </c>
      <c r="AB62" s="50" t="n">
        <f aca="false">IF(AND(mig_endo=1,$A62&gt;=talent_start),AA62*MIN(0.5,talent_share_a*U62),0)</f>
        <v>2594.82183931777</v>
      </c>
      <c r="AC62" s="50" t="n">
        <f aca="false">entry_cap*People!B62</f>
        <v>25756.2252281887</v>
      </c>
      <c r="AD62" s="50" t="n">
        <f aca="false">MIN(AC62,Y62+Z62+AB62)</f>
        <v>25756.2252281887</v>
      </c>
      <c r="AE62" s="50" t="n">
        <f aca="false">IF(Y62+Z62+AB62&gt;0,AD62*Y62/(Y62+Z62+AB62),0)</f>
        <v>12213.8766450084</v>
      </c>
      <c r="AF62" s="50" t="n">
        <f aca="false">IF(Y62+Z62+AB62&gt;0,AD62*AB62/(Y62+Z62+AB62),0)</f>
        <v>2033.50310807212</v>
      </c>
      <c r="AG62" s="50" t="n">
        <f aca="false">AD62*family_mult</f>
        <v>56663.6955020151</v>
      </c>
      <c r="AH62" s="50" t="n">
        <f aca="false">AH61*(1+Paths!C62)+AG62</f>
        <v>652186.587607257</v>
      </c>
      <c r="AI62" s="50" t="n">
        <f aca="false">IF(AND(mig_endo=1,$A62&gt;=talent_start),chain_rate*AH61,0)</f>
        <v>8766.28398584753</v>
      </c>
      <c r="AJ62" s="50" t="n">
        <f aca="false">IF(AND(mig_endo=1,$A62&gt;=talent_start),IF(H61&gt;0,H61*job_fill,H61*job_return)*job_family,0)</f>
        <v>11054.5266251288</v>
      </c>
      <c r="AK62" s="50" t="n">
        <f aca="false">K62*gw_conv_family</f>
        <v>17541.0814814425</v>
      </c>
      <c r="AL62" s="50" t="n">
        <f aca="false">AG62+AI62+AJ62+AK62+AR62</f>
        <v>184095.845670753</v>
      </c>
      <c r="AM62" s="50" t="n">
        <f aca="false">AM61*(1-skill_ret)+AD62</f>
        <v>229342.926188206</v>
      </c>
      <c r="AN62" s="67" t="n">
        <f aca="false">AM62/B62</f>
        <v>0.0619574701094925</v>
      </c>
      <c r="AO62" s="67" t="n">
        <f aca="false">(skill_rel-1+skill_spill)*AM61/B61-AT62</f>
        <v>0.065777077107819</v>
      </c>
      <c r="AP62" s="67" t="n">
        <f aca="false">talent_champ*AM61/(skill_base_share*B61)</f>
        <v>0.118713890026704</v>
      </c>
      <c r="AQ62" s="48" t="n">
        <v>722000</v>
      </c>
      <c r="AR62" s="50" t="n">
        <f aca="false">IF(AND(div_on=1,$A62&gt;=div_start),AQ62*MIN(div_max,div_rate*U62)*(1-div_comp*S62),0)</f>
        <v>90070.2580763188</v>
      </c>
      <c r="AS62" s="50" t="n">
        <f aca="false">AS61*(1-div_assim)+AR62</f>
        <v>452492.64996065</v>
      </c>
      <c r="AT62" s="67" t="n">
        <f aca="false">(1-div_rel)*AS61/Economy!B61</f>
        <v>0.0113869514095384</v>
      </c>
      <c r="AU62" s="50" t="n">
        <f aca="false">AU61*(1-skill_ret)+AE62</f>
        <v>113575.778969946</v>
      </c>
      <c r="AV62" s="50" t="n">
        <f aca="false">AV61*(1+union_nat)+AR62</f>
        <v>636514.881800135</v>
      </c>
      <c r="AW62" s="50" t="n">
        <f aca="false">AW61*(1+union_nat)+AE62*family_mult</f>
        <v>312730.776555931</v>
      </c>
      <c r="AX62" s="70" t="n">
        <f aca="false">V62-(AV62+AW62)/1000000</f>
        <v>61.0207543416439</v>
      </c>
      <c r="AY62" s="50" t="n">
        <f aca="false">L62*gw_union</f>
        <v>68677.7092981005</v>
      </c>
      <c r="AZ62" s="49" t="n">
        <v>1.086</v>
      </c>
      <c r="BA62" s="50" t="n">
        <f aca="false">Economy!Q62*AZ62/lf_rate</f>
        <v>682.628571428572</v>
      </c>
      <c r="BB62" s="67" t="n">
        <f aca="false">bd_growth*AU61/W61</f>
        <v>0.00101980064685032</v>
      </c>
      <c r="BC62" s="67" t="n">
        <f aca="false">tg_k*MIN(1,Economy!O61/BK61)</f>
        <v>0.000831751357546439</v>
      </c>
      <c r="BD62" s="67" t="n">
        <f aca="false">emu_g*S62</f>
        <v>0</v>
      </c>
      <c r="BE62" s="68" t="n">
        <f aca="false">BE61*(1-BB62-BC62+BD62)</f>
        <v>0.974056679746066</v>
      </c>
      <c r="BF62" s="49" t="n">
        <v>1</v>
      </c>
      <c r="BG62" s="56" t="n">
        <f aca="false">AU62*BA62*BE62*(skill_rel-1+skill_spill)/1000000</f>
        <v>98.1742895464429</v>
      </c>
      <c r="BH62" s="56" t="n">
        <f aca="false">union_disp*(Champions!AP62+Champions!AZ62)*(1-IF(union_resp=2,mkt_cut*S62,0))</f>
        <v>107.739392402419</v>
      </c>
      <c r="BI62" s="56" t="n">
        <f aca="false">AY62*BA62*BE62/1000000</f>
        <v>45.6651082798366</v>
      </c>
      <c r="BJ62" s="50" t="n">
        <f aca="false">V62*Economy!Q62*AZ62</f>
        <v>17767.04688</v>
      </c>
      <c r="BK62" s="50" t="n">
        <f aca="false">MAX(0.3*BJ62,AX62*Economy!Q62*AZ62*BE62*BF62-BG62-BH62-BI62)</f>
        <v>16789.4399155354</v>
      </c>
      <c r="BL62" s="66" t="n">
        <f aca="false">1-BK62/BJ62</f>
        <v>0.0550236047142447</v>
      </c>
      <c r="BM62" s="50" t="n">
        <f aca="false">MAX(0,BH62-BH61)*1000000/BA62</f>
        <v>18148.2611209828</v>
      </c>
      <c r="BN62" s="50" t="n">
        <f aca="false">BN61*(1-IF(AND($A62&gt;=1930,$A62&lt;=1932),0,union_reabsorb))+BM62</f>
        <v>63586.2247010696</v>
      </c>
      <c r="BO62" s="62" t="n">
        <v>0.039</v>
      </c>
      <c r="BP62" s="66" t="n">
        <f aca="false">BO62+BN62/(AX62*1000000*lf_rate)</f>
        <v>0.0414810537780334</v>
      </c>
    </row>
    <row r="63" customFormat="false" ht="14.25" hidden="false" customHeight="false" outlineLevel="0" collapsed="false">
      <c r="A63" s="61" t="n">
        <v>1903</v>
      </c>
      <c r="B63" s="50" t="n">
        <f aca="false">Economy!B63*lf_rate</f>
        <v>3899974.66430351</v>
      </c>
      <c r="C63" s="50" t="n">
        <f aca="false">Economy!O63*1000000/(B63+L63)</f>
        <v>1248.73307488237</v>
      </c>
      <c r="D63" s="50" t="n">
        <f aca="false">Champions!AP63*1000000/(C63*champ_prem)</f>
        <v>131093.612052514</v>
      </c>
      <c r="E63" s="50" t="n">
        <f aca="false">D63*job_mult</f>
        <v>91765.5284367601</v>
      </c>
      <c r="F63" s="50" t="n">
        <f aca="false">D63+E63</f>
        <v>222859.140489275</v>
      </c>
      <c r="G63" s="66" t="n">
        <f aca="false">F63/B63</f>
        <v>0.0571437405809595</v>
      </c>
      <c r="H63" s="50" t="n">
        <f aca="false">F63-F62</f>
        <v>15720.7575539931</v>
      </c>
      <c r="I63" s="66" t="n">
        <f aca="false">MAX(0.005,pac_u_base*IF(Paths!AC63=1,pac_u_war,1)+(okun*(1-Economy!G63)*(B63+L63)-MAX(0,L62-L63))/B63)</f>
        <v>0.015</v>
      </c>
      <c r="J63" s="50" t="n">
        <f aca="false">IF(AND(gw_on=1,$A63&gt;=gw_start),MIN(gw_cap*B62,gw_cover*F62+gw_gen*B62),0)</f>
        <v>420412.52088843</v>
      </c>
      <c r="K63" s="50" t="n">
        <f aca="false">L62*gw_conv</f>
        <v>10301.6563947151</v>
      </c>
      <c r="L63" s="50" t="n">
        <f aca="false">MAX(0,L62-K63+gw_adj*(J63-L62))*MAX(0,1-gw_slump*(1-Economy!G63))</f>
        <v>363896.479854959</v>
      </c>
      <c r="M63" s="50" t="n">
        <f aca="false">MAX(0,L63-L62+L62/gw_term)</f>
        <v>134970.782194623</v>
      </c>
      <c r="N63" s="66" t="n">
        <f aca="false">L63/B63</f>
        <v>0.0933073958622615</v>
      </c>
      <c r="O63" s="56" t="n">
        <f aca="false">Economy!L63</f>
        <v>265.525523001716</v>
      </c>
      <c r="P63" s="56" t="n">
        <f aca="false">O63*gw_wage_share</f>
        <v>172.591589951115</v>
      </c>
      <c r="Q63" s="56" t="n">
        <f aca="false">P63*gw_levy</f>
        <v>43.1478974877788</v>
      </c>
      <c r="R63" s="56" t="n">
        <f aca="false">P63*gw_remit</f>
        <v>43.1478974877788</v>
      </c>
      <c r="S63" s="66" t="n">
        <f aca="false">IF(union_resp&gt;=1,MIN(1,MAX(0,($A63-resp_start)/(resp_full-resp_start))),0)</f>
        <v>0</v>
      </c>
      <c r="T63" s="70" t="n">
        <f aca="false">Economy!R62</f>
        <v>2.00919358434003</v>
      </c>
      <c r="U63" s="70" t="n">
        <f aca="false">MAX(0,T63-gap_base)</f>
        <v>0.509193584340034</v>
      </c>
      <c r="V63" s="71" t="n">
        <v>63.25</v>
      </c>
      <c r="W63" s="50" t="n">
        <f aca="false">V63*1000000*lf_rate*union_skill_share</f>
        <v>3187800</v>
      </c>
      <c r="X63" s="48" t="n">
        <v>114000</v>
      </c>
      <c r="Y63" s="50" t="n">
        <f aca="false">IF(AND(mig_endo=1,$A63&gt;=talent_start),talent_rate_u*W63*U63*(1-(1-bd_keep)*S63),0)</f>
        <v>16232.0730815916</v>
      </c>
      <c r="Z63" s="50" t="n">
        <f aca="false">IF(AND(mig_endo=1,$A63&gt;=talent_start),X63*MIN(0.5,talent_share_o*U63)*(1-eu_comp*S63),0)</f>
        <v>15672.9785259862</v>
      </c>
      <c r="AA63" s="48" t="n">
        <v>27000</v>
      </c>
      <c r="AB63" s="50" t="n">
        <f aca="false">IF(AND(mig_endo=1,$A63&gt;=talent_start),AA63*MIN(0.5,talent_share_a*U63),0)</f>
        <v>2749.64535543618</v>
      </c>
      <c r="AC63" s="50" t="n">
        <f aca="false">entry_cap*People!B63</f>
        <v>27124.0410445365</v>
      </c>
      <c r="AD63" s="50" t="n">
        <f aca="false">MIN(AC63,Y63+Z63+AB63)</f>
        <v>27124.0410445365</v>
      </c>
      <c r="AE63" s="50" t="n">
        <f aca="false">IF(Y63+Z63+AB63&gt;0,AD63*Y63/(Y63+Z63+AB63),0)</f>
        <v>12704.7544802629</v>
      </c>
      <c r="AF63" s="50" t="n">
        <f aca="false">IF(Y63+Z63+AB63&gt;0,AD63*AB63/(Y63+Z63+AB63),0)</f>
        <v>2152.13232302591</v>
      </c>
      <c r="AG63" s="50" t="n">
        <f aca="false">AD63*family_mult</f>
        <v>59672.8902979804</v>
      </c>
      <c r="AH63" s="50" t="n">
        <f aca="false">AH62*(1+Paths!C63)+AG63</f>
        <v>724251.023069775</v>
      </c>
      <c r="AI63" s="50" t="n">
        <f aca="false">IF(AND(mig_endo=1,$A63&gt;=talent_start),chain_rate*AH62,0)</f>
        <v>9782.79881410886</v>
      </c>
      <c r="AJ63" s="50" t="n">
        <f aca="false">IF(AND(mig_endo=1,$A63&gt;=talent_start),IF(H62&gt;0,H62*job_fill,H62*job_return)*job_family,0)</f>
        <v>10633.0110260641</v>
      </c>
      <c r="AK63" s="50" t="n">
        <f aca="false">K63*gw_conv_family</f>
        <v>18542.9815104871</v>
      </c>
      <c r="AL63" s="50" t="n">
        <f aca="false">AG63+AI63+AJ63+AK63+AR63</f>
        <v>208108.302281748</v>
      </c>
      <c r="AM63" s="50" t="n">
        <f aca="false">AM62*(1-skill_ret)+AD63</f>
        <v>250733.394078038</v>
      </c>
      <c r="AN63" s="67" t="n">
        <f aca="false">AM63/B63</f>
        <v>0.0642910315220767</v>
      </c>
      <c r="AO63" s="67" t="n">
        <f aca="false">(skill_rel-1+skill_spill)*AM62/B62-AT63</f>
        <v>0.0677093186078088</v>
      </c>
      <c r="AP63" s="67" t="n">
        <f aca="false">talent_champ*AM62/(skill_base_share*B62)</f>
        <v>0.123914940218985</v>
      </c>
      <c r="AQ63" s="48" t="n">
        <v>860000</v>
      </c>
      <c r="AR63" s="50" t="n">
        <f aca="false">IF(AND(div_on=1,$A63&gt;=div_start),AQ63*MIN(div_max,div_rate*U63)*(1-div_comp*S63),0)</f>
        <v>109476.620633107</v>
      </c>
      <c r="AS63" s="50" t="n">
        <f aca="false">AS62*(1-div_assim)+AR63</f>
        <v>539344.638095724</v>
      </c>
      <c r="AT63" s="67" t="n">
        <f aca="false">(1-div_rel)*AS62/Economy!B62</f>
        <v>0.0128353925345315</v>
      </c>
      <c r="AU63" s="50" t="n">
        <f aca="false">AU62*(1-skill_ret)+AE63</f>
        <v>123441.13897596</v>
      </c>
      <c r="AV63" s="50" t="n">
        <f aca="false">AV62*(1+union_nat)+AR63</f>
        <v>754266.195896643</v>
      </c>
      <c r="AW63" s="50" t="n">
        <f aca="false">AW62*(1+union_nat)+AE63*family_mult</f>
        <v>344746.736507737</v>
      </c>
      <c r="AX63" s="70" t="n">
        <f aca="false">V63-(AV63+AW63)/1000000</f>
        <v>62.1509870675956</v>
      </c>
      <c r="AY63" s="50" t="n">
        <f aca="false">L63*gw_union</f>
        <v>72779.2959709917</v>
      </c>
      <c r="AZ63" s="49" t="n">
        <v>1.083</v>
      </c>
      <c r="BA63" s="50" t="n">
        <f aca="false">Economy!Q63*AZ63/lf_rate</f>
        <v>701.371428571429</v>
      </c>
      <c r="BB63" s="67" t="n">
        <f aca="false">bd_growth*AU62/W62</f>
        <v>0.00109092513053499</v>
      </c>
      <c r="BC63" s="67" t="n">
        <f aca="false">tg_k*MIN(1,Economy!O62/BK62)</f>
        <v>0.000867866418488392</v>
      </c>
      <c r="BD63" s="67" t="n">
        <f aca="false">emu_g*S63</f>
        <v>0</v>
      </c>
      <c r="BE63" s="68" t="n">
        <f aca="false">BE62*(1-BB63-BC63+BD63)</f>
        <v>0.97214870575351</v>
      </c>
      <c r="BF63" s="49" t="n">
        <v>1</v>
      </c>
      <c r="BG63" s="56" t="n">
        <f aca="false">AU63*BA63*BE63*(skill_rel-1+skill_spill)/1000000</f>
        <v>109.416809039459</v>
      </c>
      <c r="BH63" s="56" t="n">
        <f aca="false">union_disp*(Champions!AP63+Champions!AZ63)*(1-IF(union_resp=2,mkt_cut*S63,0))</f>
        <v>120.58348858208</v>
      </c>
      <c r="BI63" s="56" t="n">
        <f aca="false">AY63*BA63*BE63/1000000</f>
        <v>49.6236405921937</v>
      </c>
      <c r="BJ63" s="50" t="n">
        <f aca="false">V63*Economy!Q63*AZ63</f>
        <v>18631.932</v>
      </c>
      <c r="BK63" s="50" t="n">
        <f aca="false">MAX(0.3*BJ63,AX63*Economy!Q63*AZ63*BE63*BF63-BG63-BH63-BI63)</f>
        <v>17518.6584646158</v>
      </c>
      <c r="BL63" s="66" t="n">
        <f aca="false">1-BK63/BJ63</f>
        <v>0.0597508371855462</v>
      </c>
      <c r="BM63" s="50" t="n">
        <f aca="false">MAX(0,BH63-BH62)*1000000/BA63</f>
        <v>18312.8306293034</v>
      </c>
      <c r="BN63" s="50" t="n">
        <f aca="false">BN62*(1-IF(AND($A63&gt;=1930,$A63&lt;=1932),0,union_reabsorb))+BM63</f>
        <v>66002.4991551056</v>
      </c>
      <c r="BO63" s="62" t="n">
        <v>0.034</v>
      </c>
      <c r="BP63" s="66" t="n">
        <f aca="false">BO63+BN63/(AX63*1000000*lf_rate)</f>
        <v>0.0365285005906864</v>
      </c>
    </row>
    <row r="64" customFormat="false" ht="14.25" hidden="false" customHeight="false" outlineLevel="0" collapsed="false">
      <c r="A64" s="61" t="n">
        <v>1904</v>
      </c>
      <c r="B64" s="50" t="n">
        <f aca="false">Economy!B64*lf_rate</f>
        <v>4110848.13743898</v>
      </c>
      <c r="C64" s="50" t="n">
        <f aca="false">Economy!O64*1000000/(B64+L64)</f>
        <v>1297.62689294065</v>
      </c>
      <c r="D64" s="50" t="n">
        <f aca="false">Champions!AP64*1000000/(C64*champ_prem)</f>
        <v>140814.741128082</v>
      </c>
      <c r="E64" s="50" t="n">
        <f aca="false">D64*job_mult</f>
        <v>98570.3187896574</v>
      </c>
      <c r="F64" s="50" t="n">
        <f aca="false">D64+E64</f>
        <v>239385.05991774</v>
      </c>
      <c r="G64" s="66" t="n">
        <f aca="false">F64/B64</f>
        <v>0.0582325232930823</v>
      </c>
      <c r="H64" s="50" t="n">
        <f aca="false">F64-F63</f>
        <v>16525.919428465</v>
      </c>
      <c r="I64" s="66" t="n">
        <f aca="false">MAX(0.005,pac_u_base*IF(Paths!AC64=1,pac_u_war,1)+(okun*(1-Economy!G64)*(B64+L64)-MAX(0,L63-L64))/B64)</f>
        <v>0.015</v>
      </c>
      <c r="J64" s="50" t="n">
        <f aca="false">IF(AND(gw_on=1,$A64&gt;=gw_start),MIN(gw_cap*B63,gw_cover*F63+gw_gen*B63),0)</f>
        <v>445713.457437846</v>
      </c>
      <c r="K64" s="50" t="n">
        <f aca="false">L63*gw_conv</f>
        <v>10916.8943956488</v>
      </c>
      <c r="L64" s="50" t="n">
        <f aca="false">MAX(0,L63-K64+gw_adj*(J64-L63))*MAX(0,1-gw_slump*(1-Economy!G64))</f>
        <v>385706.376492465</v>
      </c>
      <c r="M64" s="50" t="n">
        <f aca="false">MAX(0,L64-L63+L63/gw_term)</f>
        <v>143108.723255826</v>
      </c>
      <c r="N64" s="66" t="n">
        <f aca="false">L64/B64</f>
        <v>0.0938264717150938</v>
      </c>
      <c r="O64" s="56" t="n">
        <f aca="false">Economy!L64</f>
        <v>292.50303748184</v>
      </c>
      <c r="P64" s="56" t="n">
        <f aca="false">O64*gw_wage_share</f>
        <v>190.126974363196</v>
      </c>
      <c r="Q64" s="56" t="n">
        <f aca="false">P64*gw_levy</f>
        <v>47.531743590799</v>
      </c>
      <c r="R64" s="56" t="n">
        <f aca="false">P64*gw_remit</f>
        <v>47.531743590799</v>
      </c>
      <c r="S64" s="66" t="n">
        <f aca="false">IF(union_resp&gt;=1,MIN(1,MAX(0,($A64-resp_start)/(resp_full-resp_start))),0)</f>
        <v>0.142857142857143</v>
      </c>
      <c r="T64" s="70" t="n">
        <f aca="false">Economy!R63</f>
        <v>2.02860598215717</v>
      </c>
      <c r="U64" s="70" t="n">
        <f aca="false">MAX(0,T64-gap_base)</f>
        <v>0.528605982157173</v>
      </c>
      <c r="V64" s="71" t="n">
        <v>64.54</v>
      </c>
      <c r="W64" s="50" t="n">
        <f aca="false">V64*1000000*lf_rate*union_skill_share</f>
        <v>3252816</v>
      </c>
      <c r="X64" s="48" t="n">
        <v>118000</v>
      </c>
      <c r="Y64" s="50" t="n">
        <f aca="false">IF(AND(mig_endo=1,$A64&gt;=talent_start),talent_rate_u*W64*U64*(1-(1-bd_keep)*S64),0)</f>
        <v>15556.1821307992</v>
      </c>
      <c r="Z64" s="50" t="n">
        <f aca="false">IF(AND(mig_endo=1,$A64&gt;=talent_start),X64*MIN(0.5,talent_share_o*U64)*(1-eu_comp*S64),0)</f>
        <v>16119.6128804621</v>
      </c>
      <c r="AA64" s="48" t="n">
        <v>28000</v>
      </c>
      <c r="AB64" s="50" t="n">
        <f aca="false">IF(AND(mig_endo=1,$A64&gt;=talent_start),AA64*MIN(0.5,talent_share_a*U64),0)</f>
        <v>2960.19350008017</v>
      </c>
      <c r="AC64" s="50" t="n">
        <f aca="false">entry_cap*People!B64</f>
        <v>28589.882731228</v>
      </c>
      <c r="AD64" s="50" t="n">
        <f aca="false">MIN(AC64,Y64+Z64+AB64)</f>
        <v>28589.882731228</v>
      </c>
      <c r="AE64" s="50" t="n">
        <f aca="false">IF(Y64+Z64+AB64&gt;0,AD64*Y64/(Y64+Z64+AB64),0)</f>
        <v>12840.6735878071</v>
      </c>
      <c r="AF64" s="50" t="n">
        <f aca="false">IF(Y64+Z64+AB64&gt;0,AD64*AB64/(Y64+Z64+AB64),0)</f>
        <v>2443.458052347</v>
      </c>
      <c r="AG64" s="50" t="n">
        <f aca="false">AD64*family_mult</f>
        <v>62897.7420087015</v>
      </c>
      <c r="AH64" s="50" t="n">
        <f aca="false">AH63*(1+Paths!C64)+AG64</f>
        <v>800909.534516803</v>
      </c>
      <c r="AI64" s="50" t="n">
        <f aca="false">IF(AND(mig_endo=1,$A64&gt;=talent_start),chain_rate*AH63,0)</f>
        <v>10863.7653460466</v>
      </c>
      <c r="AJ64" s="50" t="n">
        <f aca="false">IF(AND(mig_endo=1,$A64&gt;=talent_start),IF(H63&gt;0,H63*job_fill,H63*job_return)*job_family,0)</f>
        <v>9904.07725901564</v>
      </c>
      <c r="AK64" s="50" t="n">
        <f aca="false">K64*gw_conv_family</f>
        <v>19650.4099121678</v>
      </c>
      <c r="AL64" s="50" t="n">
        <f aca="false">AG64+AI64+AJ64+AK64+AR64</f>
        <v>225756.243021595</v>
      </c>
      <c r="AM64" s="50" t="n">
        <f aca="false">AM63*(1-skill_ret)+AD64</f>
        <v>273054.941957315</v>
      </c>
      <c r="AN64" s="67" t="n">
        <f aca="false">AM64/B64</f>
        <v>0.0664230185178831</v>
      </c>
      <c r="AO64" s="67" t="n">
        <f aca="false">(skill_rel-1+skill_spill)*AM63/B63-AT64</f>
        <v>0.069057429466531</v>
      </c>
      <c r="AP64" s="67" t="n">
        <f aca="false">talent_champ*AM63/(skill_base_share*B63)</f>
        <v>0.128582063044153</v>
      </c>
      <c r="AQ64" s="48" t="n">
        <v>968000</v>
      </c>
      <c r="AR64" s="50" t="n">
        <f aca="false">IF(AND(div_on=1,$A64&gt;=div_start),AQ64*MIN(div_max,div_rate*U64)*(1-div_comp*S64),0)</f>
        <v>122440.248495663</v>
      </c>
      <c r="AS64" s="50" t="n">
        <f aca="false">AS63*(1-div_assim)+AR64</f>
        <v>634817.654686601</v>
      </c>
      <c r="AT64" s="67" t="n">
        <f aca="false">(1-div_rel)*AS63/Economy!B63</f>
        <v>0.0145209115121687</v>
      </c>
      <c r="AU64" s="50" t="n">
        <f aca="false">AU63*(1-skill_ret)+AE64</f>
        <v>133195.784089368</v>
      </c>
      <c r="AV64" s="50" t="n">
        <f aca="false">AV63*(1+union_nat)+AR64</f>
        <v>886511.904938963</v>
      </c>
      <c r="AW64" s="50" t="n">
        <f aca="false">AW63*(1+union_nat)+AE64*family_mult</f>
        <v>377477.925975513</v>
      </c>
      <c r="AX64" s="70" t="n">
        <f aca="false">V64-(AV64+AW64)/1000000</f>
        <v>63.2760101690855</v>
      </c>
      <c r="AY64" s="50" t="n">
        <f aca="false">L64*gw_union</f>
        <v>77141.2752984929</v>
      </c>
      <c r="AZ64" s="49" t="n">
        <v>1.079</v>
      </c>
      <c r="BA64" s="50" t="n">
        <f aca="false">Economy!Q64*AZ64/lf_rate</f>
        <v>721.902380952381</v>
      </c>
      <c r="BB64" s="67" t="n">
        <f aca="false">bd_growth*AU63/W63</f>
        <v>0.00116168961957425</v>
      </c>
      <c r="BC64" s="67" t="n">
        <f aca="false">tg_k*MIN(1,Economy!O63/BK63)</f>
        <v>0.000911788468649271</v>
      </c>
      <c r="BD64" s="67" t="n">
        <f aca="false">emu_g*S64</f>
        <v>0.000214285714285714</v>
      </c>
      <c r="BE64" s="68" t="n">
        <f aca="false">BE63*(1-BB64-BC64+BD64)</f>
        <v>0.97034129429344</v>
      </c>
      <c r="BF64" s="49" t="n">
        <v>1</v>
      </c>
      <c r="BG64" s="56" t="n">
        <f aca="false">AU64*BA64*BE64*(skill_rel-1+skill_spill)/1000000</f>
        <v>121.293301985858</v>
      </c>
      <c r="BH64" s="56" t="n">
        <f aca="false">union_disp*(Champions!AP64+Champions!AZ64)*(1-IF(union_resp=2,mkt_cut*S64,0))</f>
        <v>128.890726592107</v>
      </c>
      <c r="BI64" s="56" t="n">
        <f aca="false">AY64*BA64*BE64/1000000</f>
        <v>54.036822355581</v>
      </c>
      <c r="BJ64" s="50" t="n">
        <f aca="false">V64*Economy!Q64*AZ64</f>
        <v>19568.46346</v>
      </c>
      <c r="BK64" s="50" t="n">
        <f aca="false">MAX(0.3*BJ64,AX64*Economy!Q64*AZ64*BE64*BF64-BG64-BH64-BI64)</f>
        <v>18311.9932732361</v>
      </c>
      <c r="BL64" s="66" t="n">
        <f aca="false">1-BK64/BJ64</f>
        <v>0.0642089344077679</v>
      </c>
      <c r="BM64" s="50" t="n">
        <f aca="false">MAX(0,BH64-BH63)*1000000/BA64</f>
        <v>11507.4256980108</v>
      </c>
      <c r="BN64" s="50" t="n">
        <f aca="false">BN63*(1-IF(AND($A64&gt;=1930,$A64&lt;=1932),0,union_reabsorb))+BM64</f>
        <v>61009.30006434</v>
      </c>
      <c r="BO64" s="62" t="n">
        <v>0.028</v>
      </c>
      <c r="BP64" s="66" t="n">
        <f aca="false">BO64+BN64/(AX64*1000000*lf_rate)</f>
        <v>0.0302956605174736</v>
      </c>
    </row>
    <row r="65" customFormat="false" ht="14.25" hidden="false" customHeight="false" outlineLevel="0" collapsed="false">
      <c r="A65" s="61" t="n">
        <v>1905</v>
      </c>
      <c r="B65" s="50" t="n">
        <f aca="false">Economy!B65*lf_rate</f>
        <v>4332950.33193845</v>
      </c>
      <c r="C65" s="50" t="n">
        <f aca="false">Economy!O65*1000000/(B65+L65)</f>
        <v>1344.57630702743</v>
      </c>
      <c r="D65" s="50" t="n">
        <f aca="false">Champions!AP65*1000000/(C65*champ_prem)</f>
        <v>148343.492751911</v>
      </c>
      <c r="E65" s="50" t="n">
        <f aca="false">D65*job_mult</f>
        <v>103840.444926338</v>
      </c>
      <c r="F65" s="50" t="n">
        <f aca="false">D65+E65</f>
        <v>252183.937678249</v>
      </c>
      <c r="G65" s="66" t="n">
        <f aca="false">F65/B65</f>
        <v>0.0582014374407631</v>
      </c>
      <c r="H65" s="50" t="n">
        <f aca="false">F65-F64</f>
        <v>12798.8777605098</v>
      </c>
      <c r="I65" s="66" t="n">
        <f aca="false">MAX(0.005,pac_u_base*IF(Paths!AC65=1,pac_u_war,1)+(okun*(1-Economy!G65)*(B65+L65)-MAX(0,L64-L65))/B65)</f>
        <v>0.015</v>
      </c>
      <c r="J65" s="50" t="n">
        <f aca="false">IF(AND(gw_on=1,$A65&gt;=gw_start),MIN(gw_cap*B64,gw_cover*F64+gw_gen*B64),0)</f>
        <v>472498.886945762</v>
      </c>
      <c r="K65" s="50" t="n">
        <f aca="false">L64*gw_conv</f>
        <v>11571.1912947739</v>
      </c>
      <c r="L65" s="50" t="n">
        <f aca="false">MAX(0,L64-K65+gw_adj*(J65-L64))*MAX(0,1-gw_slump*(1-Economy!G65))</f>
        <v>408852.18937901</v>
      </c>
      <c r="M65" s="50" t="n">
        <f aca="false">MAX(0,L65-L64+L64/gw_term)</f>
        <v>151714.6050507</v>
      </c>
      <c r="N65" s="66" t="n">
        <f aca="false">L65/B65</f>
        <v>0.0943588451419198</v>
      </c>
      <c r="O65" s="56" t="n">
        <f aca="false">Economy!L65</f>
        <v>321.60529544117</v>
      </c>
      <c r="P65" s="56" t="n">
        <f aca="false">O65*gw_wage_share</f>
        <v>209.043442036761</v>
      </c>
      <c r="Q65" s="56" t="n">
        <f aca="false">P65*gw_levy</f>
        <v>52.2608605091902</v>
      </c>
      <c r="R65" s="56" t="n">
        <f aca="false">P65*gw_remit</f>
        <v>52.2608605091902</v>
      </c>
      <c r="S65" s="66" t="n">
        <f aca="false">IF(union_resp&gt;=1,MIN(1,MAX(0,($A65-resp_start)/(resp_full-resp_start))),0)</f>
        <v>0.285714285714286</v>
      </c>
      <c r="T65" s="70" t="n">
        <f aca="false">Economy!R64</f>
        <v>2.04105896288333</v>
      </c>
      <c r="U65" s="70" t="n">
        <f aca="false">MAX(0,T65-gap_base)</f>
        <v>0.541058962883326</v>
      </c>
      <c r="V65" s="71" t="n">
        <v>65.82</v>
      </c>
      <c r="W65" s="50" t="n">
        <f aca="false">V65*1000000*lf_rate*union_skill_share</f>
        <v>3317328</v>
      </c>
      <c r="X65" s="48" t="n">
        <v>123000</v>
      </c>
      <c r="Y65" s="50" t="n">
        <f aca="false">IF(AND(mig_endo=1,$A65&gt;=talent_start),talent_rate_u*W65*U65*(1-(1-bd_keep)*S65),0)</f>
        <v>14528.1909822431</v>
      </c>
      <c r="Z65" s="50" t="n">
        <f aca="false">IF(AND(mig_endo=1,$A65&gt;=talent_start),X65*MIN(0.5,talent_share_o*U65)*(1-eu_comp*S65),0)</f>
        <v>16428.4051724391</v>
      </c>
      <c r="AA65" s="48" t="n">
        <v>30000</v>
      </c>
      <c r="AB65" s="50" t="n">
        <f aca="false">IF(AND(mig_endo=1,$A65&gt;=talent_start),AA65*MIN(0.5,talent_share_a*U65),0)</f>
        <v>3246.35377729996</v>
      </c>
      <c r="AC65" s="50" t="n">
        <f aca="false">entry_cap*People!B65</f>
        <v>30136.5192321861</v>
      </c>
      <c r="AD65" s="50" t="n">
        <f aca="false">MIN(AC65,Y65+Z65+AB65)</f>
        <v>30136.5192321861</v>
      </c>
      <c r="AE65" s="50" t="n">
        <f aca="false">IF(Y65+Z65+AB65&gt;0,AD65*Y65/(Y65+Z65+AB65),0)</f>
        <v>12800.9165237482</v>
      </c>
      <c r="AF65" s="50" t="n">
        <f aca="false">IF(Y65+Z65+AB65&gt;0,AD65*AB65/(Y65+Z65+AB65),0)</f>
        <v>2860.3907919825</v>
      </c>
      <c r="AG65" s="50" t="n">
        <f aca="false">AD65*family_mult</f>
        <v>66300.3423108094</v>
      </c>
      <c r="AH65" s="50" t="n">
        <f aca="false">AH64*(1+Paths!C65)+AG65</f>
        <v>882427.157983431</v>
      </c>
      <c r="AI65" s="50" t="n">
        <f aca="false">IF(AND(mig_endo=1,$A65&gt;=talent_start),chain_rate*AH64,0)</f>
        <v>12013.643017752</v>
      </c>
      <c r="AJ65" s="50" t="n">
        <f aca="false">IF(AND(mig_endo=1,$A65&gt;=talent_start),IF(H64&gt;0,H64*job_fill,H64*job_return)*job_family,0)</f>
        <v>10411.3292399329</v>
      </c>
      <c r="AK65" s="50" t="n">
        <f aca="false">K65*gw_conv_family</f>
        <v>20828.1443305931</v>
      </c>
      <c r="AL65" s="50" t="n">
        <f aca="false">AG65+AI65+AJ65+AK65+AR65</f>
        <v>242499.375493276</v>
      </c>
      <c r="AM65" s="50" t="n">
        <f aca="false">AM64*(1-skill_ret)+AD65</f>
        <v>296365.087640568</v>
      </c>
      <c r="AN65" s="67" t="n">
        <f aca="false">AM65/B65</f>
        <v>0.0683979886536069</v>
      </c>
      <c r="AO65" s="67" t="n">
        <f aca="false">(skill_rel-1+skill_spill)*AM64/B64-AT65</f>
        <v>0.0701353008340594</v>
      </c>
      <c r="AP65" s="67" t="n">
        <f aca="false">talent_champ*AM64/(skill_base_share*B64)</f>
        <v>0.132846037035766</v>
      </c>
      <c r="AQ65" s="48" t="n">
        <v>1075000</v>
      </c>
      <c r="AR65" s="50" t="n">
        <f aca="false">IF(AND(div_on=1,$A65&gt;=div_start),AQ65*MIN(div_max,div_rate*U65)*(1-div_comp*S65),0)</f>
        <v>132945.916594189</v>
      </c>
      <c r="AS65" s="50" t="n">
        <f aca="false">AS64*(1-div_assim)+AR65</f>
        <v>736022.68854646</v>
      </c>
      <c r="AT65" s="67" t="n">
        <f aca="false">(1-div_rel)*AS64/Economy!B64</f>
        <v>0.0162146232391886</v>
      </c>
      <c r="AU65" s="50" t="n">
        <f aca="false">AU64*(1-skill_ret)+AE65</f>
        <v>142666.806010882</v>
      </c>
      <c r="AV65" s="50" t="n">
        <f aca="false">AV64*(1+union_nat)+AR65</f>
        <v>1030982.47629736</v>
      </c>
      <c r="AW65" s="50" t="n">
        <f aca="false">AW64*(1+union_nat)+AE65*family_mult</f>
        <v>410547.15536544</v>
      </c>
      <c r="AX65" s="70" t="n">
        <f aca="false">V65-(AV65+AW65)/1000000</f>
        <v>64.3784703683372</v>
      </c>
      <c r="AY65" s="50" t="n">
        <f aca="false">L65*gw_union</f>
        <v>81770.437875802</v>
      </c>
      <c r="AZ65" s="49" t="n">
        <v>1.076</v>
      </c>
      <c r="BA65" s="50" t="n">
        <f aca="false">Economy!Q65*AZ65/lf_rate</f>
        <v>742.952380952381</v>
      </c>
      <c r="BB65" s="67" t="n">
        <f aca="false">bd_growth*AU64/W64</f>
        <v>0.00122843515362721</v>
      </c>
      <c r="BC65" s="67" t="n">
        <f aca="false">tg_k*MIN(1,Economy!O64/BK64)</f>
        <v>0.000955906324743858</v>
      </c>
      <c r="BD65" s="67" t="n">
        <f aca="false">emu_g*S65</f>
        <v>0.000428571428571429</v>
      </c>
      <c r="BE65" s="68" t="n">
        <f aca="false">BE64*(1-BB65-BC65+BD65)</f>
        <v>0.968637598110835</v>
      </c>
      <c r="BF65" s="49" t="n">
        <v>1</v>
      </c>
      <c r="BG65" s="56" t="n">
        <f aca="false">AU65*BA65*BE65*(skill_rel-1+skill_spill)/1000000</f>
        <v>133.471515593322</v>
      </c>
      <c r="BH65" s="56" t="n">
        <f aca="false">union_disp*(Champions!AP65+Champions!AZ65)*(1-IF(union_resp=2,mkt_cut*S65,0))</f>
        <v>135.066900234266</v>
      </c>
      <c r="BI65" s="56" t="n">
        <f aca="false">AY65*BA65*BE65/1000000</f>
        <v>58.8462272510807</v>
      </c>
      <c r="BJ65" s="50" t="n">
        <f aca="false">V65*Economy!Q65*AZ65</f>
        <v>20538.4728</v>
      </c>
      <c r="BK65" s="50" t="n">
        <f aca="false">MAX(0.3*BJ65,AX65*Economy!Q65*AZ65*BE65*BF65-BG65-BH65-BI65)</f>
        <v>19131.24468838</v>
      </c>
      <c r="BL65" s="66" t="n">
        <f aca="false">1-BK65/BJ65</f>
        <v>0.0685166869671058</v>
      </c>
      <c r="BM65" s="50" t="n">
        <f aca="false">MAX(0,BH65-BH64)*1000000/BA65</f>
        <v>8313.0141318638</v>
      </c>
      <c r="BN65" s="50" t="n">
        <f aca="false">BN64*(1-IF(AND($A65&gt;=1930,$A65&lt;=1932),0,union_reabsorb))+BM65</f>
        <v>54069.9891801188</v>
      </c>
      <c r="BO65" s="62" t="n">
        <v>0.023</v>
      </c>
      <c r="BP65" s="66" t="n">
        <f aca="false">BO65+BN65/(AX65*1000000*lf_rate)</f>
        <v>0.0249997068700127</v>
      </c>
    </row>
    <row r="66" customFormat="false" ht="14.25" hidden="false" customHeight="false" outlineLevel="0" collapsed="false">
      <c r="A66" s="61" t="n">
        <v>1906</v>
      </c>
      <c r="B66" s="50" t="n">
        <f aca="false">Economy!B66*lf_rate</f>
        <v>4565380.14606055</v>
      </c>
      <c r="C66" s="50" t="n">
        <f aca="false">Economy!O66*1000000/(B66+L66)</f>
        <v>1412.41619503904</v>
      </c>
      <c r="D66" s="50" t="n">
        <f aca="false">Champions!AP66*1000000/(C66*champ_prem)</f>
        <v>152486.793729445</v>
      </c>
      <c r="E66" s="50" t="n">
        <f aca="false">D66*job_mult</f>
        <v>106740.755610612</v>
      </c>
      <c r="F66" s="50" t="n">
        <f aca="false">D66+E66</f>
        <v>259227.549340057</v>
      </c>
      <c r="G66" s="66" t="n">
        <f aca="false">F66/B66</f>
        <v>0.0567811531672217</v>
      </c>
      <c r="H66" s="50" t="n">
        <f aca="false">F66-F65</f>
        <v>7043.61166180775</v>
      </c>
      <c r="I66" s="66" t="n">
        <f aca="false">MAX(0.005,pac_u_base*IF(Paths!AC66=1,pac_u_war,1)+(okun*(1-Economy!G66)*(B66+L66)-MAX(0,L65-L66))/B66)</f>
        <v>0.015</v>
      </c>
      <c r="J66" s="50" t="n">
        <f aca="false">IF(AND(gw_on=1,$A66&gt;=gw_start),MIN(gw_cap*B65,gw_cover*F65+gw_gen*B65),0)</f>
        <v>497946.389162025</v>
      </c>
      <c r="K66" s="50" t="n">
        <f aca="false">L65*gw_conv</f>
        <v>12265.5656813703</v>
      </c>
      <c r="L66" s="50" t="n">
        <f aca="false">MAX(0,L65-K66+gw_adj*(J66-L65))*MAX(0,1-gw_slump*(1-Economy!G66))</f>
        <v>432224.303610846</v>
      </c>
      <c r="M66" s="50" t="n">
        <f aca="false">MAX(0,L66-L65+L65/gw_term)</f>
        <v>159656.177358173</v>
      </c>
      <c r="N66" s="66" t="n">
        <f aca="false">L66/B66</f>
        <v>0.0946743293619941</v>
      </c>
      <c r="O66" s="56" t="n">
        <f aca="false">Economy!L66</f>
        <v>357.606119889443</v>
      </c>
      <c r="P66" s="56" t="n">
        <f aca="false">O66*gw_wage_share</f>
        <v>232.443977928138</v>
      </c>
      <c r="Q66" s="56" t="n">
        <f aca="false">P66*gw_levy</f>
        <v>58.1109944820345</v>
      </c>
      <c r="R66" s="56" t="n">
        <f aca="false">P66*gw_remit</f>
        <v>58.1109944820345</v>
      </c>
      <c r="S66" s="66" t="n">
        <f aca="false">IF(union_resp&gt;=1,MIN(1,MAX(0,($A66-resp_start)/(resp_full-resp_start))),0)</f>
        <v>0.428571428571429</v>
      </c>
      <c r="T66" s="70" t="n">
        <f aca="false">Economy!R65</f>
        <v>2.04982788740479</v>
      </c>
      <c r="U66" s="70" t="n">
        <f aca="false">MAX(0,T66-gap_base)</f>
        <v>0.549827887404791</v>
      </c>
      <c r="V66" s="71" t="n">
        <v>67.11</v>
      </c>
      <c r="W66" s="50" t="n">
        <f aca="false">V66*1000000*lf_rate*union_skill_share</f>
        <v>3382344</v>
      </c>
      <c r="X66" s="48" t="n">
        <v>128000</v>
      </c>
      <c r="Y66" s="50" t="n">
        <f aca="false">IF(AND(mig_endo=1,$A66&gt;=talent_start),talent_rate_u*W66*U66*(1-(1-bd_keep)*S66),0)</f>
        <v>13280.9651041791</v>
      </c>
      <c r="Z66" s="50" t="n">
        <f aca="false">IF(AND(mig_endo=1,$A66&gt;=talent_start),X66*MIN(0.5,talent_share_o*U66)*(1-eu_comp*S66),0)</f>
        <v>16558.9308444469</v>
      </c>
      <c r="AA66" s="48" t="n">
        <v>32000</v>
      </c>
      <c r="AB66" s="50" t="n">
        <f aca="false">IF(AND(mig_endo=1,$A66&gt;=talent_start),AA66*MIN(0.5,talent_share_a*U66),0)</f>
        <v>3518.89847939066</v>
      </c>
      <c r="AC66" s="50" t="n">
        <f aca="false">entry_cap*People!B66</f>
        <v>31762.7712240774</v>
      </c>
      <c r="AD66" s="50" t="n">
        <f aca="false">MIN(AC66,Y66+Z66+AB66)</f>
        <v>31762.7712240774</v>
      </c>
      <c r="AE66" s="50" t="n">
        <f aca="false">IF(Y66+Z66+AB66&gt;0,AD66*Y66/(Y66+Z66+AB66),0)</f>
        <v>12645.5486018616</v>
      </c>
      <c r="AF66" s="50" t="n">
        <f aca="false">IF(Y66+Z66+AB66&gt;0,AD66*AB66/(Y66+Z66+AB66),0)</f>
        <v>3350.53976854058</v>
      </c>
      <c r="AG66" s="50" t="n">
        <f aca="false">AD66*family_mult</f>
        <v>69878.0966929704</v>
      </c>
      <c r="AH66" s="50" t="n">
        <f aca="false">AH65*(1+Paths!C66)+AG66</f>
        <v>969071.370678087</v>
      </c>
      <c r="AI66" s="50" t="n">
        <f aca="false">IF(AND(mig_endo=1,$A66&gt;=talent_start),chain_rate*AH65,0)</f>
        <v>13236.4073697515</v>
      </c>
      <c r="AJ66" s="50" t="n">
        <f aca="false">IF(AND(mig_endo=1,$A66&gt;=talent_start),IF(H65&gt;0,H65*job_fill,H65*job_return)*job_family,0)</f>
        <v>8063.29298912118</v>
      </c>
      <c r="AK66" s="50" t="n">
        <f aca="false">K66*gw_conv_family</f>
        <v>22078.0182264665</v>
      </c>
      <c r="AL66" s="50" t="n">
        <f aca="false">AG66+AI66+AJ66+AK66+AR66</f>
        <v>254840.423627096</v>
      </c>
      <c r="AM66" s="50" t="n">
        <f aca="false">AM65*(1-skill_ret)+AD66</f>
        <v>320718.731673631</v>
      </c>
      <c r="AN66" s="67" t="n">
        <f aca="false">AM66/B66</f>
        <v>0.0702501700653292</v>
      </c>
      <c r="AO66" s="67" t="n">
        <f aca="false">(skill_rel-1+skill_spill)*AM65/B65-AT66</f>
        <v>0.0710814129036121</v>
      </c>
      <c r="AP66" s="67" t="n">
        <f aca="false">talent_champ*AM65/(skill_base_share*B65)</f>
        <v>0.136795977307214</v>
      </c>
      <c r="AQ66" s="48" t="n">
        <v>1182000</v>
      </c>
      <c r="AR66" s="50" t="n">
        <f aca="false">IF(AND(div_on=1,$A66&gt;=div_start),AQ66*MIN(div_max,div_rate*U66)*(1-div_comp*S66),0)</f>
        <v>141584.608348786</v>
      </c>
      <c r="AS66" s="50" t="n">
        <f aca="false">AS65*(1-div_assim)+AR66</f>
        <v>840806.162467923</v>
      </c>
      <c r="AT66" s="67" t="n">
        <f aca="false">(1-div_rel)*AS65/Economy!B65</f>
        <v>0.0178359723460768</v>
      </c>
      <c r="AU66" s="50" t="n">
        <f aca="false">AU65*(1-skill_ret)+AE66</f>
        <v>151745.684462472</v>
      </c>
      <c r="AV66" s="50" t="n">
        <f aca="false">AV65*(1+union_nat)+AR66</f>
        <v>1185969.85683801</v>
      </c>
      <c r="AW66" s="50" t="n">
        <f aca="false">AW65*(1+union_nat)+AE66*family_mult</f>
        <v>443704.475309287</v>
      </c>
      <c r="AX66" s="70" t="n">
        <f aca="false">V66-(AV66+AW66)/1000000</f>
        <v>65.4803256678527</v>
      </c>
      <c r="AY66" s="50" t="n">
        <f aca="false">L66*gw_union</f>
        <v>86444.8607221692</v>
      </c>
      <c r="AZ66" s="49" t="n">
        <v>1.073</v>
      </c>
      <c r="BA66" s="50" t="n">
        <f aca="false">Economy!Q66*AZ66/lf_rate</f>
        <v>779.202380952381</v>
      </c>
      <c r="BB66" s="67" t="n">
        <f aca="false">bd_growth*AU65/W65</f>
        <v>0.00129019626046217</v>
      </c>
      <c r="BC66" s="67" t="n">
        <f aca="false">tg_k*MIN(1,Economy!O65/BK65)</f>
        <v>0.000999785757793205</v>
      </c>
      <c r="BD66" s="67" t="n">
        <f aca="false">emu_g*S66</f>
        <v>0.000642857142857143</v>
      </c>
      <c r="BE66" s="68" t="n">
        <f aca="false">BE65*(1-BB66-BC66+BD66)</f>
        <v>0.967042131027741</v>
      </c>
      <c r="BF66" s="49" t="n">
        <v>1</v>
      </c>
      <c r="BG66" s="56" t="n">
        <f aca="false">AU66*BA66*BE66*(skill_rel-1+skill_spill)/1000000</f>
        <v>148.646732618122</v>
      </c>
      <c r="BH66" s="56" t="n">
        <f aca="false">union_disp*(Champions!AP66+Champions!AZ66)*(1-IF(union_resp=2,mkt_cut*S66,0))</f>
        <v>139.371162436453</v>
      </c>
      <c r="BI66" s="56" t="n">
        <f aca="false">AY66*BA66*BE66/1000000</f>
        <v>65.1380637965558</v>
      </c>
      <c r="BJ66" s="50" t="n">
        <f aca="false">V66*Economy!Q66*AZ66</f>
        <v>21962.75415</v>
      </c>
      <c r="BK66" s="50" t="n">
        <f aca="false">MAX(0.3*BJ66,AX66*Economy!Q66*AZ66*BE66*BF66-BG66-BH66-BI66)</f>
        <v>20369.994844546</v>
      </c>
      <c r="BL66" s="66" t="n">
        <f aca="false">1-BK66/BJ66</f>
        <v>0.0725209276840172</v>
      </c>
      <c r="BM66" s="50" t="n">
        <f aca="false">MAX(0,BH66-BH65)*1000000/BA66</f>
        <v>5523.93358568236</v>
      </c>
      <c r="BN66" s="50" t="n">
        <f aca="false">BN65*(1-IF(AND($A66&gt;=1930,$A66&lt;=1932),0,union_reabsorb))+BM66</f>
        <v>46076.4254707714</v>
      </c>
      <c r="BO66" s="62" t="n">
        <v>0.017</v>
      </c>
      <c r="BP66" s="66" t="n">
        <f aca="false">BO66+BN66/(AX66*1000000*lf_rate)</f>
        <v>0.0186754005697358</v>
      </c>
    </row>
    <row r="67" customFormat="false" ht="14.25" hidden="false" customHeight="false" outlineLevel="0" collapsed="false">
      <c r="A67" s="61" t="n">
        <v>1907</v>
      </c>
      <c r="B67" s="50" t="n">
        <f aca="false">Economy!B67*lf_rate</f>
        <v>4807224.16178822</v>
      </c>
      <c r="C67" s="50" t="n">
        <f aca="false">Economy!O67*1000000/(B67+L67)</f>
        <v>1464.26995261018</v>
      </c>
      <c r="D67" s="50" t="n">
        <f aca="false">Champions!AP67*1000000/(C67*champ_prem)</f>
        <v>160803.481775654</v>
      </c>
      <c r="E67" s="50" t="n">
        <f aca="false">D67*job_mult</f>
        <v>112562.437242958</v>
      </c>
      <c r="F67" s="50" t="n">
        <f aca="false">D67+E67</f>
        <v>273365.919018613</v>
      </c>
      <c r="G67" s="66" t="n">
        <f aca="false">F67/B67</f>
        <v>0.0568656484113119</v>
      </c>
      <c r="H67" s="50" t="n">
        <f aca="false">F67-F66</f>
        <v>14138.3696785555</v>
      </c>
      <c r="I67" s="66" t="n">
        <f aca="false">MAX(0.005,pac_u_base*IF(Paths!AC67=1,pac_u_war,1)+(okun*(1-Economy!G67)*(B67+L67)-MAX(0,L66-L67))/B67)</f>
        <v>0.0231923368198503</v>
      </c>
      <c r="J67" s="50" t="n">
        <f aca="false">IF(AND(gw_on=1,$A67&gt;=gw_start),MIN(gw_cap*B66,gw_cover*F66+gw_gen*B66),0)</f>
        <v>520766.941288879</v>
      </c>
      <c r="K67" s="50" t="n">
        <f aca="false">L66*gw_conv</f>
        <v>12966.7291083254</v>
      </c>
      <c r="L67" s="50" t="n">
        <f aca="false">MAX(0,L66-K67+gw_adj*(J67-L66))*MAX(0,1-gw_slump*(1-Economy!G67))</f>
        <v>443762.438463964</v>
      </c>
      <c r="M67" s="50" t="n">
        <f aca="false">MAX(0,L67-L66+L66/gw_term)</f>
        <v>155612.9027234</v>
      </c>
      <c r="N67" s="66" t="n">
        <f aca="false">L67/B67</f>
        <v>0.0923115759800331</v>
      </c>
      <c r="O67" s="56" t="n">
        <f aca="false">Economy!L67</f>
        <v>380.561790959134</v>
      </c>
      <c r="P67" s="56" t="n">
        <f aca="false">O67*gw_wage_share</f>
        <v>247.365164123437</v>
      </c>
      <c r="Q67" s="56" t="n">
        <f aca="false">P67*gw_levy</f>
        <v>61.8412910308593</v>
      </c>
      <c r="R67" s="56" t="n">
        <f aca="false">P67*gw_remit</f>
        <v>61.8412910308593</v>
      </c>
      <c r="S67" s="66" t="n">
        <f aca="false">IF(union_resp&gt;=1,MIN(1,MAX(0,($A67-resp_start)/(resp_full-resp_start))),0)</f>
        <v>0.571428571428571</v>
      </c>
      <c r="T67" s="70" t="n">
        <f aca="false">Economy!R66</f>
        <v>2.04768252152813</v>
      </c>
      <c r="U67" s="70" t="n">
        <f aca="false">MAX(0,T67-gap_base)</f>
        <v>0.547682521528135</v>
      </c>
      <c r="V67" s="71" t="n">
        <v>68.39</v>
      </c>
      <c r="W67" s="50" t="n">
        <f aca="false">V67*1000000*lf_rate*union_skill_share</f>
        <v>3446856</v>
      </c>
      <c r="X67" s="48" t="n">
        <v>132000</v>
      </c>
      <c r="Y67" s="50" t="n">
        <f aca="false">IF(AND(mig_endo=1,$A67&gt;=talent_start),talent_rate_u*W67*U67*(1-(1-bd_keep)*S67),0)</f>
        <v>11682.6786092263</v>
      </c>
      <c r="Z67" s="50" t="n">
        <f aca="false">IF(AND(mig_endo=1,$A67&gt;=talent_start),X67*MIN(0.5,talent_share_o*U67)*(1-eu_comp*S67),0)</f>
        <v>16173.2213414463</v>
      </c>
      <c r="AA67" s="48" t="n">
        <v>35000</v>
      </c>
      <c r="AB67" s="50" t="n">
        <f aca="false">IF(AND(mig_endo=1,$A67&gt;=talent_start),AA67*MIN(0.5,talent_share_a*U67),0)</f>
        <v>3833.77765069694</v>
      </c>
      <c r="AC67" s="50" t="n">
        <f aca="false">entry_cap*People!B67</f>
        <v>33456.9451482162</v>
      </c>
      <c r="AD67" s="50" t="n">
        <f aca="false">MIN(AC67,Y67+Z67+AB67)</f>
        <v>31689.6776013695</v>
      </c>
      <c r="AE67" s="50" t="n">
        <f aca="false">IF(Y67+Z67+AB67&gt;0,AD67*Y67/(Y67+Z67+AB67),0)</f>
        <v>11682.6786092263</v>
      </c>
      <c r="AF67" s="50" t="n">
        <f aca="false">IF(Y67+Z67+AB67&gt;0,AD67*AB67/(Y67+Z67+AB67),0)</f>
        <v>3833.77765069694</v>
      </c>
      <c r="AG67" s="50" t="n">
        <f aca="false">AD67*family_mult</f>
        <v>69717.2907230129</v>
      </c>
      <c r="AH67" s="50" t="n">
        <f aca="false">AH66*(1+Paths!C67)+AG67</f>
        <v>1057201.01744398</v>
      </c>
      <c r="AI67" s="50" t="n">
        <f aca="false">IF(AND(mig_endo=1,$A67&gt;=talent_start),chain_rate*AH66,0)</f>
        <v>14536.0705601713</v>
      </c>
      <c r="AJ67" s="50" t="n">
        <f aca="false">IF(AND(mig_endo=1,$A67&gt;=talent_start),IF(H66&gt;0,H66*job_fill,H66*job_return)*job_family,0)</f>
        <v>4437.47534693888</v>
      </c>
      <c r="AK67" s="50" t="n">
        <f aca="false">K67*gw_conv_family</f>
        <v>23340.1123949857</v>
      </c>
      <c r="AL67" s="50" t="n">
        <f aca="false">AG67+AI67+AJ67+AK67+AR67</f>
        <v>258379.542813448</v>
      </c>
      <c r="AM67" s="50" t="n">
        <f aca="false">AM66*(1-skill_ret)+AD67</f>
        <v>344390.44098316</v>
      </c>
      <c r="AN67" s="67" t="n">
        <f aca="false">AM67/B67</f>
        <v>0.071640187641063</v>
      </c>
      <c r="AO67" s="67" t="n">
        <f aca="false">(skill_rel-1+skill_spill)*AM66/B66-AT67</f>
        <v>0.0719873687627478</v>
      </c>
      <c r="AP67" s="67" t="n">
        <f aca="false">talent_champ*AM66/(skill_base_share*B66)</f>
        <v>0.140500340130658</v>
      </c>
      <c r="AQ67" s="48" t="n">
        <v>1290000</v>
      </c>
      <c r="AR67" s="50" t="n">
        <f aca="false">IF(AND(div_on=1,$A67&gt;=div_start),AQ67*MIN(div_max,div_rate*U67)*(1-div_comp*S67),0)</f>
        <v>146348.593788339</v>
      </c>
      <c r="AS67" s="50" t="n">
        <f aca="false">AS66*(1-div_assim)+AR67</f>
        <v>945114.448132866</v>
      </c>
      <c r="AT67" s="67" t="n">
        <f aca="false">(1-div_rel)*AS66/Economy!B66</f>
        <v>0.0193378523221801</v>
      </c>
      <c r="AU67" s="50" t="n">
        <f aca="false">AU66*(1-skill_ret)+AE67</f>
        <v>159634.720960136</v>
      </c>
      <c r="AV67" s="50" t="n">
        <f aca="false">AV66*(1+union_nat)+AR67</f>
        <v>1347736.05876524</v>
      </c>
      <c r="AW67" s="50" t="n">
        <f aca="false">AW66*(1+union_nat)+AE67*family_mult</f>
        <v>475174.526428605</v>
      </c>
      <c r="AX67" s="70" t="n">
        <f aca="false">V67-(AV67+AW67)/1000000</f>
        <v>66.5670894148062</v>
      </c>
      <c r="AY67" s="50" t="n">
        <f aca="false">L67*gw_union</f>
        <v>88752.4876927928</v>
      </c>
      <c r="AZ67" s="49" t="n">
        <v>1.07</v>
      </c>
      <c r="BA67" s="50" t="n">
        <f aca="false">Economy!Q67*AZ67/lf_rate</f>
        <v>812.690476190476</v>
      </c>
      <c r="BB67" s="67" t="n">
        <f aca="false">bd_growth*AU66/W66</f>
        <v>0.0013459218027126</v>
      </c>
      <c r="BC67" s="67" t="n">
        <f aca="false">tg_k*MIN(1,Economy!O66/BK66)</f>
        <v>0.00103957279051619</v>
      </c>
      <c r="BD67" s="67" t="n">
        <f aca="false">emu_g*S67</f>
        <v>0.000857142857142857</v>
      </c>
      <c r="BE67" s="68" t="n">
        <f aca="false">BE66*(1-BB67-BC67+BD67)</f>
        <v>0.965564150507916</v>
      </c>
      <c r="BF67" s="49" t="n">
        <v>1</v>
      </c>
      <c r="BG67" s="56" t="n">
        <f aca="false">AU67*BA67*BE67*(skill_rel-1+skill_spill)/1000000</f>
        <v>162.845969092295</v>
      </c>
      <c r="BH67" s="56" t="n">
        <f aca="false">union_disp*(Champions!AP67+Champions!AZ67)*(1-IF(union_resp=2,mkt_cut*S67,0))</f>
        <v>144.76859458718</v>
      </c>
      <c r="BI67" s="56" t="n">
        <f aca="false">AY67*BA67*BE67/1000000</f>
        <v>69.6445021520486</v>
      </c>
      <c r="BJ67" s="50" t="n">
        <f aca="false">V67*Economy!Q67*AZ67</f>
        <v>23343.5587</v>
      </c>
      <c r="BK67" s="50" t="n">
        <f aca="false">MAX(0.3*BJ67,AX67*Economy!Q67*AZ67*BE67*BF67-BG67-BH67-BI67)</f>
        <v>21561.6567601893</v>
      </c>
      <c r="BL67" s="66" t="n">
        <f aca="false">1-BK67/BJ67</f>
        <v>0.0763337742419994</v>
      </c>
      <c r="BM67" s="50" t="n">
        <f aca="false">MAX(0,BH67-BH66)*1000000/BA67</f>
        <v>6641.43644949389</v>
      </c>
      <c r="BN67" s="50" t="n">
        <f aca="false">BN66*(1-IF(AND($A67&gt;=1930,$A67&lt;=1932),0,union_reabsorb))+BM67</f>
        <v>41198.7555525725</v>
      </c>
      <c r="BO67" s="62" t="n">
        <v>0.028</v>
      </c>
      <c r="BP67" s="66" t="n">
        <f aca="false">BO67+BN67/(AX67*1000000*lf_rate)</f>
        <v>0.0294735851602872</v>
      </c>
    </row>
    <row r="68" customFormat="false" ht="14.25" hidden="false" customHeight="false" outlineLevel="0" collapsed="false">
      <c r="A68" s="61" t="n">
        <v>1908</v>
      </c>
      <c r="B68" s="50" t="n">
        <f aca="false">Economy!B68*lf_rate</f>
        <v>5042416.72080951</v>
      </c>
      <c r="C68" s="50" t="n">
        <f aca="false">Economy!O68*1000000/(B68+L68)</f>
        <v>1488.17369207897</v>
      </c>
      <c r="D68" s="50" t="n">
        <f aca="false">Champions!AP68*1000000/(C68*champ_prem)</f>
        <v>171770.580685938</v>
      </c>
      <c r="E68" s="50" t="n">
        <f aca="false">D68*job_mult</f>
        <v>120239.406480157</v>
      </c>
      <c r="F68" s="50" t="n">
        <f aca="false">D68+E68</f>
        <v>292009.987166095</v>
      </c>
      <c r="G68" s="66" t="n">
        <f aca="false">F68/B68</f>
        <v>0.0579107208575207</v>
      </c>
      <c r="H68" s="50" t="n">
        <f aca="false">F68-F67</f>
        <v>18644.0681474821</v>
      </c>
      <c r="I68" s="66" t="n">
        <f aca="false">MAX(0.005,pac_u_base*IF(Paths!AC68=1,pac_u_war,1)+(okun*(1-Economy!G68)*(B68+L68)-MAX(0,L67-L68))/B68)</f>
        <v>0.0403362040519616</v>
      </c>
      <c r="J68" s="50" t="n">
        <f aca="false">IF(AND(gw_on=1,$A68&gt;=gw_start),MIN(gw_cap*B67,gw_cover*F67+gw_gen*B67),0)</f>
        <v>548597.484354225</v>
      </c>
      <c r="K68" s="50" t="n">
        <f aca="false">L67*gw_conv</f>
        <v>13312.8731539189</v>
      </c>
      <c r="L68" s="50" t="n">
        <f aca="false">MAX(0,L67-K68+gw_adj*(J68-L67))*MAX(0,1-gw_slump*(1-Economy!G68))</f>
        <v>434592.896972857</v>
      </c>
      <c r="M68" s="50" t="n">
        <f aca="false">MAX(0,L68-L67+L67/gw_term)</f>
        <v>138751.271330215</v>
      </c>
      <c r="N68" s="66" t="n">
        <f aca="false">L68/B68</f>
        <v>0.0861874218327373</v>
      </c>
      <c r="O68" s="56" t="n">
        <f aca="false">Economy!L68</f>
        <v>377.759711504514</v>
      </c>
      <c r="P68" s="56" t="n">
        <f aca="false">O68*gw_wage_share</f>
        <v>245.543812477934</v>
      </c>
      <c r="Q68" s="56" t="n">
        <f aca="false">P68*gw_levy</f>
        <v>61.3859531194836</v>
      </c>
      <c r="R68" s="56" t="n">
        <f aca="false">P68*gw_remit</f>
        <v>61.3859531194836</v>
      </c>
      <c r="S68" s="66" t="n">
        <f aca="false">IF(union_resp&gt;=1,MIN(1,MAX(0,($A68-resp_start)/(resp_full-resp_start))),0)</f>
        <v>0.714285714285714</v>
      </c>
      <c r="T68" s="70" t="n">
        <f aca="false">Economy!R67</f>
        <v>2.02724638746172</v>
      </c>
      <c r="U68" s="70" t="n">
        <f aca="false">MAX(0,T68-gap_base)</f>
        <v>0.527246387461716</v>
      </c>
      <c r="V68" s="71" t="n">
        <v>69.68</v>
      </c>
      <c r="W68" s="50" t="n">
        <f aca="false">V68*1000000*lf_rate*union_skill_share</f>
        <v>3511872</v>
      </c>
      <c r="X68" s="48" t="n">
        <v>137000</v>
      </c>
      <c r="Y68" s="50" t="n">
        <f aca="false">IF(AND(mig_endo=1,$A68&gt;=talent_start),talent_rate_u*W68*U68*(1-(1-bd_keep)*S68),0)</f>
        <v>9694.56284208635</v>
      </c>
      <c r="Z68" s="50" t="n">
        <f aca="false">IF(AND(mig_endo=1,$A68&gt;=talent_start),X68*MIN(0.5,talent_share_o*U68)*(1-eu_comp*S68),0)</f>
        <v>15323.6630424498</v>
      </c>
      <c r="AA68" s="48" t="n">
        <v>38000</v>
      </c>
      <c r="AB68" s="50" t="n">
        <f aca="false">IF(AND(mig_endo=1,$A68&gt;=talent_start),AA68*MIN(0.5,talent_share_a*U68),0)</f>
        <v>4007.07254470904</v>
      </c>
      <c r="AC68" s="50" t="n">
        <f aca="false">entry_cap*People!B68</f>
        <v>35217.6857344727</v>
      </c>
      <c r="AD68" s="50" t="n">
        <f aca="false">MIN(AC68,Y68+Z68+AB68)</f>
        <v>29025.2984292452</v>
      </c>
      <c r="AE68" s="50" t="n">
        <f aca="false">IF(Y68+Z68+AB68&gt;0,AD68*Y68/(Y68+Z68+AB68),0)</f>
        <v>9694.56284208635</v>
      </c>
      <c r="AF68" s="50" t="n">
        <f aca="false">IF(Y68+Z68+AB68&gt;0,AD68*AB68/(Y68+Z68+AB68),0)</f>
        <v>4007.07254470904</v>
      </c>
      <c r="AG68" s="50" t="n">
        <f aca="false">AD68*family_mult</f>
        <v>63855.6565443395</v>
      </c>
      <c r="AH68" s="50" t="n">
        <f aca="false">AH67*(1+Paths!C68)+AG68</f>
        <v>1141143.49331976</v>
      </c>
      <c r="AI68" s="50" t="n">
        <f aca="false">IF(AND(mig_endo=1,$A68&gt;=talent_start),chain_rate*AH67,0)</f>
        <v>15858.0152616598</v>
      </c>
      <c r="AJ68" s="50" t="n">
        <f aca="false">IF(AND(mig_endo=1,$A68&gt;=talent_start),IF(H67&gt;0,H67*job_fill,H67*job_return)*job_family,0)</f>
        <v>8907.17289748998</v>
      </c>
      <c r="AK68" s="50" t="n">
        <f aca="false">K68*gw_conv_family</f>
        <v>23963.171677054</v>
      </c>
      <c r="AL68" s="50" t="n">
        <f aca="false">AG68+AI68+AJ68+AK68+AR68</f>
        <v>193365.695030928</v>
      </c>
      <c r="AM68" s="50" t="n">
        <f aca="false">AM67*(1-skill_ret)+AD68</f>
        <v>364805.978387826</v>
      </c>
      <c r="AN68" s="67" t="n">
        <f aca="false">AM68/B68</f>
        <v>0.072347447382187</v>
      </c>
      <c r="AO68" s="67" t="n">
        <f aca="false">(skill_rel-1+skill_spill)*AM67/B67-AT68</f>
        <v>0.0724889342573388</v>
      </c>
      <c r="AP68" s="67" t="n">
        <f aca="false">talent_champ*AM67/(skill_base_share*B67)</f>
        <v>0.143280375282126</v>
      </c>
      <c r="AQ68" s="48" t="n">
        <v>780000</v>
      </c>
      <c r="AR68" s="50" t="n">
        <f aca="false">IF(AND(div_on=1,$A68&gt;=div_start),AQ68*MIN(div_max,div_rate*U68)*(1-div_comp*S68),0)</f>
        <v>80781.6786503843</v>
      </c>
      <c r="AS68" s="50" t="n">
        <f aca="false">AS67*(1-div_assim)+AR68</f>
        <v>978640.404376607</v>
      </c>
      <c r="AT68" s="67" t="n">
        <f aca="false">(1-div_rel)*AS67/Economy!B67</f>
        <v>0.0206433096760431</v>
      </c>
      <c r="AU68" s="50" t="n">
        <f aca="false">AU67*(1-skill_ret)+AE68</f>
        <v>165338.415778219</v>
      </c>
      <c r="AV68" s="50" t="n">
        <f aca="false">AV67*(1+union_nat)+AR68</f>
        <v>1446038.30617958</v>
      </c>
      <c r="AW68" s="50" t="n">
        <f aca="false">AW67*(1+union_nat)+AE68*family_mult</f>
        <v>502679.833524767</v>
      </c>
      <c r="AX68" s="70" t="n">
        <f aca="false">V68-(AV68+AW68)/1000000</f>
        <v>67.7312818602957</v>
      </c>
      <c r="AY68" s="50" t="n">
        <f aca="false">L68*gw_union</f>
        <v>86918.5793945715</v>
      </c>
      <c r="AZ68" s="49" t="n">
        <v>1.067</v>
      </c>
      <c r="BA68" s="50" t="n">
        <f aca="false">Economy!Q68*AZ68/lf_rate</f>
        <v>848.519047619048</v>
      </c>
      <c r="BB68" s="67" t="n">
        <f aca="false">bd_growth*AU67/W67</f>
        <v>0.00138939416929633</v>
      </c>
      <c r="BC68" s="67" t="n">
        <f aca="false">tg_k*MIN(1,Economy!O67/BK67)</f>
        <v>0.00106979653546443</v>
      </c>
      <c r="BD68" s="67" t="n">
        <f aca="false">emu_g*S68</f>
        <v>0.00107142857142857</v>
      </c>
      <c r="BE68" s="68" t="n">
        <f aca="false">BE67*(1-BB68-BC68+BD68)</f>
        <v>0.964224177142539</v>
      </c>
      <c r="BF68" s="49" t="n">
        <v>1</v>
      </c>
      <c r="BG68" s="56" t="n">
        <f aca="false">AU68*BA68*BE68*(skill_rel-1+skill_spill)/1000000</f>
        <v>175.855816377311</v>
      </c>
      <c r="BH68" s="56" t="n">
        <f aca="false">union_disp*(Champions!AP68+Champions!AZ68)*(1-IF(union_resp=2,mkt_cut*S68,0))</f>
        <v>148.757337652089</v>
      </c>
      <c r="BI68" s="56" t="n">
        <f aca="false">AY68*BA68*BE68/1000000</f>
        <v>71.1135292091398</v>
      </c>
      <c r="BJ68" s="50" t="n">
        <f aca="false">V68*Economy!Q68*AZ68</f>
        <v>24832.41904</v>
      </c>
      <c r="BK68" s="50" t="n">
        <f aca="false">MAX(0.3*BJ68,AX68*Economy!Q68*AZ68*BE68*BF68-BG68-BH68-BI68)</f>
        <v>22878.6574621043</v>
      </c>
      <c r="BL68" s="66" t="n">
        <f aca="false">1-BK68/BJ68</f>
        <v>0.0786778595652952</v>
      </c>
      <c r="BM68" s="50" t="n">
        <f aca="false">MAX(0,BH68-BH67)*1000000/BA68</f>
        <v>4700.82914001836</v>
      </c>
      <c r="BN68" s="50" t="n">
        <f aca="false">BN67*(1-IF(AND($A68&gt;=1930,$A68&lt;=1932),0,union_reabsorb))+BM68</f>
        <v>35599.8958044477</v>
      </c>
      <c r="BO68" s="62" t="n">
        <v>0.08</v>
      </c>
      <c r="BP68" s="66" t="n">
        <f aca="false">BO68+BN68/(AX68*1000000*lf_rate)</f>
        <v>0.0812514403145667</v>
      </c>
    </row>
    <row r="69" customFormat="false" ht="14.25" hidden="false" customHeight="false" outlineLevel="0" collapsed="false">
      <c r="A69" s="61" t="n">
        <v>1909</v>
      </c>
      <c r="B69" s="50" t="n">
        <f aca="false">Economy!B69*lf_rate</f>
        <v>5266238.44486283</v>
      </c>
      <c r="C69" s="50" t="n">
        <f aca="false">Economy!O69*1000000/(B69+L69)</f>
        <v>1635.23959251354</v>
      </c>
      <c r="D69" s="50" t="n">
        <f aca="false">Champions!AP69*1000000/(C69*champ_prem)</f>
        <v>168197.609777366</v>
      </c>
      <c r="E69" s="50" t="n">
        <f aca="false">D69*job_mult</f>
        <v>117738.326844156</v>
      </c>
      <c r="F69" s="50" t="n">
        <f aca="false">D69+E69</f>
        <v>285935.936621522</v>
      </c>
      <c r="G69" s="66" t="n">
        <f aca="false">F69/B69</f>
        <v>0.054296048235425</v>
      </c>
      <c r="H69" s="50" t="n">
        <f aca="false">F69-F68</f>
        <v>-6074.05054457299</v>
      </c>
      <c r="I69" s="66" t="n">
        <f aca="false">MAX(0.005,pac_u_base*IF(Paths!AC69=1,pac_u_war,1)+(okun*(1-Economy!G69)*(B69+L69)-MAX(0,L68-L69))/B69)</f>
        <v>0.015</v>
      </c>
      <c r="J69" s="50" t="n">
        <f aca="false">IF(AND(gw_on=1,$A69&gt;=gw_start),MIN(gw_cap*B68,gw_cover*F68+gw_gen*B68),0)</f>
        <v>578599.329964418</v>
      </c>
      <c r="K69" s="50" t="n">
        <f aca="false">L68*gw_conv</f>
        <v>13037.7869091857</v>
      </c>
      <c r="L69" s="50" t="n">
        <f aca="false">MAX(0,L68-K69+gw_adj*(J69-L68))*MAX(0,1-gw_slump*(1-Economy!G69))</f>
        <v>479157.683260296</v>
      </c>
      <c r="M69" s="50" t="n">
        <f aca="false">MAX(0,L69-L68+L68/gw_term)</f>
        <v>189429.085278391</v>
      </c>
      <c r="N69" s="66" t="n">
        <f aca="false">L69/B69</f>
        <v>0.0909867048894663</v>
      </c>
      <c r="O69" s="56" t="n">
        <f aca="false">Economy!L69</f>
        <v>460.530066700004</v>
      </c>
      <c r="P69" s="56" t="n">
        <f aca="false">O69*gw_wage_share</f>
        <v>299.344543355003</v>
      </c>
      <c r="Q69" s="56" t="n">
        <f aca="false">P69*gw_levy</f>
        <v>74.8361358387507</v>
      </c>
      <c r="R69" s="56" t="n">
        <f aca="false">P69*gw_remit</f>
        <v>74.8361358387507</v>
      </c>
      <c r="S69" s="66" t="n">
        <f aca="false">IF(union_resp&gt;=1,MIN(1,MAX(0,($A69-resp_start)/(resp_full-resp_start))),0)</f>
        <v>0.857142857142857</v>
      </c>
      <c r="T69" s="70" t="n">
        <f aca="false">Economy!R68</f>
        <v>1.96163483613162</v>
      </c>
      <c r="U69" s="70" t="n">
        <f aca="false">MAX(0,T69-gap_base)</f>
        <v>0.461634836131618</v>
      </c>
      <c r="V69" s="71" t="n">
        <v>70.96</v>
      </c>
      <c r="W69" s="50" t="n">
        <f aca="false">V69*1000000*lf_rate*union_skill_share</f>
        <v>3576384</v>
      </c>
      <c r="X69" s="48" t="n">
        <v>142000</v>
      </c>
      <c r="Y69" s="50" t="n">
        <f aca="false">IF(AND(mig_endo=1,$A69&gt;=talent_start),talent_rate_u*W69*U69*(1-(1-bd_keep)*S69),0)</f>
        <v>7070.92622638237</v>
      </c>
      <c r="Z69" s="50" t="n">
        <f aca="false">IF(AND(mig_endo=1,$A69&gt;=talent_start),X69*MIN(0.5,talent_share_o*U69)*(1-eu_comp*S69),0)</f>
        <v>13147.8877156984</v>
      </c>
      <c r="AA69" s="48" t="n">
        <v>40000</v>
      </c>
      <c r="AB69" s="50" t="n">
        <f aca="false">IF(AND(mig_endo=1,$A69&gt;=talent_start),AA69*MIN(0.5,talent_share_a*U69),0)</f>
        <v>3693.07868905295</v>
      </c>
      <c r="AC69" s="50" t="n">
        <f aca="false">entry_cap*People!B69</f>
        <v>36816.8388485204</v>
      </c>
      <c r="AD69" s="50" t="n">
        <f aca="false">MIN(AC69,Y69+Z69+AB69)</f>
        <v>23911.8926311337</v>
      </c>
      <c r="AE69" s="50" t="n">
        <f aca="false">IF(Y69+Z69+AB69&gt;0,AD69*Y69/(Y69+Z69+AB69),0)</f>
        <v>7070.92622638237</v>
      </c>
      <c r="AF69" s="50" t="n">
        <f aca="false">IF(Y69+Z69+AB69&gt;0,AD69*AB69/(Y69+Z69+AB69),0)</f>
        <v>3693.07868905295</v>
      </c>
      <c r="AG69" s="50" t="n">
        <f aca="false">AD69*family_mult</f>
        <v>52606.1637884941</v>
      </c>
      <c r="AH69" s="50" t="n">
        <f aca="false">AH68*(1+Paths!C69)+AG69</f>
        <v>1215431.38348133</v>
      </c>
      <c r="AI69" s="50" t="n">
        <f aca="false">IF(AND(mig_endo=1,$A69&gt;=talent_start),chain_rate*AH68,0)</f>
        <v>17117.1523997964</v>
      </c>
      <c r="AJ69" s="50" t="n">
        <f aca="false">IF(AND(mig_endo=1,$A69&gt;=talent_start),IF(H68&gt;0,H68*job_fill,H68*job_return)*job_family,0)</f>
        <v>11745.7629329137</v>
      </c>
      <c r="AK69" s="50" t="n">
        <f aca="false">K69*gw_conv_family</f>
        <v>23468.0164365343</v>
      </c>
      <c r="AL69" s="50" t="n">
        <f aca="false">AG69+AI69+AJ69+AK69+AR69</f>
        <v>182953.382863982</v>
      </c>
      <c r="AM69" s="50" t="n">
        <f aca="false">AM68*(1-skill_ret)+AD69</f>
        <v>379597.721559264</v>
      </c>
      <c r="AN69" s="67" t="n">
        <f aca="false">AM69/B69</f>
        <v>0.0720813775398945</v>
      </c>
      <c r="AO69" s="67" t="n">
        <f aca="false">(skill_rel-1+skill_spill)*AM68/B68-AT69</f>
        <v>0.0736731115283528</v>
      </c>
      <c r="AP69" s="67" t="n">
        <f aca="false">talent_champ*AM68/(skill_base_share*B68)</f>
        <v>0.144694894764374</v>
      </c>
      <c r="AQ69" s="48" t="n">
        <v>910000</v>
      </c>
      <c r="AR69" s="50" t="n">
        <f aca="false">IF(AND(div_on=1,$A69&gt;=div_start),AQ69*MIN(div_max,div_rate*U69)*(1-div_comp*S69),0)</f>
        <v>78016.2873062435</v>
      </c>
      <c r="AS69" s="50" t="n">
        <f aca="false">AS68*(1-div_assim)+AR69</f>
        <v>1007724.67146402</v>
      </c>
      <c r="AT69" s="67" t="n">
        <f aca="false">(1-div_rel)*AS68/Economy!B68</f>
        <v>0.0203785700684903</v>
      </c>
      <c r="AU69" s="50" t="n">
        <f aca="false">AU68*(1-skill_ret)+AE69</f>
        <v>168275.881610146</v>
      </c>
      <c r="AV69" s="50" t="n">
        <f aca="false">AV68*(1+union_nat)+AR69</f>
        <v>1542853.09146615</v>
      </c>
      <c r="AW69" s="50" t="n">
        <f aca="false">AW68*(1+union_nat)+AE69*family_mult</f>
        <v>524770.70905863</v>
      </c>
      <c r="AX69" s="70" t="n">
        <f aca="false">V69-(AV69+AW69)/1000000</f>
        <v>68.8923761994752</v>
      </c>
      <c r="AY69" s="50" t="n">
        <f aca="false">L69*gw_union</f>
        <v>95831.5366520592</v>
      </c>
      <c r="AZ69" s="49" t="n">
        <v>1.064</v>
      </c>
      <c r="BA69" s="50" t="n">
        <f aca="false">Economy!Q69*AZ69/lf_rate</f>
        <v>881.6</v>
      </c>
      <c r="BB69" s="67" t="n">
        <f aca="false">bd_growth*AU68/W68</f>
        <v>0.0014123955751652</v>
      </c>
      <c r="BC69" s="67" t="n">
        <f aca="false">tg_k*MIN(1,Economy!O68/BK68)</f>
        <v>0.00106877883520236</v>
      </c>
      <c r="BD69" s="67" t="n">
        <f aca="false">emu_g*S69</f>
        <v>0.00128571428571429</v>
      </c>
      <c r="BE69" s="68" t="n">
        <f aca="false">BE68*(1-BB69-BC69+BD69)</f>
        <v>0.963071485587538</v>
      </c>
      <c r="BF69" s="49" t="n">
        <v>1</v>
      </c>
      <c r="BG69" s="56" t="n">
        <f aca="false">AU69*BA69*BE69*(skill_rel-1+skill_spill)/1000000</f>
        <v>185.735676907561</v>
      </c>
      <c r="BH69" s="56" t="n">
        <f aca="false">union_disp*(Champions!AP69+Champions!AZ69)*(1-IF(union_resp=2,mkt_cut*S69,0))</f>
        <v>151.21574224988</v>
      </c>
      <c r="BI69" s="56" t="n">
        <f aca="false">AY69*BA69*BE69/1000000</f>
        <v>81.3651741178705</v>
      </c>
      <c r="BJ69" s="50" t="n">
        <f aca="false">V69*Economy!Q69*AZ69</f>
        <v>26274.50112</v>
      </c>
      <c r="BK69" s="50" t="n">
        <f aca="false">MAX(0.3*BJ69,AX69*Economy!Q69*AZ69*BE69*BF69-BG69-BH69-BI69)</f>
        <v>24148.5948837969</v>
      </c>
      <c r="BL69" s="66" t="n">
        <f aca="false">1-BK69/BJ69</f>
        <v>0.0809113834928306</v>
      </c>
      <c r="BM69" s="50" t="n">
        <f aca="false">MAX(0,BH69-BH68)*1000000/BA69</f>
        <v>2788.57145847482</v>
      </c>
      <c r="BN69" s="50" t="n">
        <f aca="false">BN68*(1-IF(AND($A69&gt;=1930,$A69&lt;=1932),0,union_reabsorb))+BM69</f>
        <v>29488.4933118106</v>
      </c>
      <c r="BO69" s="62" t="n">
        <v>0.051</v>
      </c>
      <c r="BP69" s="66" t="n">
        <f aca="false">BO69+BN69/(AX69*1000000*lf_rate)</f>
        <v>0.0520191359659037</v>
      </c>
    </row>
    <row r="70" customFormat="false" ht="14.25" hidden="false" customHeight="false" outlineLevel="0" collapsed="false">
      <c r="A70" s="61" t="n">
        <v>1910</v>
      </c>
      <c r="B70" s="50" t="n">
        <f aca="false">Economy!B70*lf_rate</f>
        <v>5496971.34468509</v>
      </c>
      <c r="C70" s="50" t="n">
        <f aca="false">Economy!O70*1000000/(B70+L70)</f>
        <v>1712.81969553721</v>
      </c>
      <c r="D70" s="50" t="n">
        <f aca="false">Champions!AP70*1000000/(C70*champ_prem)</f>
        <v>175832.375756171</v>
      </c>
      <c r="E70" s="50" t="n">
        <f aca="false">D70*job_mult</f>
        <v>123082.66302932</v>
      </c>
      <c r="F70" s="50" t="n">
        <f aca="false">D70+E70</f>
        <v>298915.038785491</v>
      </c>
      <c r="G70" s="66" t="n">
        <f aca="false">F70/B70</f>
        <v>0.0543781329830846</v>
      </c>
      <c r="H70" s="50" t="n">
        <f aca="false">F70-F69</f>
        <v>12979.1021639697</v>
      </c>
      <c r="I70" s="66" t="n">
        <f aca="false">MAX(0.005,pac_u_base*IF(Paths!AC70=1,pac_u_war,1)+(okun*(1-Economy!G70)*(B70+L70)-MAX(0,L69-L70))/B70)</f>
        <v>0.015</v>
      </c>
      <c r="J70" s="50" t="n">
        <f aca="false">IF(AND(gw_on=1,$A70&gt;=gw_start),MIN(gw_cap*B69,gw_cover*F69+gw_gen*B69),0)</f>
        <v>592860.637561939</v>
      </c>
      <c r="K70" s="50" t="n">
        <f aca="false">L69*gw_conv</f>
        <v>14374.7304978089</v>
      </c>
      <c r="L70" s="50" t="n">
        <f aca="false">MAX(0,L69-K70+gw_adj*(J70-L69))*MAX(0,1-gw_slump*(1-Economy!G70))</f>
        <v>510264.134483144</v>
      </c>
      <c r="M70" s="50" t="n">
        <f aca="false">MAX(0,L70-L69+L69/gw_term)</f>
        <v>190825.67897628</v>
      </c>
      <c r="N70" s="66" t="n">
        <f aca="false">L70/B70</f>
        <v>0.0928264133988088</v>
      </c>
      <c r="O70" s="56" t="n">
        <f aca="false">Economy!L70</f>
        <v>514.446048476609</v>
      </c>
      <c r="P70" s="56" t="n">
        <f aca="false">O70*gw_wage_share</f>
        <v>334.389931509796</v>
      </c>
      <c r="Q70" s="56" t="n">
        <f aca="false">P70*gw_levy</f>
        <v>83.5974828774489</v>
      </c>
      <c r="R70" s="56" t="n">
        <f aca="false">P70*gw_remit</f>
        <v>83.5974828774489</v>
      </c>
      <c r="S70" s="66" t="n">
        <f aca="false">IF(union_resp&gt;=1,MIN(1,MAX(0,($A70-resp_start)/(resp_full-resp_start))),0)</f>
        <v>1</v>
      </c>
      <c r="T70" s="70" t="n">
        <f aca="false">Economy!R69</f>
        <v>2.07388105068155</v>
      </c>
      <c r="U70" s="70" t="n">
        <f aca="false">MAX(0,T70-gap_base)</f>
        <v>0.573881050681553</v>
      </c>
      <c r="V70" s="71" t="n">
        <v>72.25</v>
      </c>
      <c r="W70" s="50" t="n">
        <f aca="false">V70*1000000*lf_rate*union_skill_share</f>
        <v>3641400</v>
      </c>
      <c r="X70" s="48" t="n">
        <v>146000</v>
      </c>
      <c r="Y70" s="50" t="n">
        <f aca="false">IF(AND(mig_endo=1,$A70&gt;=talent_start),talent_rate_u*W70*U70*(1-(1-bd_keep)*S70),0)</f>
        <v>6958.80242497952</v>
      </c>
      <c r="Z70" s="50" t="n">
        <f aca="false">IF(AND(mig_endo=1,$A70&gt;=talent_start),X70*MIN(0.5,talent_share_o*U70)*(1-eu_comp*S70),0)</f>
        <v>15835.6737125068</v>
      </c>
      <c r="AA70" s="48" t="n">
        <v>42000</v>
      </c>
      <c r="AB70" s="50" t="n">
        <f aca="false">IF(AND(mig_endo=1,$A70&gt;=talent_start),AA70*MIN(0.5,talent_share_a*U70),0)</f>
        <v>4820.60082572505</v>
      </c>
      <c r="AC70" s="50" t="n">
        <f aca="false">entry_cap*People!B70</f>
        <v>38415.1389352342</v>
      </c>
      <c r="AD70" s="50" t="n">
        <f aca="false">MIN(AC70,Y70+Z70+AB70)</f>
        <v>27615.0769632113</v>
      </c>
      <c r="AE70" s="50" t="n">
        <f aca="false">IF(Y70+Z70+AB70&gt;0,AD70*Y70/(Y70+Z70+AB70),0)</f>
        <v>6958.80242497952</v>
      </c>
      <c r="AF70" s="50" t="n">
        <f aca="false">IF(Y70+Z70+AB70&gt;0,AD70*AB70/(Y70+Z70+AB70),0)</f>
        <v>4820.60082572505</v>
      </c>
      <c r="AG70" s="50" t="n">
        <f aca="false">AD70*family_mult</f>
        <v>60753.169319065</v>
      </c>
      <c r="AH70" s="50" t="n">
        <f aca="false">AH69*(1+Paths!C70)+AG70</f>
        <v>1299277.74908654</v>
      </c>
      <c r="AI70" s="50" t="n">
        <f aca="false">IF(AND(mig_endo=1,$A70&gt;=talent_start),chain_rate*AH69,0)</f>
        <v>18231.4707522199</v>
      </c>
      <c r="AJ70" s="50" t="n">
        <f aca="false">IF(AND(mig_endo=1,$A70&gt;=talent_start),IF(H69&gt;0,H69*job_fill,H69*job_return)*job_family,0)</f>
        <v>-3279.98729406942</v>
      </c>
      <c r="AK70" s="50" t="n">
        <f aca="false">K70*gw_conv_family</f>
        <v>25874.514896056</v>
      </c>
      <c r="AL70" s="50" t="n">
        <f aca="false">AG70+AI70+AJ70+AK70+AR70</f>
        <v>206025.518897314</v>
      </c>
      <c r="AM70" s="50" t="n">
        <f aca="false">AM69*(1-skill_ret)+AD70</f>
        <v>397722.855483494</v>
      </c>
      <c r="AN70" s="67" t="n">
        <f aca="false">AM70/B70</f>
        <v>0.0723530887364083</v>
      </c>
      <c r="AO70" s="67" t="n">
        <f aca="false">(skill_rel-1+skill_spill)*AM69/B69-AT70</f>
        <v>0.0736134437477829</v>
      </c>
      <c r="AP70" s="67" t="n">
        <f aca="false">talent_champ*AM69/(skill_base_share*B69)</f>
        <v>0.144162755079789</v>
      </c>
      <c r="AQ70" s="48" t="n">
        <v>1040000</v>
      </c>
      <c r="AR70" s="50" t="n">
        <f aca="false">IF(AND(div_on=1,$A70&gt;=div_start),AQ70*MIN(div_max,div_rate*U70)*(1-div_comp*S70),0)</f>
        <v>104446.351224043</v>
      </c>
      <c r="AS70" s="50" t="n">
        <f aca="false">AS69*(1-div_assim)+AR70</f>
        <v>1061784.78911486</v>
      </c>
      <c r="AT70" s="67" t="n">
        <f aca="false">(1-div_rel)*AS69/Economy!B69</f>
        <v>0.0200923470540799</v>
      </c>
      <c r="AU70" s="50" t="n">
        <f aca="false">AU69*(1-skill_ret)+AE70</f>
        <v>171027.786994872</v>
      </c>
      <c r="AV70" s="50" t="n">
        <f aca="false">AV69*(1+union_nat)+AR70</f>
        <v>1667356.53287926</v>
      </c>
      <c r="AW70" s="50" t="n">
        <f aca="false">AW69*(1+union_nat)+AE70*family_mult</f>
        <v>546902.093611347</v>
      </c>
      <c r="AX70" s="70" t="n">
        <f aca="false">V70-(AV70+AW70)/1000000</f>
        <v>70.0357413735094</v>
      </c>
      <c r="AY70" s="50" t="n">
        <f aca="false">L70*gw_union</f>
        <v>102052.826896629</v>
      </c>
      <c r="AZ70" s="49" t="n">
        <v>1.06</v>
      </c>
      <c r="BA70" s="50" t="n">
        <f aca="false">Economy!Q70*AZ70/lf_rate</f>
        <v>916.142857142857</v>
      </c>
      <c r="BB70" s="67" t="n">
        <f aca="false">bd_growth*AU69/W69</f>
        <v>0.00141155883940437</v>
      </c>
      <c r="BC70" s="67" t="n">
        <f aca="false">tg_k*MIN(1,Economy!O69/BK69)</f>
        <v>0.00116716097999782</v>
      </c>
      <c r="BD70" s="67" t="n">
        <f aca="false">emu_g*S70</f>
        <v>0.0015</v>
      </c>
      <c r="BE70" s="68" t="n">
        <f aca="false">BE69*(1-BB70-BC70+BD70)</f>
        <v>0.962032601288534</v>
      </c>
      <c r="BF70" s="49" t="n">
        <v>1</v>
      </c>
      <c r="BG70" s="56" t="n">
        <f aca="false">AU70*BA70*BE70*(skill_rel-1+skill_spill)/1000000</f>
        <v>195.958008926922</v>
      </c>
      <c r="BH70" s="56" t="n">
        <f aca="false">union_disp*(Champions!AP70+Champions!AZ70)*(1-IF(union_resp=2,mkt_cut*S70,0))</f>
        <v>154.91162379962</v>
      </c>
      <c r="BI70" s="56" t="n">
        <f aca="false">AY70*BA70*BE70/1000000</f>
        <v>89.9452076693465</v>
      </c>
      <c r="BJ70" s="50" t="n">
        <f aca="false">V70*Economy!Q70*AZ70</f>
        <v>27800.355</v>
      </c>
      <c r="BK70" s="50" t="n">
        <f aca="false">MAX(0.3*BJ70,AX70*Economy!Q70*AZ70*BE70*BF70-BG70-BH70-BI70)</f>
        <v>25484.378878824</v>
      </c>
      <c r="BL70" s="66" t="n">
        <f aca="false">1-BK70/BJ70</f>
        <v>0.0833074297495842</v>
      </c>
      <c r="BM70" s="50" t="n">
        <f aca="false">MAX(0,BH70-BH69)*1000000/BA70</f>
        <v>4034.17602497726</v>
      </c>
      <c r="BN70" s="50" t="n">
        <f aca="false">BN69*(1-IF(AND($A70&gt;=1930,$A70&lt;=1932),0,union_reabsorb))+BM70</f>
        <v>26150.5460088352</v>
      </c>
      <c r="BO70" s="62" t="n">
        <v>0.059</v>
      </c>
      <c r="BP70" s="66" t="n">
        <f aca="false">BO70+BN70/(AX70*1000000*lf_rate)</f>
        <v>0.059889020428168</v>
      </c>
    </row>
    <row r="71" customFormat="false" ht="14.25" hidden="false" customHeight="false" outlineLevel="0" collapsed="false">
      <c r="A71" s="61" t="n">
        <v>1911</v>
      </c>
      <c r="B71" s="50" t="n">
        <f aca="false">Economy!B71*lf_rate</f>
        <v>5742037.90263386</v>
      </c>
      <c r="C71" s="50" t="n">
        <f aca="false">Economy!O71*1000000/(B71+L71)</f>
        <v>1785.55491672598</v>
      </c>
      <c r="D71" s="50" t="n">
        <f aca="false">Champions!AP71*1000000/(C71*champ_prem)</f>
        <v>183840.639370006</v>
      </c>
      <c r="E71" s="50" t="n">
        <f aca="false">D71*job_mult</f>
        <v>128688.447559004</v>
      </c>
      <c r="F71" s="50" t="n">
        <f aca="false">D71+E71</f>
        <v>312529.08692901</v>
      </c>
      <c r="G71" s="66" t="n">
        <f aca="false">F71/B71</f>
        <v>0.0544282521690869</v>
      </c>
      <c r="H71" s="50" t="n">
        <f aca="false">F71-F70</f>
        <v>13614.048143519</v>
      </c>
      <c r="I71" s="66" t="n">
        <f aca="false">MAX(0.005,pac_u_base*IF(Paths!AC71=1,pac_u_war,1)+(okun*(1-Economy!G71)*(B71+L71)-MAX(0,L70-L71))/B71)</f>
        <v>0.015</v>
      </c>
      <c r="J71" s="50" t="n">
        <f aca="false">IF(AND(gw_on=1,$A71&gt;=gw_start),MIN(gw_cap*B70,gw_cover*F70+gw_gen*B70),0)</f>
        <v>619106.730846102</v>
      </c>
      <c r="K71" s="50" t="n">
        <f aca="false">L70*gw_conv</f>
        <v>15307.9240344943</v>
      </c>
      <c r="L71" s="50" t="n">
        <f aca="false">MAX(0,L70-K71+gw_adj*(J71-L70))*MAX(0,1-gw_slump*(1-Economy!G71))</f>
        <v>538493.248993833</v>
      </c>
      <c r="M71" s="50" t="n">
        <f aca="false">MAX(0,L71-L70+L70/gw_term)</f>
        <v>198317.159338404</v>
      </c>
      <c r="N71" s="66" t="n">
        <f aca="false">L71/B71</f>
        <v>0.0937808593612431</v>
      </c>
      <c r="O71" s="56" t="n">
        <f aca="false">Economy!L71</f>
        <v>566.598354194218</v>
      </c>
      <c r="P71" s="56" t="n">
        <f aca="false">O71*gw_wage_share</f>
        <v>368.288930226242</v>
      </c>
      <c r="Q71" s="56" t="n">
        <f aca="false">P71*gw_levy</f>
        <v>92.0722325565605</v>
      </c>
      <c r="R71" s="56" t="n">
        <f aca="false">P71*gw_remit</f>
        <v>92.0722325565605</v>
      </c>
      <c r="S71" s="66" t="n">
        <f aca="false">IF(union_resp&gt;=1,MIN(1,MAX(0,($A71-resp_start)/(resp_full-resp_start))),0)</f>
        <v>1</v>
      </c>
      <c r="T71" s="70" t="n">
        <f aca="false">Economy!R70</f>
        <v>2.08446853624673</v>
      </c>
      <c r="U71" s="70" t="n">
        <f aca="false">MAX(0,T71-gap_base)</f>
        <v>0.584468536246731</v>
      </c>
      <c r="V71" s="71" t="n">
        <v>73.53</v>
      </c>
      <c r="W71" s="50" t="n">
        <f aca="false">V71*1000000*lf_rate*union_skill_share</f>
        <v>3705912</v>
      </c>
      <c r="X71" s="48" t="n">
        <v>151000</v>
      </c>
      <c r="Y71" s="50" t="n">
        <f aca="false">IF(AND(mig_endo=1,$A71&gt;=talent_start),talent_rate_u*W71*U71*(1-(1-bd_keep)*S71),0)</f>
        <v>7212.74324379032</v>
      </c>
      <c r="Z71" s="50" t="n">
        <f aca="false">IF(AND(mig_endo=1,$A71&gt;=talent_start),X71*MIN(0.5,talent_share_o*U71)*(1-eu_comp*S71),0)</f>
        <v>16680.1475559455</v>
      </c>
      <c r="AA71" s="48" t="n">
        <v>45000</v>
      </c>
      <c r="AB71" s="50" t="n">
        <f aca="false">IF(AND(mig_endo=1,$A71&gt;=talent_start),AA71*MIN(0.5,talent_share_a*U71),0)</f>
        <v>5260.21682622058</v>
      </c>
      <c r="AC71" s="50" t="n">
        <f aca="false">entry_cap*People!B71</f>
        <v>40113.0231316956</v>
      </c>
      <c r="AD71" s="50" t="n">
        <f aca="false">MIN(AC71,Y71+Z71+AB71)</f>
        <v>29153.1076259564</v>
      </c>
      <c r="AE71" s="50" t="n">
        <f aca="false">IF(Y71+Z71+AB71&gt;0,AD71*Y71/(Y71+Z71+AB71),0)</f>
        <v>7212.74324379032</v>
      </c>
      <c r="AF71" s="50" t="n">
        <f aca="false">IF(Y71+Z71+AB71&gt;0,AD71*AB71/(Y71+Z71+AB71),0)</f>
        <v>5260.21682622058</v>
      </c>
      <c r="AG71" s="50" t="n">
        <f aca="false">AD71*family_mult</f>
        <v>64136.836777104</v>
      </c>
      <c r="AH71" s="50" t="n">
        <f aca="false">AH70*(1+Paths!C71)+AG71</f>
        <v>1388100.86309629</v>
      </c>
      <c r="AI71" s="50" t="n">
        <f aca="false">IF(AND(mig_endo=1,$A71&gt;=talent_start),chain_rate*AH70,0)</f>
        <v>19489.1662362981</v>
      </c>
      <c r="AJ71" s="50" t="n">
        <f aca="false">IF(AND(mig_endo=1,$A71&gt;=talent_start),IF(H70&gt;0,H70*job_fill,H70*job_return)*job_family,0)</f>
        <v>8176.83436330092</v>
      </c>
      <c r="AK71" s="50" t="n">
        <f aca="false">K71*gw_conv_family</f>
        <v>27554.2632620898</v>
      </c>
      <c r="AL71" s="50" t="n">
        <f aca="false">AG71+AI71+AJ71+AK71+AR71</f>
        <v>230333.063958641</v>
      </c>
      <c r="AM71" s="50" t="n">
        <f aca="false">AM70*(1-skill_ret)+AD71</f>
        <v>416932.891722363</v>
      </c>
      <c r="AN71" s="67" t="n">
        <f aca="false">AM71/B71</f>
        <v>0.0726106129552222</v>
      </c>
      <c r="AO71" s="67" t="n">
        <f aca="false">(skill_rel-1+skill_spill)*AM70/B70-AT71</f>
        <v>0.0737774101121341</v>
      </c>
      <c r="AP71" s="67" t="n">
        <f aca="false">talent_champ*AM70/(skill_base_share*B70)</f>
        <v>0.144706177472817</v>
      </c>
      <c r="AQ71" s="48" t="n">
        <v>1085000</v>
      </c>
      <c r="AR71" s="50" t="n">
        <f aca="false">IF(AND(div_on=1,$A71&gt;=div_start),AQ71*MIN(div_max,div_rate*U71)*(1-div_comp*S71),0)</f>
        <v>110975.963319848</v>
      </c>
      <c r="AS71" s="50" t="n">
        <f aca="false">AS70*(1-div_assim)+AR71</f>
        <v>1119671.51297897</v>
      </c>
      <c r="AT71" s="67" t="n">
        <f aca="false">(1-div_rel)*AS70/Economy!B70</f>
        <v>0.0202816052451966</v>
      </c>
      <c r="AU71" s="50" t="n">
        <f aca="false">AU70*(1-skill_ret)+AE71</f>
        <v>173964.83556379</v>
      </c>
      <c r="AV71" s="50" t="n">
        <f aca="false">AV70*(1+union_nat)+AR71</f>
        <v>1800008.13112653</v>
      </c>
      <c r="AW71" s="50" t="n">
        <f aca="false">AW70*(1+union_nat)+AE71*family_mult</f>
        <v>569879.855964633</v>
      </c>
      <c r="AX71" s="70" t="n">
        <f aca="false">V71-(AV71+AW71)/1000000</f>
        <v>71.1601120129088</v>
      </c>
      <c r="AY71" s="50" t="n">
        <f aca="false">L71*gw_union</f>
        <v>107698.649798767</v>
      </c>
      <c r="AZ71" s="49" t="n">
        <v>1.057</v>
      </c>
      <c r="BA71" s="50" t="n">
        <f aca="false">Economy!Q71*AZ71/lf_rate</f>
        <v>946.266666666667</v>
      </c>
      <c r="BB71" s="67" t="n">
        <f aca="false">bd_growth*AU70/W70</f>
        <v>0.00140902773928878</v>
      </c>
      <c r="BC71" s="67" t="n">
        <f aca="false">tg_k*MIN(1,Economy!O70/BK70)</f>
        <v>0.00121124920800001</v>
      </c>
      <c r="BD71" s="67" t="n">
        <f aca="false">emu_g*S71</f>
        <v>0.0015</v>
      </c>
      <c r="BE71" s="68" t="n">
        <f aca="false">BE70*(1-BB71-BC71+BD71)</f>
        <v>0.96095485834277</v>
      </c>
      <c r="BF71" s="49" t="n">
        <v>1</v>
      </c>
      <c r="BG71" s="56" t="n">
        <f aca="false">AU71*BA71*BE71*(skill_rel-1+skill_spill)/1000000</f>
        <v>205.646513928373</v>
      </c>
      <c r="BH71" s="56" t="n">
        <f aca="false">union_disp*(Champions!AP71+Champions!AZ71)*(1-IF(union_resp=2,mkt_cut*S71,0))</f>
        <v>168.221071703187</v>
      </c>
      <c r="BI71" s="56" t="n">
        <f aca="false">AY71*BA71*BE71/1000000</f>
        <v>97.9324878375193</v>
      </c>
      <c r="BJ71" s="50" t="n">
        <f aca="false">V71*Economy!Q71*AZ71</f>
        <v>29223.17496</v>
      </c>
      <c r="BK71" s="50" t="n">
        <f aca="false">MAX(0.3*BJ71,AX71*Economy!Q71*AZ71*BE71*BF71-BG71-BH71-BI71)</f>
        <v>26705.2579791771</v>
      </c>
      <c r="BL71" s="66" t="n">
        <f aca="false">1-BK71/BJ71</f>
        <v>0.0861616502748017</v>
      </c>
      <c r="BM71" s="50" t="n">
        <f aca="false">MAX(0,BH71-BH70)*1000000/BA71</f>
        <v>14065.2190047555</v>
      </c>
      <c r="BN71" s="50" t="n">
        <f aca="false">BN70*(1-IF(AND($A71&gt;=1930,$A71&lt;=1932),0,union_reabsorb))+BM71</f>
        <v>33678.128511382</v>
      </c>
      <c r="BO71" s="62" t="n">
        <v>0.054</v>
      </c>
      <c r="BP71" s="66" t="n">
        <f aca="false">BO71+BN71/(AX71*1000000*lf_rate)</f>
        <v>0.0551268394328925</v>
      </c>
    </row>
    <row r="72" customFormat="false" ht="14.25" hidden="false" customHeight="false" outlineLevel="0" collapsed="false">
      <c r="A72" s="61" t="n">
        <v>1912</v>
      </c>
      <c r="B72" s="50" t="n">
        <f aca="false">Economy!B72*lf_rate</f>
        <v>5999881.34951698</v>
      </c>
      <c r="C72" s="50" t="n">
        <f aca="false">Economy!O72*1000000/(B72+L72)</f>
        <v>1862.90137324289</v>
      </c>
      <c r="D72" s="50" t="n">
        <f aca="false">Champions!AP72*1000000/(C72*champ_prem)</f>
        <v>198790.892544596</v>
      </c>
      <c r="E72" s="50" t="n">
        <f aca="false">D72*job_mult</f>
        <v>139153.624781217</v>
      </c>
      <c r="F72" s="50" t="n">
        <f aca="false">D72+E72</f>
        <v>337944.517325813</v>
      </c>
      <c r="G72" s="66" t="n">
        <f aca="false">F72/B72</f>
        <v>0.0563252000563343</v>
      </c>
      <c r="H72" s="50" t="n">
        <f aca="false">F72-F71</f>
        <v>25415.4303968023</v>
      </c>
      <c r="I72" s="66" t="n">
        <f aca="false">MAX(0.005,pac_u_base*IF(Paths!AC72=1,pac_u_war,1)+(okun*(1-Economy!G72)*(B72+L72)-MAX(0,L71-L72))/B72)</f>
        <v>0.015</v>
      </c>
      <c r="J72" s="50" t="n">
        <f aca="false">IF(AND(gw_on=1,$A72&gt;=gw_start),MIN(gw_cap*B71,gw_cover*F71+gw_gen*B71),0)</f>
        <v>646880.484368115</v>
      </c>
      <c r="K72" s="50" t="n">
        <f aca="false">L71*gw_conv</f>
        <v>16154.797469815</v>
      </c>
      <c r="L72" s="50" t="n">
        <f aca="false">MAX(0,L71-K72+gw_adj*(J72-L71))*MAX(0,1-gw_slump*(1-Economy!G72))</f>
        <v>565693.345673731</v>
      </c>
      <c r="M72" s="50" t="n">
        <f aca="false">MAX(0,L72-L71+L71/gw_term)</f>
        <v>206697.846344509</v>
      </c>
      <c r="N72" s="66" t="n">
        <f aca="false">L72/B72</f>
        <v>0.0942840887544005</v>
      </c>
      <c r="O72" s="56" t="n">
        <f aca="false">Economy!L72</f>
        <v>620.725921270725</v>
      </c>
      <c r="P72" s="56" t="n">
        <f aca="false">O72*gw_wage_share</f>
        <v>403.471848825971</v>
      </c>
      <c r="Q72" s="56" t="n">
        <f aca="false">P72*gw_levy</f>
        <v>100.867962206493</v>
      </c>
      <c r="R72" s="56" t="n">
        <f aca="false">P72*gw_remit</f>
        <v>100.867962206493</v>
      </c>
      <c r="S72" s="66" t="n">
        <f aca="false">IF(union_resp&gt;=1,MIN(1,MAX(0,($A72-resp_start)/(resp_full-resp_start))),0)</f>
        <v>1</v>
      </c>
      <c r="T72" s="70" t="n">
        <f aca="false">Economy!R71</f>
        <v>2.09887847862794</v>
      </c>
      <c r="U72" s="70" t="n">
        <f aca="false">MAX(0,T72-gap_base)</f>
        <v>0.598878478627944</v>
      </c>
      <c r="V72" s="71" t="n">
        <v>74.82</v>
      </c>
      <c r="W72" s="50" t="n">
        <f aca="false">V72*1000000*lf_rate*union_skill_share</f>
        <v>3770928</v>
      </c>
      <c r="X72" s="48" t="n">
        <v>155000</v>
      </c>
      <c r="Y72" s="50" t="n">
        <f aca="false">IF(AND(mig_endo=1,$A72&gt;=talent_start),talent_rate_u*W72*U72*(1-(1-bd_keep)*S72),0)</f>
        <v>7520.23098677287</v>
      </c>
      <c r="Z72" s="50" t="n">
        <f aca="false">IF(AND(mig_endo=1,$A72&gt;=talent_start),X72*MIN(0.5,talent_share_o*U72)*(1-eu_comp*S72),0)</f>
        <v>17544.1450314056</v>
      </c>
      <c r="AA72" s="48" t="n">
        <v>48000</v>
      </c>
      <c r="AB72" s="50" t="n">
        <f aca="false">IF(AND(mig_endo=1,$A72&gt;=talent_start),AA72*MIN(0.5,talent_share_a*U72),0)</f>
        <v>5749.23339482826</v>
      </c>
      <c r="AC72" s="50" t="n">
        <f aca="false">entry_cap*People!B72</f>
        <v>41916.0897630738</v>
      </c>
      <c r="AD72" s="50" t="n">
        <f aca="false">MIN(AC72,Y72+Z72+AB72)</f>
        <v>30813.6094130067</v>
      </c>
      <c r="AE72" s="50" t="n">
        <f aca="false">IF(Y72+Z72+AB72&gt;0,AD72*Y72/(Y72+Z72+AB72),0)</f>
        <v>7520.23098677287</v>
      </c>
      <c r="AF72" s="50" t="n">
        <f aca="false">IF(Y72+Z72+AB72&gt;0,AD72*AB72/(Y72+Z72+AB72),0)</f>
        <v>5749.23339482826</v>
      </c>
      <c r="AG72" s="50" t="n">
        <f aca="false">AD72*family_mult</f>
        <v>67789.9407086148</v>
      </c>
      <c r="AH72" s="50" t="n">
        <f aca="false">AH71*(1+Paths!C72)+AG72</f>
        <v>1482264.72020373</v>
      </c>
      <c r="AI72" s="50" t="n">
        <f aca="false">IF(AND(mig_endo=1,$A72&gt;=talent_start),chain_rate*AH71,0)</f>
        <v>20821.5129464443</v>
      </c>
      <c r="AJ72" s="50" t="n">
        <f aca="false">IF(AND(mig_endo=1,$A72&gt;=talent_start),IF(H71&gt;0,H71*job_fill,H71*job_return)*job_family,0)</f>
        <v>8576.85033041695</v>
      </c>
      <c r="AK72" s="50" t="n">
        <f aca="false">K72*gw_conv_family</f>
        <v>29078.635445667</v>
      </c>
      <c r="AL72" s="50" t="n">
        <f aca="false">AG72+AI72+AJ72+AK72+AR72</f>
        <v>244695.158579819</v>
      </c>
      <c r="AM72" s="50" t="n">
        <f aca="false">AM71*(1-skill_ret)+AD72</f>
        <v>437323.178842311</v>
      </c>
      <c r="AN72" s="67" t="n">
        <f aca="false">AM72/B72</f>
        <v>0.0728886378523997</v>
      </c>
      <c r="AO72" s="67" t="n">
        <f aca="false">(skill_rel-1+skill_spill)*AM71/B71-AT72</f>
        <v>0.0739192700524647</v>
      </c>
      <c r="AP72" s="67" t="n">
        <f aca="false">talent_champ*AM71/(skill_base_share*B71)</f>
        <v>0.145221225910444</v>
      </c>
      <c r="AQ72" s="48" t="n">
        <v>1130000</v>
      </c>
      <c r="AR72" s="50" t="n">
        <f aca="false">IF(AND(div_on=1,$A72&gt;=div_start),AQ72*MIN(div_max,div_rate*U72)*(1-div_comp*S72),0)</f>
        <v>118428.219148676</v>
      </c>
      <c r="AS72" s="50" t="n">
        <f aca="false">AS71*(1-div_assim)+AR72</f>
        <v>1182116.15647869</v>
      </c>
      <c r="AT72" s="67" t="n">
        <f aca="false">(1-div_rel)*AS71/Economy!B71</f>
        <v>0.0204745267893241</v>
      </c>
      <c r="AU72" s="50" t="n">
        <f aca="false">AU71*(1-skill_ret)+AE72</f>
        <v>177135.945661468</v>
      </c>
      <c r="AV72" s="50" t="n">
        <f aca="false">AV71*(1+union_nat)+AR72</f>
        <v>1941836.45597985</v>
      </c>
      <c r="AW72" s="50" t="n">
        <f aca="false">AW71*(1+union_nat)+AE72*family_mult</f>
        <v>593832.802263074</v>
      </c>
      <c r="AX72" s="70" t="n">
        <f aca="false">V72-(AV72+AW72)/1000000</f>
        <v>72.2843307417571</v>
      </c>
      <c r="AY72" s="50" t="n">
        <f aca="false">L72*gw_union</f>
        <v>113138.669134746</v>
      </c>
      <c r="AZ72" s="49" t="n">
        <v>1.054</v>
      </c>
      <c r="BA72" s="50" t="n">
        <f aca="false">Economy!Q72*AZ72/lf_rate</f>
        <v>978.714285714286</v>
      </c>
      <c r="BB72" s="67" t="n">
        <f aca="false">bd_growth*AU71/W71</f>
        <v>0.00140827549788384</v>
      </c>
      <c r="BC72" s="67" t="n">
        <f aca="false">tg_k*MIN(1,Economy!O71/BK71)</f>
        <v>0.00125977812528719</v>
      </c>
      <c r="BD72" s="67" t="n">
        <f aca="false">emu_g*S72</f>
        <v>0.0015</v>
      </c>
      <c r="BE72" s="68" t="n">
        <f aca="false">BE71*(1-BB72-BC72+BD72)</f>
        <v>0.959832411538779</v>
      </c>
      <c r="BF72" s="49" t="n">
        <v>1</v>
      </c>
      <c r="BG72" s="56" t="n">
        <f aca="false">AU72*BA72*BE72*(skill_rel-1+skill_spill)/1000000</f>
        <v>216.322349434076</v>
      </c>
      <c r="BH72" s="56" t="n">
        <f aca="false">union_disp*(Champions!AP72+Champions!AZ72)*(1-IF(union_resp=2,mkt_cut*S72,0))</f>
        <v>187.085599529701</v>
      </c>
      <c r="BI72" s="56" t="n">
        <f aca="false">AY72*BA72*BE72/1000000</f>
        <v>106.282657336256</v>
      </c>
      <c r="BJ72" s="50" t="n">
        <f aca="false">V72*Economy!Q72*AZ72</f>
        <v>30755.5092</v>
      </c>
      <c r="BK72" s="50" t="n">
        <f aca="false">MAX(0.3*BJ72,AX72*Economy!Q72*AZ72*BE72*BF72-BG72-BH72-BI72)</f>
        <v>28009.9989196561</v>
      </c>
      <c r="BL72" s="66" t="n">
        <f aca="false">1-BK72/BJ72</f>
        <v>0.0892688936635764</v>
      </c>
      <c r="BM72" s="50" t="n">
        <f aca="false">MAX(0,BH72-BH71)*1000000/BA72</f>
        <v>19274.8058364619</v>
      </c>
      <c r="BN72" s="50" t="n">
        <f aca="false">BN71*(1-IF(AND($A72&gt;=1930,$A72&lt;=1932),0,union_reabsorb))+BM72</f>
        <v>44533.4022199983</v>
      </c>
      <c r="BO72" s="62" t="n">
        <v>0.048</v>
      </c>
      <c r="BP72" s="66" t="n">
        <f aca="false">BO72+BN72/(AX72*1000000*lf_rate)</f>
        <v>0.0494668726812513</v>
      </c>
    </row>
    <row r="73" customFormat="false" ht="14.25" hidden="false" customHeight="false" outlineLevel="0" collapsed="false">
      <c r="A73" s="61" t="n">
        <v>1913</v>
      </c>
      <c r="B73" s="50" t="n">
        <f aca="false">Economy!B73*lf_rate</f>
        <v>6263966.49277795</v>
      </c>
      <c r="C73" s="50" t="n">
        <f aca="false">Economy!O73*1000000/(B73+L73)</f>
        <v>1940.97935114591</v>
      </c>
      <c r="D73" s="50" t="n">
        <f aca="false">Champions!AP73*1000000/(C73*champ_prem)</f>
        <v>210543.302506879</v>
      </c>
      <c r="E73" s="50" t="n">
        <f aca="false">D73*job_mult</f>
        <v>147380.311754816</v>
      </c>
      <c r="F73" s="50" t="n">
        <f aca="false">D73+E73</f>
        <v>357923.614261695</v>
      </c>
      <c r="G73" s="66" t="n">
        <f aca="false">F73/B73</f>
        <v>0.0571400908153585</v>
      </c>
      <c r="H73" s="50" t="n">
        <f aca="false">F73-F72</f>
        <v>19979.0969358822</v>
      </c>
      <c r="I73" s="66" t="n">
        <f aca="false">MAX(0.005,pac_u_base*IF(Paths!AC73=1,pac_u_war,1)+(okun*(1-Economy!G73)*(B73+L73)-MAX(0,L72-L73))/B73)</f>
        <v>0.015</v>
      </c>
      <c r="J73" s="50" t="n">
        <f aca="false">IF(AND(gw_on=1,$A73&gt;=gw_start),MIN(gw_cap*B72,gw_cover*F72+gw_gen*B72),0)</f>
        <v>682757.218356846</v>
      </c>
      <c r="K73" s="50" t="n">
        <f aca="false">L72*gw_conv</f>
        <v>16970.8003702119</v>
      </c>
      <c r="L73" s="50" t="n">
        <f aca="false">MAX(0,L72-K73+gw_adj*(J73-L72))*MAX(0,1-gw_slump*(1-Economy!G73))</f>
        <v>595548.094376765</v>
      </c>
      <c r="M73" s="50" t="n">
        <f aca="false">MAX(0,L73-L72+L72/gw_term)</f>
        <v>218419.197260944</v>
      </c>
      <c r="N73" s="66" t="n">
        <f aca="false">L73/B73</f>
        <v>0.0950752362841345</v>
      </c>
      <c r="O73" s="56" t="n">
        <f aca="false">Economy!L73</f>
        <v>681.161730324666</v>
      </c>
      <c r="P73" s="56" t="n">
        <f aca="false">O73*gw_wage_share</f>
        <v>442.755124711033</v>
      </c>
      <c r="Q73" s="56" t="n">
        <f aca="false">P73*gw_levy</f>
        <v>110.688781177758</v>
      </c>
      <c r="R73" s="56" t="n">
        <f aca="false">P73*gw_remit</f>
        <v>110.688781177758</v>
      </c>
      <c r="S73" s="66" t="n">
        <f aca="false">IF(union_resp&gt;=1,MIN(1,MAX(0,($A73-resp_start)/(resp_full-resp_start))),0)</f>
        <v>1</v>
      </c>
      <c r="T73" s="70" t="n">
        <f aca="false">Economy!R72</f>
        <v>2.11173124172606</v>
      </c>
      <c r="U73" s="70" t="n">
        <f aca="false">MAX(0,T73-gap_base)</f>
        <v>0.611731241726058</v>
      </c>
      <c r="V73" s="71" t="n">
        <v>76.1</v>
      </c>
      <c r="W73" s="50" t="n">
        <f aca="false">V73*1000000*lf_rate*union_skill_share</f>
        <v>3835440</v>
      </c>
      <c r="X73" s="48" t="n">
        <v>160000</v>
      </c>
      <c r="Y73" s="50" t="n">
        <f aca="false">IF(AND(mig_endo=1,$A73&gt;=talent_start),talent_rate_u*W73*U73*(1-(1-bd_keep)*S73),0)</f>
        <v>7813.04071764008</v>
      </c>
      <c r="Z73" s="50" t="n">
        <f aca="false">IF(AND(mig_endo=1,$A73&gt;=talent_start),X73*MIN(0.5,talent_share_o*U73)*(1-eu_comp*S73),0)</f>
        <v>18498.752749796</v>
      </c>
      <c r="AA73" s="48" t="n">
        <v>50000</v>
      </c>
      <c r="AB73" s="50" t="n">
        <f aca="false">IF(AND(mig_endo=1,$A73&gt;=talent_start),AA73*MIN(0.5,talent_share_a*U73),0)</f>
        <v>6117.31241726058</v>
      </c>
      <c r="AC73" s="50" t="n">
        <f aca="false">entry_cap*People!B73</f>
        <v>43796.5009443116</v>
      </c>
      <c r="AD73" s="50" t="n">
        <f aca="false">MIN(AC73,Y73+Z73+AB73)</f>
        <v>32429.1058846966</v>
      </c>
      <c r="AE73" s="50" t="n">
        <f aca="false">IF(Y73+Z73+AB73&gt;0,AD73*Y73/(Y73+Z73+AB73),0)</f>
        <v>7813.04071764008</v>
      </c>
      <c r="AF73" s="50" t="n">
        <f aca="false">IF(Y73+Z73+AB73&gt;0,AD73*AB73/(Y73+Z73+AB73),0)</f>
        <v>6117.31241726058</v>
      </c>
      <c r="AG73" s="50" t="n">
        <f aca="false">AD73*family_mult</f>
        <v>71344.0329463326</v>
      </c>
      <c r="AH73" s="50" t="n">
        <f aca="false">AH72*(1+Paths!C73)+AG73</f>
        <v>1578807.25339353</v>
      </c>
      <c r="AI73" s="50" t="n">
        <f aca="false">IF(AND(mig_endo=1,$A73&gt;=talent_start),chain_rate*AH72,0)</f>
        <v>22233.970803056</v>
      </c>
      <c r="AJ73" s="50" t="n">
        <f aca="false">IF(AND(mig_endo=1,$A73&gt;=talent_start),IF(H72&gt;0,H72*job_fill,H72*job_return)*job_family,0)</f>
        <v>16011.7211499855</v>
      </c>
      <c r="AK73" s="50" t="n">
        <f aca="false">K73*gw_conv_family</f>
        <v>30547.4406663815</v>
      </c>
      <c r="AL73" s="50" t="n">
        <f aca="false">AG73+AI73+AJ73+AK73+AR73</f>
        <v>265924.402145676</v>
      </c>
      <c r="AM73" s="50" t="n">
        <f aca="false">AM72*(1-skill_ret)+AD73</f>
        <v>458819.205255949</v>
      </c>
      <c r="AN73" s="67" t="n">
        <f aca="false">AM73/B73</f>
        <v>0.0732473913749293</v>
      </c>
      <c r="AO73" s="67" t="n">
        <f aca="false">(skill_rel-1+skill_spill)*AM72/B72-AT73</f>
        <v>0.0740677873739148</v>
      </c>
      <c r="AP73" s="67" t="n">
        <f aca="false">talent_champ*AM72/(skill_base_share*B72)</f>
        <v>0.145777275704799</v>
      </c>
      <c r="AQ73" s="48" t="n">
        <v>1175000</v>
      </c>
      <c r="AR73" s="50" t="n">
        <f aca="false">IF(AND(div_on=1,$A73&gt;=div_start),AQ73*MIN(div_max,div_rate*U73)*(1-div_comp*S73),0)</f>
        <v>125787.236579921</v>
      </c>
      <c r="AS73" s="50" t="n">
        <f aca="false">AS72*(1-div_assim)+AR73</f>
        <v>1248797.58523468</v>
      </c>
      <c r="AT73" s="67" t="n">
        <f aca="false">(1-div_rel)*AS72/Economy!B72</f>
        <v>0.0206874418342048</v>
      </c>
      <c r="AU73" s="50" t="n">
        <f aca="false">AU72*(1-skill_ret)+AE73</f>
        <v>180520.587737572</v>
      </c>
      <c r="AV73" s="50" t="n">
        <f aca="false">AV72*(1+union_nat)+AR73</f>
        <v>2092867.56648751</v>
      </c>
      <c r="AW73" s="50" t="n">
        <f aca="false">AW72*(1+union_nat)+AE73*family_mult</f>
        <v>618741.318271302</v>
      </c>
      <c r="AX73" s="70" t="n">
        <f aca="false">V73-(AV73+AW73)/1000000</f>
        <v>73.3883911152412</v>
      </c>
      <c r="AY73" s="50" t="n">
        <f aca="false">L73*gw_union</f>
        <v>119109.618875353</v>
      </c>
      <c r="AZ73" s="49" t="n">
        <v>1.051</v>
      </c>
      <c r="BA73" s="50" t="n">
        <f aca="false">Economy!Q73*AZ73/lf_rate</f>
        <v>1008.45952380952</v>
      </c>
      <c r="BB73" s="67" t="n">
        <f aca="false">bd_growth*AU72/W72</f>
        <v>0.00140922297372001</v>
      </c>
      <c r="BC73" s="67" t="n">
        <f aca="false">tg_k*MIN(1,Economy!O72/BK72)</f>
        <v>0.0013099984206586</v>
      </c>
      <c r="BD73" s="67" t="n">
        <f aca="false">emu_g*S73</f>
        <v>0.0015</v>
      </c>
      <c r="BE73" s="68" t="n">
        <f aca="false">BE72*(1-BB73-BC73+BD73)</f>
        <v>0.958662163327613</v>
      </c>
      <c r="BF73" s="49" t="n">
        <v>1</v>
      </c>
      <c r="BG73" s="56" t="n">
        <f aca="false">AU73*BA73*BE73*(skill_rel-1+skill_spill)/1000000</f>
        <v>226.87892189638</v>
      </c>
      <c r="BH73" s="56" t="n">
        <f aca="false">union_disp*(Champions!AP73+Champions!AZ73)*(1-IF(union_resp=2,mkt_cut*S73,0))</f>
        <v>204.746780755765</v>
      </c>
      <c r="BI73" s="56" t="n">
        <f aca="false">AY73*BA73*BE73/1000000</f>
        <v>115.151843116232</v>
      </c>
      <c r="BJ73" s="50" t="n">
        <f aca="false">V73*Economy!Q73*AZ73</f>
        <v>32232.3833</v>
      </c>
      <c r="BK73" s="50" t="n">
        <f aca="false">MAX(0.3*BJ73,AX73*Economy!Q73*AZ73*BE73*BF73-BG73-BH73-BI73)</f>
        <v>29252.1556018677</v>
      </c>
      <c r="BL73" s="66" t="n">
        <f aca="false">1-BK73/BJ73</f>
        <v>0.0924606682166211</v>
      </c>
      <c r="BM73" s="50" t="n">
        <f aca="false">MAX(0,BH73-BH72)*1000000/BA73</f>
        <v>17513.0293374078</v>
      </c>
      <c r="BN73" s="50" t="n">
        <f aca="false">BN72*(1-IF(AND($A73&gt;=1930,$A73&lt;=1932),0,union_reabsorb))+BM73</f>
        <v>50913.0810024065</v>
      </c>
      <c r="BO73" s="62" t="n">
        <v>0.043</v>
      </c>
      <c r="BP73" s="66" t="n">
        <f aca="false">BO73+BN73/(AX73*1000000*lf_rate)</f>
        <v>0.0446517819724914</v>
      </c>
    </row>
    <row r="74" customFormat="false" ht="14.25" hidden="false" customHeight="false" outlineLevel="0" collapsed="false">
      <c r="A74" s="64" t="n">
        <v>1914</v>
      </c>
      <c r="B74" s="50" t="n">
        <f aca="false">Economy!B74*lf_rate</f>
        <v>6514790.41998538</v>
      </c>
      <c r="C74" s="50" t="n">
        <f aca="false">Economy!O74*1000000/(B74+L74)</f>
        <v>1951.3591155577</v>
      </c>
      <c r="D74" s="50" t="n">
        <f aca="false">Champions!AP74*1000000/(C74*champ_prem)</f>
        <v>262100.134547087</v>
      </c>
      <c r="E74" s="50" t="n">
        <f aca="false">D74*job_mult</f>
        <v>183470.094182961</v>
      </c>
      <c r="F74" s="50" t="n">
        <f aca="false">D74+E74</f>
        <v>445570.228730049</v>
      </c>
      <c r="G74" s="66" t="n">
        <f aca="false">F74/B74</f>
        <v>0.0683936397037694</v>
      </c>
      <c r="H74" s="50" t="n">
        <f aca="false">F74-F73</f>
        <v>87646.6144683536</v>
      </c>
      <c r="I74" s="66" t="n">
        <f aca="false">MAX(0.005,pac_u_base*IF(Paths!AC74=1,pac_u_war,1)+(okun*(1-Economy!G74)*(B74+L74)-MAX(0,L73-L74))/B74)</f>
        <v>0.0253717373287884</v>
      </c>
      <c r="J74" s="50" t="n">
        <f aca="false">IF(AND(gw_on=1,$A74&gt;=gw_start),MIN(gw_cap*B73,gw_cover*F73+gw_gen*B73),0)</f>
        <v>715871.487979253</v>
      </c>
      <c r="K74" s="50" t="n">
        <f aca="false">L73*gw_conv</f>
        <v>17866.442831303</v>
      </c>
      <c r="L74" s="50" t="n">
        <f aca="false">MAX(0,L73-K74+gw_adj*(J74-L73))*MAX(0,1-gw_slump*(1-Economy!G74))</f>
        <v>595772.080555107</v>
      </c>
      <c r="M74" s="50" t="n">
        <f aca="false">MAX(0,L74-L73+L73/gw_term)</f>
        <v>198740.017637264</v>
      </c>
      <c r="N74" s="66" t="n">
        <f aca="false">L74/B74</f>
        <v>0.091449155252556</v>
      </c>
      <c r="O74" s="56" t="n">
        <f aca="false">Economy!L74</f>
        <v>677.191602279232</v>
      </c>
      <c r="P74" s="56" t="n">
        <f aca="false">O74*gw_wage_share</f>
        <v>440.174541481501</v>
      </c>
      <c r="Q74" s="56" t="n">
        <f aca="false">P74*gw_levy</f>
        <v>110.043635370375</v>
      </c>
      <c r="R74" s="56" t="n">
        <f aca="false">P74*gw_remit</f>
        <v>110.043635370375</v>
      </c>
      <c r="S74" s="66" t="n">
        <f aca="false">IF(union_resp&gt;=1,MIN(1,MAX(0,($A74-resp_start)/(resp_full-resp_start))),0)</f>
        <v>1</v>
      </c>
      <c r="T74" s="70" t="n">
        <f aca="false">Economy!R73</f>
        <v>2.13012133741349</v>
      </c>
      <c r="U74" s="70" t="n">
        <f aca="false">MAX(0,T74-gap_base)</f>
        <v>0.630121337413493</v>
      </c>
      <c r="V74" s="71" t="n">
        <v>76.94</v>
      </c>
      <c r="W74" s="50" t="n">
        <f aca="false">V74*1000000*lf_rate*union_skill_share</f>
        <v>3877776</v>
      </c>
      <c r="X74" s="48" t="n">
        <v>60000</v>
      </c>
      <c r="Y74" s="50" t="n">
        <f aca="false">IF(AND(mig_endo=1,$A74&gt;=talent_start),talent_rate_u*W74*U74*(1-(1-bd_keep)*S74),0)</f>
        <v>8136.75309970211</v>
      </c>
      <c r="Z74" s="50" t="n">
        <f aca="false">IF(AND(mig_endo=1,$A74&gt;=talent_start),X74*MIN(0.5,talent_share_o*U74)*(1-eu_comp*S74),0)</f>
        <v>7145.57596626901</v>
      </c>
      <c r="AA74" s="48" t="n">
        <v>54000</v>
      </c>
      <c r="AB74" s="50" t="n">
        <f aca="false">IF(AND(mig_endo=1,$A74&gt;=talent_start),AA74*MIN(0.5,talent_share_a*U74),0)</f>
        <v>6805.31044406572</v>
      </c>
      <c r="AC74" s="50" t="n">
        <f aca="false">entry_cap*People!B74</f>
        <v>45688.734666802</v>
      </c>
      <c r="AD74" s="50" t="n">
        <f aca="false">MIN(AC74,Y74+Z74+AB74)</f>
        <v>22087.6395100368</v>
      </c>
      <c r="AE74" s="50" t="n">
        <f aca="false">IF(Y74+Z74+AB74&gt;0,AD74*Y74/(Y74+Z74+AB74),0)</f>
        <v>8136.75309970211</v>
      </c>
      <c r="AF74" s="50" t="n">
        <f aca="false">IF(Y74+Z74+AB74&gt;0,AD74*AB74/(Y74+Z74+AB74),0)</f>
        <v>6805.31044406572</v>
      </c>
      <c r="AG74" s="50" t="n">
        <f aca="false">AD74*family_mult</f>
        <v>48592.8069220811</v>
      </c>
      <c r="AH74" s="50" t="n">
        <f aca="false">AH73*(1+Paths!C74)+AG74</f>
        <v>1654239.7836233</v>
      </c>
      <c r="AI74" s="50" t="n">
        <f aca="false">IF(AND(mig_endo=1,$A74&gt;=talent_start),chain_rate*AH73,0)</f>
        <v>23682.1088009029</v>
      </c>
      <c r="AJ74" s="50" t="n">
        <f aca="false">IF(AND(mig_endo=1,$A74&gt;=talent_start),IF(H73&gt;0,H73*job_fill,H73*job_return)*job_family,0)</f>
        <v>12586.8310696058</v>
      </c>
      <c r="AK74" s="50" t="n">
        <f aca="false">K74*gw_conv_family</f>
        <v>32159.5970963453</v>
      </c>
      <c r="AL74" s="50" t="n">
        <f aca="false">AG74+AI74+AJ74+AK74+AR74</f>
        <v>251552.249426716</v>
      </c>
      <c r="AM74" s="50" t="n">
        <f aca="false">AM73*(1-skill_ret)+AD74</f>
        <v>469436.364634588</v>
      </c>
      <c r="AN74" s="67" t="n">
        <f aca="false">AM74/B74</f>
        <v>0.0720570170906037</v>
      </c>
      <c r="AO74" s="67" t="n">
        <f aca="false">(skill_rel-1+skill_spill)*AM73/B73-AT74</f>
        <v>0.0742885870988628</v>
      </c>
      <c r="AP74" s="67" t="n">
        <f aca="false">talent_champ*AM73/(skill_base_share*B73)</f>
        <v>0.146494782749858</v>
      </c>
      <c r="AQ74" s="48" t="n">
        <v>1220000</v>
      </c>
      <c r="AR74" s="50" t="n">
        <f aca="false">IF(AND(div_on=1,$A74&gt;=div_start),AQ74*MIN(div_max,div_rate*U74)*(1-div_comp*S74),0)</f>
        <v>134530.905537781</v>
      </c>
      <c r="AS74" s="50" t="n">
        <f aca="false">AS73*(1-div_assim)+AR74</f>
        <v>1320888.61151073</v>
      </c>
      <c r="AT74" s="67" t="n">
        <f aca="false">(1-div_rel)*AS73/Economy!B73</f>
        <v>0.0209330216885452</v>
      </c>
      <c r="AU74" s="50" t="n">
        <f aca="false">AU73*(1-skill_ret)+AE74</f>
        <v>184144.326143835</v>
      </c>
      <c r="AV74" s="50" t="n">
        <f aca="false">AV73*(1+union_nat)+AR74</f>
        <v>2254605.75038963</v>
      </c>
      <c r="AW74" s="50" t="n">
        <f aca="false">AW73*(1+union_nat)+AE74*family_mult</f>
        <v>644685.812228174</v>
      </c>
      <c r="AX74" s="70" t="n">
        <f aca="false">V74-(AV74+AW74)/1000000</f>
        <v>74.0407084373822</v>
      </c>
      <c r="AY74" s="50" t="n">
        <f aca="false">L74*gw_union</f>
        <v>119154.416111021</v>
      </c>
      <c r="AZ74" s="49" t="n">
        <v>1.052</v>
      </c>
      <c r="BA74" s="50" t="n">
        <f aca="false">Economy!Q74*AZ74/lf_rate</f>
        <v>951.809523809524</v>
      </c>
      <c r="BB74" s="67" t="n">
        <f aca="false">bd_growth*AU73/W73</f>
        <v>0.0014119938343781</v>
      </c>
      <c r="BC74" s="67" t="n">
        <f aca="false">tg_k*MIN(1,Economy!O73/BK73)</f>
        <v>0.0013654559021662</v>
      </c>
      <c r="BD74" s="67" t="n">
        <f aca="false">emu_g*S74</f>
        <v>0.0015</v>
      </c>
      <c r="BE74" s="68" t="n">
        <f aca="false">BE73*(1-BB74-BC74+BD74)</f>
        <v>0.957437520599635</v>
      </c>
      <c r="BF74" s="49" t="n">
        <v>1</v>
      </c>
      <c r="BG74" s="56" t="n">
        <f aca="false">AU74*BA74*BE74*(skill_rel-1+skill_spill)/1000000</f>
        <v>218.153499006127</v>
      </c>
      <c r="BH74" s="56" t="n">
        <f aca="false">union_disp*(Champions!AP74+Champions!AZ74)*(1-IF(union_resp=2,mkt_cut*S74,0))</f>
        <v>249.696187645863</v>
      </c>
      <c r="BI74" s="56" t="n">
        <f aca="false">AY74*BA74*BE74/1000000</f>
        <v>108.585199032948</v>
      </c>
      <c r="BJ74" s="50" t="n">
        <f aca="false">V74*Economy!Q74*AZ74</f>
        <v>30757.5344</v>
      </c>
      <c r="BK74" s="50" t="n">
        <f aca="false">MAX(0.3*BJ74,AX74*Economy!Q74*AZ74*BE74*BF74-BG74-BH74-BI74)</f>
        <v>27762.2925936518</v>
      </c>
      <c r="BL74" s="66" t="n">
        <f aca="false">1-BK74/BJ74</f>
        <v>0.0973823768639986</v>
      </c>
      <c r="BM74" s="50" t="n">
        <f aca="false">MAX(0,BH74-BH73)*1000000/BA74</f>
        <v>47225.2123620196</v>
      </c>
      <c r="BN74" s="50" t="n">
        <f aca="false">BN73*(1-IF(AND($A74&gt;=1930,$A74&lt;=1932),0,union_reabsorb))+BM74</f>
        <v>85410.0231138245</v>
      </c>
      <c r="BO74" s="62" t="n">
        <v>0.079</v>
      </c>
      <c r="BP74" s="66" t="n">
        <f aca="false">BO74+BN74/(AX74*1000000*lf_rate)</f>
        <v>0.081746559320972</v>
      </c>
    </row>
    <row r="75" customFormat="false" ht="14.25" hidden="false" customHeight="false" outlineLevel="0" collapsed="false">
      <c r="A75" s="64" t="n">
        <v>1915</v>
      </c>
      <c r="B75" s="50" t="n">
        <f aca="false">Economy!B75*lf_rate</f>
        <v>6746065.40006579</v>
      </c>
      <c r="C75" s="50" t="n">
        <f aca="false">Economy!O75*1000000/(B75+L75)</f>
        <v>2097.85936454721</v>
      </c>
      <c r="D75" s="50" t="n">
        <f aca="false">Champions!AP75*1000000/(C75*champ_prem)</f>
        <v>298363.874772089</v>
      </c>
      <c r="E75" s="50" t="n">
        <f aca="false">D75*job_mult</f>
        <v>208854.712340463</v>
      </c>
      <c r="F75" s="50" t="n">
        <f aca="false">D75+E75</f>
        <v>507218.587112552</v>
      </c>
      <c r="G75" s="66" t="n">
        <f aca="false">F75/B75</f>
        <v>0.075187321354401</v>
      </c>
      <c r="H75" s="50" t="n">
        <f aca="false">F75-F74</f>
        <v>61648.3583825035</v>
      </c>
      <c r="I75" s="66" t="n">
        <f aca="false">MAX(0.005,pac_u_base*IF(Paths!AC75=1,pac_u_war,1)+(okun*(1-Economy!G75)*(B75+L75)-MAX(0,L74-L75))/B75)</f>
        <v>0.009</v>
      </c>
      <c r="J75" s="50" t="n">
        <f aca="false">IF(AND(gw_on=1,$A75&gt;=gw_start),MIN(gw_cap*B74,gw_cover*F74+gw_gen*B74),0)</f>
        <v>788525.370836859</v>
      </c>
      <c r="K75" s="50" t="n">
        <f aca="false">L74*gw_conv</f>
        <v>17873.1624166532</v>
      </c>
      <c r="L75" s="50" t="n">
        <f aca="false">MAX(0,L74-K75+gw_adj*(J75-L74))*MAX(0,1-gw_slump*(1-Economy!G75))</f>
        <v>655000.234251155</v>
      </c>
      <c r="M75" s="50" t="n">
        <f aca="false">MAX(0,L75-L74+L74/gw_term)</f>
        <v>257818.847214417</v>
      </c>
      <c r="N75" s="66" t="n">
        <f aca="false">L75/B75</f>
        <v>0.0970936679986481</v>
      </c>
      <c r="O75" s="56" t="n">
        <f aca="false">Economy!L75</f>
        <v>797.734409799335</v>
      </c>
      <c r="P75" s="56" t="n">
        <f aca="false">O75*gw_wage_share</f>
        <v>518.527366369568</v>
      </c>
      <c r="Q75" s="56" t="n">
        <f aca="false">P75*gw_levy</f>
        <v>129.631841592392</v>
      </c>
      <c r="R75" s="56" t="n">
        <f aca="false">P75*gw_remit</f>
        <v>129.631841592392</v>
      </c>
      <c r="S75" s="66" t="n">
        <f aca="false">IF(union_resp&gt;=1,MIN(1,MAX(0,($A75-resp_start)/(resp_full-resp_start))),0)</f>
        <v>1</v>
      </c>
      <c r="T75" s="70" t="n">
        <f aca="false">Economy!R74</f>
        <v>2.26692999656374</v>
      </c>
      <c r="U75" s="70" t="n">
        <f aca="false">MAX(0,T75-gap_base)</f>
        <v>0.766929996563735</v>
      </c>
      <c r="V75" s="71" t="n">
        <v>77.79</v>
      </c>
      <c r="W75" s="50" t="n">
        <f aca="false">V75*1000000*lf_rate*union_skill_share</f>
        <v>3920616</v>
      </c>
      <c r="X75" s="48" t="n">
        <v>55000</v>
      </c>
      <c r="Y75" s="50" t="n">
        <f aca="false">IF(AND(mig_endo=1,$A75&gt;=talent_start),talent_rate_u*W75*U75*(1-(1-bd_keep)*S75),0)</f>
        <v>10012.7705913077</v>
      </c>
      <c r="Z75" s="50" t="n">
        <f aca="false">IF(AND(mig_endo=1,$A75&gt;=talent_start),X75*MIN(0.5,talent_share_o*U75)*(1-eu_comp*S75),0)</f>
        <v>7972.23731428003</v>
      </c>
      <c r="AA75" s="48" t="n">
        <v>59000</v>
      </c>
      <c r="AB75" s="50" t="n">
        <f aca="false">IF(AND(mig_endo=1,$A75&gt;=talent_start),AA75*MIN(0.5,talent_share_a*U75),0)</f>
        <v>9049.77395945208</v>
      </c>
      <c r="AC75" s="50" t="n">
        <f aca="false">entry_cap*People!B75</f>
        <v>47379.6999044177</v>
      </c>
      <c r="AD75" s="50" t="n">
        <f aca="false">MIN(AC75,Y75+Z75+AB75)</f>
        <v>27034.7818650398</v>
      </c>
      <c r="AE75" s="50" t="n">
        <f aca="false">IF(Y75+Z75+AB75&gt;0,AD75*Y75/(Y75+Z75+AB75),0)</f>
        <v>10012.7705913077</v>
      </c>
      <c r="AF75" s="50" t="n">
        <f aca="false">IF(Y75+Z75+AB75&gt;0,AD75*AB75/(Y75+Z75+AB75),0)</f>
        <v>9049.77395945208</v>
      </c>
      <c r="AG75" s="50" t="n">
        <f aca="false">AD75*family_mult</f>
        <v>59476.5201030876</v>
      </c>
      <c r="AH75" s="50" t="n">
        <f aca="false">AH74*(1+Paths!C75)+AG75</f>
        <v>1741838.38004798</v>
      </c>
      <c r="AI75" s="50" t="n">
        <f aca="false">IF(AND(mig_endo=1,$A75&gt;=talent_start),chain_rate*AH74,0)</f>
        <v>24813.5967543495</v>
      </c>
      <c r="AJ75" s="50" t="n">
        <f aca="false">IF(AND(mig_endo=1,$A75&gt;=talent_start),IF(H74&gt;0,H74*job_fill,H74*job_return)*job_family,0)</f>
        <v>55217.3671150627</v>
      </c>
      <c r="AK75" s="50" t="n">
        <f aca="false">K75*gw_conv_family</f>
        <v>32171.6923499758</v>
      </c>
      <c r="AL75" s="50" t="n">
        <f aca="false">AG75+AI75+AJ75+AK75+AR75</f>
        <v>215969.383624031</v>
      </c>
      <c r="AM75" s="50" t="n">
        <f aca="false">AM74*(1-skill_ret)+AD75</f>
        <v>484735.237383763</v>
      </c>
      <c r="AN75" s="67" t="n">
        <f aca="false">AM75/B75</f>
        <v>0.071854512021042</v>
      </c>
      <c r="AO75" s="67" t="n">
        <f aca="false">(skill_rel-1+skill_spill)*AM74/B74-AT75</f>
        <v>0.0723851328155842</v>
      </c>
      <c r="AP75" s="67" t="n">
        <f aca="false">talent_champ*AM74/(skill_base_share*B74)</f>
        <v>0.144114034181207</v>
      </c>
      <c r="AQ75" s="48" t="n">
        <v>330000</v>
      </c>
      <c r="AR75" s="50" t="n">
        <f aca="false">IF(AND(div_on=1,$A75&gt;=div_start),AQ75*MIN(div_max,div_rate*U75)*(1-div_comp*S75),0)</f>
        <v>44290.2073015557</v>
      </c>
      <c r="AS75" s="50" t="n">
        <f aca="false">AS74*(1-div_assim)+AR75</f>
        <v>1299134.38823675</v>
      </c>
      <c r="AT75" s="67" t="n">
        <f aca="false">(1-div_rel)*AS74/Economy!B74</f>
        <v>0.0212889894022005</v>
      </c>
      <c r="AU75" s="50" t="n">
        <f aca="false">AU74*(1-skill_ret)+AE75</f>
        <v>189553.488581546</v>
      </c>
      <c r="AV75" s="50" t="n">
        <f aca="false">AV74*(1+union_nat)+AR75</f>
        <v>2328205.83244625</v>
      </c>
      <c r="AW75" s="50" t="n">
        <f aca="false">AW74*(1+union_nat)+AE75*family_mult</f>
        <v>675094.823088017</v>
      </c>
      <c r="AX75" s="70" t="n">
        <f aca="false">V75-(AV75+AW75)/1000000</f>
        <v>74.7866993444657</v>
      </c>
      <c r="AY75" s="50" t="n">
        <f aca="false">L75*gw_union</f>
        <v>131000.046850231</v>
      </c>
      <c r="AZ75" s="49" t="n">
        <v>1.053</v>
      </c>
      <c r="BA75" s="50" t="n">
        <f aca="false">Economy!Q75*AZ75/lf_rate</f>
        <v>1078.07142857143</v>
      </c>
      <c r="BB75" s="67" t="n">
        <f aca="false">bd_growth*AU74/W74</f>
        <v>0.00142461291841381</v>
      </c>
      <c r="BC75" s="67" t="n">
        <f aca="false">tg_k*MIN(1,Economy!O74/BK74)</f>
        <v>0.0014993640282444</v>
      </c>
      <c r="BD75" s="67" t="n">
        <f aca="false">emu_g*S75</f>
        <v>0.0015</v>
      </c>
      <c r="BE75" s="68" t="n">
        <f aca="false">BE74*(1-BB75-BC75+BD75)</f>
        <v>0.956074151642435</v>
      </c>
      <c r="BF75" s="49" t="n">
        <v>1</v>
      </c>
      <c r="BG75" s="56" t="n">
        <f aca="false">AU75*BA75*BE75*(skill_rel-1+skill_spill)/1000000</f>
        <v>253.988613407298</v>
      </c>
      <c r="BH75" s="56" t="n">
        <f aca="false">union_disp*(Champions!AP75+Champions!AZ75)*(1-IF(union_resp=2,mkt_cut*S75,0))</f>
        <v>299.46479009473</v>
      </c>
      <c r="BI75" s="56" t="n">
        <f aca="false">AY75*BA75*BE75/1000000</f>
        <v>135.023873958354</v>
      </c>
      <c r="BJ75" s="50" t="n">
        <f aca="false">V75*Economy!Q75*AZ75</f>
        <v>35222.5341</v>
      </c>
      <c r="BK75" s="50" t="n">
        <f aca="false">MAX(0.3*BJ75,AX75*Economy!Q75*AZ75*BE75*BF75-BG75-BH75-BI75)</f>
        <v>31686.7458290561</v>
      </c>
      <c r="BL75" s="66" t="n">
        <f aca="false">1-BK75/BJ75</f>
        <v>0.100384267097463</v>
      </c>
      <c r="BM75" s="50" t="n">
        <f aca="false">MAX(0,BH75-BH74)*1000000/BA75</f>
        <v>46164.4758685576</v>
      </c>
      <c r="BN75" s="50" t="n">
        <f aca="false">BN74*(1-IF(AND($A75&gt;=1930,$A75&lt;=1932),0,union_reabsorb))+BM75</f>
        <v>110221.993203926</v>
      </c>
      <c r="BO75" s="62" t="n">
        <v>0.085</v>
      </c>
      <c r="BP75" s="66" t="n">
        <f aca="false">BO75+BN75/(AX75*1000000*lf_rate)</f>
        <v>0.0885090907802127</v>
      </c>
    </row>
    <row r="76" customFormat="false" ht="14.25" hidden="false" customHeight="false" outlineLevel="0" collapsed="false">
      <c r="A76" s="64" t="n">
        <v>1916</v>
      </c>
      <c r="B76" s="50" t="n">
        <f aca="false">Economy!B76*lf_rate</f>
        <v>6966496.11970221</v>
      </c>
      <c r="C76" s="50" t="n">
        <f aca="false">Economy!O76*1000000/(B76+L76)</f>
        <v>2398.89074162154</v>
      </c>
      <c r="D76" s="50" t="n">
        <f aca="false">Champions!AP76*1000000/(C76*champ_prem)</f>
        <v>317857.379953471</v>
      </c>
      <c r="E76" s="50" t="n">
        <f aca="false">D76*job_mult</f>
        <v>222500.16596743</v>
      </c>
      <c r="F76" s="50" t="n">
        <f aca="false">D76+E76</f>
        <v>540357.545920902</v>
      </c>
      <c r="G76" s="66" t="n">
        <f aca="false">F76/B76</f>
        <v>0.0775651829321624</v>
      </c>
      <c r="H76" s="50" t="n">
        <f aca="false">F76-F75</f>
        <v>33138.9588083494</v>
      </c>
      <c r="I76" s="66" t="n">
        <f aca="false">MAX(0.005,pac_u_base*IF(Paths!AC76=1,pac_u_war,1)+(okun*(1-Economy!G76)*(B76+L76)-MAX(0,L75-L76))/B76)</f>
        <v>0.009</v>
      </c>
      <c r="J76" s="50" t="n">
        <f aca="false">IF(AND(gw_on=1,$A76&gt;=gw_start),MIN(gw_cap*B75,gw_cover*F75+gw_gen*B75),0)</f>
        <v>844016.384272794</v>
      </c>
      <c r="K76" s="50" t="n">
        <f aca="false">L75*gw_conv</f>
        <v>19650.0070275346</v>
      </c>
      <c r="L76" s="50" t="n">
        <f aca="false">MAX(0,L75-K76+gw_adj*(J76-L75))*MAX(0,1-gw_slump*(1-Economy!G76))</f>
        <v>710956.687232276</v>
      </c>
      <c r="M76" s="50" t="n">
        <f aca="false">MAX(0,L76-L75+L75/gw_term)</f>
        <v>274289.864398173</v>
      </c>
      <c r="N76" s="66" t="n">
        <f aca="false">L76/B76</f>
        <v>0.102053697442189</v>
      </c>
      <c r="O76" s="56" t="n">
        <f aca="false">Economy!L76</f>
        <v>986.851356948844</v>
      </c>
      <c r="P76" s="56" t="n">
        <f aca="false">O76*gw_wage_share</f>
        <v>641.453382016748</v>
      </c>
      <c r="Q76" s="56" t="n">
        <f aca="false">P76*gw_levy</f>
        <v>160.363345504187</v>
      </c>
      <c r="R76" s="56" t="n">
        <f aca="false">P76*gw_remit</f>
        <v>160.363345504187</v>
      </c>
      <c r="S76" s="66" t="n">
        <f aca="false">IF(union_resp&gt;=1,MIN(1,MAX(0,($A76-resp_start)/(resp_full-resp_start))),0)</f>
        <v>1</v>
      </c>
      <c r="T76" s="70" t="n">
        <f aca="false">Economy!R75</f>
        <v>2.15994280464668</v>
      </c>
      <c r="U76" s="70" t="n">
        <f aca="false">MAX(0,T76-gap_base)</f>
        <v>0.659942804646684</v>
      </c>
      <c r="V76" s="71" t="n">
        <v>78.63</v>
      </c>
      <c r="W76" s="50" t="n">
        <f aca="false">V76*1000000*lf_rate*union_skill_share</f>
        <v>3962952</v>
      </c>
      <c r="X76" s="48" t="n">
        <v>50000</v>
      </c>
      <c r="Y76" s="50" t="n">
        <f aca="false">IF(AND(mig_endo=1,$A76&gt;=talent_start),talent_rate_u*W76*U76*(1-(1-bd_keep)*S76),0)</f>
        <v>8709.02111967542</v>
      </c>
      <c r="Z76" s="50" t="n">
        <f aca="false">IF(AND(mig_endo=1,$A76&gt;=talent_start),X76*MIN(0.5,talent_share_o*U76)*(1-eu_comp*S76),0)</f>
        <v>6236.45950391116</v>
      </c>
      <c r="AA76" s="48" t="n">
        <v>63000</v>
      </c>
      <c r="AB76" s="50" t="n">
        <f aca="false">IF(AND(mig_endo=1,$A76&gt;=talent_start),AA76*MIN(0.5,talent_share_a*U76),0)</f>
        <v>8315.27933854822</v>
      </c>
      <c r="AC76" s="50" t="n">
        <f aca="false">entry_cap*People!B76</f>
        <v>48992.6629536649</v>
      </c>
      <c r="AD76" s="50" t="n">
        <f aca="false">MIN(AC76,Y76+Z76+AB76)</f>
        <v>23260.7599621348</v>
      </c>
      <c r="AE76" s="50" t="n">
        <f aca="false">IF(Y76+Z76+AB76&gt;0,AD76*Y76/(Y76+Z76+AB76),0)</f>
        <v>8709.02111967542</v>
      </c>
      <c r="AF76" s="50" t="n">
        <f aca="false">IF(Y76+Z76+AB76&gt;0,AD76*AB76/(Y76+Z76+AB76),0)</f>
        <v>8315.27933854822</v>
      </c>
      <c r="AG76" s="50" t="n">
        <f aca="false">AD76*family_mult</f>
        <v>51173.6719166966</v>
      </c>
      <c r="AH76" s="50" t="n">
        <f aca="false">AH75*(1+Paths!C76)+AG76</f>
        <v>1822623.30442549</v>
      </c>
      <c r="AI76" s="50" t="n">
        <f aca="false">IF(AND(mig_endo=1,$A76&gt;=talent_start),chain_rate*AH75,0)</f>
        <v>26127.5757007197</v>
      </c>
      <c r="AJ76" s="50" t="n">
        <f aca="false">IF(AND(mig_endo=1,$A76&gt;=talent_start),IF(H75&gt;0,H75*job_fill,H75*job_return)*job_family,0)</f>
        <v>38838.4657809772</v>
      </c>
      <c r="AK76" s="50" t="n">
        <f aca="false">K76*gw_conv_family</f>
        <v>35370.0126495624</v>
      </c>
      <c r="AL76" s="50" t="n">
        <f aca="false">AG76+AI76+AJ76+AK76+AR76</f>
        <v>181190.65368694</v>
      </c>
      <c r="AM76" s="50" t="n">
        <f aca="false">AM75*(1-skill_ret)+AD76</f>
        <v>495877.616411303</v>
      </c>
      <c r="AN76" s="67" t="n">
        <f aca="false">AM76/B76</f>
        <v>0.0711803477517045</v>
      </c>
      <c r="AO76" s="67" t="n">
        <f aca="false">(skill_rel-1+skill_spill)*AM75/B75-AT76</f>
        <v>0.073190321847342</v>
      </c>
      <c r="AP76" s="67" t="n">
        <f aca="false">talent_champ*AM75/(skill_base_share*B75)</f>
        <v>0.143709024042084</v>
      </c>
      <c r="AQ76" s="48" t="n">
        <v>257000</v>
      </c>
      <c r="AR76" s="50" t="n">
        <f aca="false">IF(AND(div_on=1,$A76&gt;=div_start),AQ76*MIN(div_max,div_rate*U76)*(1-div_comp*S76),0)</f>
        <v>29680.9276389846</v>
      </c>
      <c r="AS76" s="50" t="n">
        <f aca="false">AS75*(1-div_assim)+AR76</f>
        <v>1263858.59646389</v>
      </c>
      <c r="AT76" s="67" t="n">
        <f aca="false">(1-div_rel)*AS75/Economy!B75</f>
        <v>0.0202205437800126</v>
      </c>
      <c r="AU76" s="50" t="n">
        <f aca="false">AU75*(1-skill_ret)+AE76</f>
        <v>193523.672486683</v>
      </c>
      <c r="AV76" s="50" t="n">
        <f aca="false">AV75*(1+union_nat)+AR76</f>
        <v>2388153.43590704</v>
      </c>
      <c r="AW76" s="50" t="n">
        <f aca="false">AW75*(1+union_nat)+AE76*family_mult</f>
        <v>703030.902251447</v>
      </c>
      <c r="AX76" s="70" t="n">
        <f aca="false">V76-(AV76+AW76)/1000000</f>
        <v>75.5388156618415</v>
      </c>
      <c r="AY76" s="50" t="n">
        <f aca="false">L76*gw_union</f>
        <v>142191.337446455</v>
      </c>
      <c r="AZ76" s="49" t="n">
        <v>1.054</v>
      </c>
      <c r="BA76" s="50" t="n">
        <f aca="false">Economy!Q76*AZ76/lf_rate</f>
        <v>1204.57142857143</v>
      </c>
      <c r="BB76" s="67" t="n">
        <f aca="false">bd_growth*AU75/W75</f>
        <v>0.00145043652769014</v>
      </c>
      <c r="BC76" s="67" t="n">
        <f aca="false">tg_k*MIN(1,Economy!O75/BK75)</f>
        <v>0.00146998952801991</v>
      </c>
      <c r="BD76" s="67" t="n">
        <f aca="false">emu_g*S76</f>
        <v>0.0015</v>
      </c>
      <c r="BE76" s="68" t="n">
        <f aca="false">BE75*(1-BB76-BC76+BD76)</f>
        <v>0.954716119006251</v>
      </c>
      <c r="BF76" s="49" t="n">
        <v>1</v>
      </c>
      <c r="BG76" s="56" t="n">
        <f aca="false">AU76*BA76*BE76*(skill_rel-1+skill_spill)/1000000</f>
        <v>289.323867763645</v>
      </c>
      <c r="BH76" s="56" t="n">
        <f aca="false">union_disp*(Champions!AP76+Champions!AZ76)*(1-IF(union_resp=2,mkt_cut*S76,0))</f>
        <v>358.130881296408</v>
      </c>
      <c r="BI76" s="56" t="n">
        <f aca="false">AY76*BA76*BE76/1000000</f>
        <v>163.523416437394</v>
      </c>
      <c r="BJ76" s="50" t="n">
        <f aca="false">V76*Economy!Q76*AZ76</f>
        <v>39780.4896</v>
      </c>
      <c r="BK76" s="50" t="n">
        <f aca="false">MAX(0.3*BJ76,AX76*Economy!Q76*AZ76*BE76*BF76-BG76-BH76-BI76)</f>
        <v>35675.0235955477</v>
      </c>
      <c r="BL76" s="66" t="n">
        <f aca="false">1-BK76/BJ76</f>
        <v>0.103203003425385</v>
      </c>
      <c r="BM76" s="50" t="n">
        <f aca="false">MAX(0,BH76-BH75)*1000000/BA76</f>
        <v>48702.8745744483</v>
      </c>
      <c r="BN76" s="50" t="n">
        <f aca="false">BN75*(1-IF(AND($A76&gt;=1930,$A76&lt;=1932),0,union_reabsorb))+BM76</f>
        <v>131369.369477393</v>
      </c>
      <c r="BO76" s="62" t="n">
        <v>0.051</v>
      </c>
      <c r="BP76" s="66" t="n">
        <f aca="false">BO76+BN76/(AX76*1000000*lf_rate)</f>
        <v>0.0551407084596299</v>
      </c>
    </row>
    <row r="77" customFormat="false" ht="14.25" hidden="false" customHeight="false" outlineLevel="0" collapsed="false">
      <c r="A77" s="64" t="n">
        <v>1917</v>
      </c>
      <c r="B77" s="50" t="n">
        <f aca="false">Economy!B77*lf_rate</f>
        <v>7172957.47290461</v>
      </c>
      <c r="C77" s="50" t="n">
        <f aca="false">Economy!O77*1000000/(B77+L77)</f>
        <v>2920.92034087945</v>
      </c>
      <c r="D77" s="50" t="n">
        <f aca="false">Champions!AP77*1000000/(C77*champ_prem)</f>
        <v>301278.710487463</v>
      </c>
      <c r="E77" s="50" t="n">
        <f aca="false">D77*job_mult</f>
        <v>210895.097341224</v>
      </c>
      <c r="F77" s="50" t="n">
        <f aca="false">D77+E77</f>
        <v>512173.807828687</v>
      </c>
      <c r="G77" s="66" t="n">
        <f aca="false">F77/B77</f>
        <v>0.0714034357185849</v>
      </c>
      <c r="H77" s="50" t="n">
        <f aca="false">F77-F76</f>
        <v>-28183.7380922141</v>
      </c>
      <c r="I77" s="66" t="n">
        <f aca="false">MAX(0.005,pac_u_base*IF(Paths!AC77=1,pac_u_war,1)+(okun*(1-Economy!G77)*(B77+L77)-MAX(0,L76-L77))/B77)</f>
        <v>0.009</v>
      </c>
      <c r="J77" s="50" t="n">
        <f aca="false">IF(AND(gw_on=1,$A77&gt;=gw_start),MIN(gw_cap*B76,gw_cover*F76+gw_gen*B76),0)</f>
        <v>881534.217128718</v>
      </c>
      <c r="K77" s="50" t="n">
        <f aca="false">L76*gw_conv</f>
        <v>21328.7006169683</v>
      </c>
      <c r="L77" s="50" t="n">
        <f aca="false">MAX(0,L76-K77+gw_adj*(J77-L76))*MAX(0,1-gw_slump*(1-Economy!G77))</f>
        <v>757858.998573884</v>
      </c>
      <c r="M77" s="50" t="n">
        <f aca="false">MAX(0,L77-L76+L76/gw_term)</f>
        <v>283887.873752367</v>
      </c>
      <c r="N77" s="66" t="n">
        <f aca="false">L77/B77</f>
        <v>0.105655024644528</v>
      </c>
      <c r="O77" s="56" t="n">
        <f aca="false">Economy!L77</f>
        <v>1292.44560629458</v>
      </c>
      <c r="P77" s="56" t="n">
        <f aca="false">O77*gw_wage_share</f>
        <v>840.089644091479</v>
      </c>
      <c r="Q77" s="56" t="n">
        <f aca="false">P77*gw_levy</f>
        <v>210.02241102287</v>
      </c>
      <c r="R77" s="56" t="n">
        <f aca="false">P77*gw_remit</f>
        <v>210.02241102287</v>
      </c>
      <c r="S77" s="66" t="n">
        <f aca="false">IF(union_resp&gt;=1,MIN(1,MAX(0,($A77-resp_start)/(resp_full-resp_start))),0)</f>
        <v>1</v>
      </c>
      <c r="T77" s="70" t="n">
        <f aca="false">Economy!R76</f>
        <v>2.21816681750499</v>
      </c>
      <c r="U77" s="70" t="n">
        <f aca="false">MAX(0,T77-gap_base)</f>
        <v>0.718166817504987</v>
      </c>
      <c r="V77" s="71" t="n">
        <v>79.47</v>
      </c>
      <c r="W77" s="50" t="n">
        <f aca="false">V77*1000000*lf_rate*union_skill_share</f>
        <v>4005288</v>
      </c>
      <c r="X77" s="48" t="n">
        <v>45000</v>
      </c>
      <c r="Y77" s="50" t="n">
        <f aca="false">IF(AND(mig_endo=1,$A77&gt;=talent_start),talent_rate_u*W77*U77*(1-(1-bd_keep)*S77),0)</f>
        <v>9578.62823738255</v>
      </c>
      <c r="Z77" s="50" t="n">
        <f aca="false">IF(AND(mig_endo=1,$A77&gt;=talent_start),X77*MIN(0.5,talent_share_o*U77)*(1-eu_comp*S77),0)</f>
        <v>6108.00878287992</v>
      </c>
      <c r="AA77" s="48" t="n">
        <v>67000</v>
      </c>
      <c r="AB77" s="50" t="n">
        <f aca="false">IF(AND(mig_endo=1,$A77&gt;=talent_start),AA77*MIN(0.5,talent_share_a*U77),0)</f>
        <v>9623.43535456683</v>
      </c>
      <c r="AC77" s="50" t="n">
        <f aca="false">entry_cap*People!B77</f>
        <v>50528.7101849381</v>
      </c>
      <c r="AD77" s="50" t="n">
        <f aca="false">MIN(AC77,Y77+Z77+AB77)</f>
        <v>25310.0723748293</v>
      </c>
      <c r="AE77" s="50" t="n">
        <f aca="false">IF(Y77+Z77+AB77&gt;0,AD77*Y77/(Y77+Z77+AB77),0)</f>
        <v>9578.62823738255</v>
      </c>
      <c r="AF77" s="50" t="n">
        <f aca="false">IF(Y77+Z77+AB77&gt;0,AD77*AB77/(Y77+Z77+AB77),0)</f>
        <v>9623.43535456683</v>
      </c>
      <c r="AG77" s="50" t="n">
        <f aca="false">AD77*family_mult</f>
        <v>55682.1592246245</v>
      </c>
      <c r="AH77" s="50" t="n">
        <f aca="false">AH76*(1+Paths!C77)+AG77</f>
        <v>1905644.8132165</v>
      </c>
      <c r="AI77" s="50" t="n">
        <f aca="false">IF(AND(mig_endo=1,$A77&gt;=talent_start),chain_rate*AH76,0)</f>
        <v>27339.3495663824</v>
      </c>
      <c r="AJ77" s="50" t="n">
        <f aca="false">IF(AND(mig_endo=1,$A77&gt;=talent_start),IF(H76&gt;0,H76*job_fill,H76*job_return)*job_family,0)</f>
        <v>20877.5440492602</v>
      </c>
      <c r="AK77" s="50" t="n">
        <f aca="false">K77*gw_conv_family</f>
        <v>38391.6611105429</v>
      </c>
      <c r="AL77" s="50" t="n">
        <f aca="false">AG77+AI77+AJ77+AK77+AR77</f>
        <v>165290.006281407</v>
      </c>
      <c r="AM77" s="50" t="n">
        <f aca="false">AM76*(1-skill_ret)+AD77</f>
        <v>508790.74837585</v>
      </c>
      <c r="AN77" s="67" t="n">
        <f aca="false">AM77/B77</f>
        <v>0.0709317949113424</v>
      </c>
      <c r="AO77" s="67" t="n">
        <f aca="false">(skill_rel-1+skill_spill)*AM76/B76-AT77</f>
        <v>0.0734853992465683</v>
      </c>
      <c r="AP77" s="67" t="n">
        <f aca="false">talent_champ*AM76/(skill_base_share*B76)</f>
        <v>0.142360695503409</v>
      </c>
      <c r="AQ77" s="48" t="n">
        <v>183000</v>
      </c>
      <c r="AR77" s="50" t="n">
        <f aca="false">IF(AND(div_on=1,$A77&gt;=div_start),AQ77*MIN(div_max,div_rate*U77)*(1-div_comp*S77),0)</f>
        <v>22999.2923305972</v>
      </c>
      <c r="AS77" s="50" t="n">
        <f aca="false">AS76*(1-div_assim)+AR77</f>
        <v>1223664.9589713</v>
      </c>
      <c r="AT77" s="67" t="n">
        <f aca="false">(1-div_rel)*AS76/Economy!B76</f>
        <v>0.0190490528306476</v>
      </c>
      <c r="AU77" s="50" t="n">
        <f aca="false">AU76*(1-skill_ret)+AE77</f>
        <v>198264.208911899</v>
      </c>
      <c r="AV77" s="50" t="n">
        <f aca="false">AV76*(1+union_nat)+AR77</f>
        <v>2442198.72290443</v>
      </c>
      <c r="AW77" s="50" t="n">
        <f aca="false">AW76*(1+union_nat)+AE77*family_mult</f>
        <v>733243.286102957</v>
      </c>
      <c r="AX77" s="70" t="n">
        <f aca="false">V77-(AV77+AW77)/1000000</f>
        <v>76.2945579909926</v>
      </c>
      <c r="AY77" s="50" t="n">
        <f aca="false">L77*gw_union</f>
        <v>151571.799714777</v>
      </c>
      <c r="AZ77" s="49" t="n">
        <v>1.055</v>
      </c>
      <c r="BA77" s="50" t="n">
        <f aca="false">Economy!Q77*AZ77/lf_rate</f>
        <v>1456.90476190476</v>
      </c>
      <c r="BB77" s="67" t="n">
        <f aca="false">bd_growth*AU76/W76</f>
        <v>0.00146499633974888</v>
      </c>
      <c r="BC77" s="67" t="n">
        <f aca="false">tg_k*MIN(1,Economy!O76/BK76)</f>
        <v>0.00154876173313225</v>
      </c>
      <c r="BD77" s="67" t="n">
        <f aca="false">emu_g*S77</f>
        <v>0.0015</v>
      </c>
      <c r="BE77" s="68" t="n">
        <f aca="false">BE76*(1-BB77-BC77+BD77)</f>
        <v>0.953270909773796</v>
      </c>
      <c r="BF77" s="49" t="n">
        <v>1</v>
      </c>
      <c r="BG77" s="56" t="n">
        <f aca="false">AU77*BA77*BE77*(skill_rel-1+skill_spill)/1000000</f>
        <v>357.96055832456</v>
      </c>
      <c r="BH77" s="56" t="n">
        <f aca="false">union_disp*(Champions!AP77+Champions!AZ77)*(1-IF(union_resp=2,mkt_cut*S77,0))</f>
        <v>409.890245181258</v>
      </c>
      <c r="BI77" s="56" t="n">
        <f aca="false">AY77*BA77*BE77/1000000</f>
        <v>210.506693800655</v>
      </c>
      <c r="BJ77" s="50" t="n">
        <f aca="false">V77*Economy!Q77*AZ77</f>
        <v>48627.693</v>
      </c>
      <c r="BK77" s="50" t="n">
        <f aca="false">MAX(0.3*BJ77,AX77*Economy!Q77*AZ77*BE77*BF77-BG77-BH77-BI77)</f>
        <v>43524.7517810231</v>
      </c>
      <c r="BL77" s="66" t="n">
        <f aca="false">1-BK77/BJ77</f>
        <v>0.104938994720085</v>
      </c>
      <c r="BM77" s="50" t="n">
        <f aca="false">MAX(0,BH77-BH76)*1000000/BA77</f>
        <v>35526.937132925</v>
      </c>
      <c r="BN77" s="50" t="n">
        <f aca="false">BN76*(1-IF(AND($A77&gt;=1930,$A77&lt;=1932),0,union_reabsorb))+BM77</f>
        <v>134053.96424097</v>
      </c>
      <c r="BO77" s="62" t="n">
        <v>0.033</v>
      </c>
      <c r="BP77" s="66" t="n">
        <f aca="false">BO77+BN77/(AX77*1000000*lf_rate)</f>
        <v>0.0371834714524898</v>
      </c>
    </row>
    <row r="78" customFormat="false" ht="14.25" hidden="false" customHeight="false" outlineLevel="0" collapsed="false">
      <c r="A78" s="64" t="n">
        <v>1918</v>
      </c>
      <c r="B78" s="50" t="n">
        <f aca="false">Economy!B78*lf_rate</f>
        <v>7327671.8646528</v>
      </c>
      <c r="C78" s="50" t="n">
        <f aca="false">Economy!O78*1000000/(B78+L78)</f>
        <v>3435.25794143347</v>
      </c>
      <c r="D78" s="50" t="n">
        <f aca="false">Champions!AP78*1000000/(C78*champ_prem)</f>
        <v>290424.739246619</v>
      </c>
      <c r="E78" s="50" t="n">
        <f aca="false">D78*job_mult</f>
        <v>203297.317472633</v>
      </c>
      <c r="F78" s="50" t="n">
        <f aca="false">D78+E78</f>
        <v>493722.056719252</v>
      </c>
      <c r="G78" s="66" t="n">
        <f aca="false">F78/B78</f>
        <v>0.0673777518751716</v>
      </c>
      <c r="H78" s="50" t="n">
        <f aca="false">F78-F77</f>
        <v>-18451.7511094355</v>
      </c>
      <c r="I78" s="66" t="n">
        <f aca="false">MAX(0.005,pac_u_base*IF(Paths!AC78=1,pac_u_war,1)+(okun*(1-Economy!G78)*(B78+L78)-MAX(0,L77-L78))/B78)</f>
        <v>0.009</v>
      </c>
      <c r="J78" s="50" t="n">
        <f aca="false">IF(AND(gw_on=1,$A78&gt;=gw_start),MIN(gw_cap*B77,gw_cover*F77+gw_gen*B77),0)</f>
        <v>881140.882529581</v>
      </c>
      <c r="K78" s="50" t="n">
        <f aca="false">L77*gw_conv</f>
        <v>22735.7699572165</v>
      </c>
      <c r="L78" s="50" t="n">
        <f aca="false">MAX(0,L77-K78+gw_adj*(J78-L77))*MAX(0,1-gw_slump*(1-Economy!G78))</f>
        <v>784435.982198946</v>
      </c>
      <c r="M78" s="50" t="n">
        <f aca="false">MAX(0,L78-L77+L77/gw_term)</f>
        <v>279196.649816357</v>
      </c>
      <c r="N78" s="66" t="n">
        <f aca="false">L78/B78</f>
        <v>0.10705118852045</v>
      </c>
      <c r="O78" s="56" t="n">
        <f aca="false">Economy!L78</f>
        <v>1584.74076522466</v>
      </c>
      <c r="P78" s="56" t="n">
        <f aca="false">O78*gw_wage_share</f>
        <v>1030.08149739603</v>
      </c>
      <c r="Q78" s="56" t="n">
        <f aca="false">P78*gw_levy</f>
        <v>257.520374349007</v>
      </c>
      <c r="R78" s="56" t="n">
        <f aca="false">P78*gw_remit</f>
        <v>257.520374349007</v>
      </c>
      <c r="S78" s="66" t="n">
        <f aca="false">IF(union_resp&gt;=1,MIN(1,MAX(0,($A78-resp_start)/(resp_full-resp_start))),0)</f>
        <v>1</v>
      </c>
      <c r="T78" s="70" t="n">
        <f aca="false">Economy!R77</f>
        <v>2.23925803223568</v>
      </c>
      <c r="U78" s="70" t="n">
        <f aca="false">MAX(0,T78-gap_base)</f>
        <v>0.739258032235683</v>
      </c>
      <c r="V78" s="71" t="n">
        <v>80.31</v>
      </c>
      <c r="W78" s="50" t="n">
        <f aca="false">V78*1000000*lf_rate*union_skill_share</f>
        <v>4047624</v>
      </c>
      <c r="X78" s="48" t="n">
        <v>40000</v>
      </c>
      <c r="Y78" s="50" t="n">
        <f aca="false">IF(AND(mig_endo=1,$A78&gt;=talent_start),talent_rate_u*W78*U78*(1-(1-bd_keep)*S78),0)</f>
        <v>9964.15438305484</v>
      </c>
      <c r="Z78" s="50" t="n">
        <f aca="false">IF(AND(mig_endo=1,$A78&gt;=talent_start),X78*MIN(0.5,talent_share_o*U78)*(1-eu_comp*S78),0)</f>
        <v>5588.79072370176</v>
      </c>
      <c r="AA78" s="48" t="n">
        <v>71000</v>
      </c>
      <c r="AB78" s="50" t="n">
        <f aca="false">IF(AND(mig_endo=1,$A78&gt;=talent_start),AA78*MIN(0.5,talent_share_a*U78),0)</f>
        <v>10497.4640577467</v>
      </c>
      <c r="AC78" s="50" t="n">
        <f aca="false">entry_cap*People!B78</f>
        <v>51942.1108565563</v>
      </c>
      <c r="AD78" s="50" t="n">
        <f aca="false">MIN(AC78,Y78+Z78+AB78)</f>
        <v>26050.4091645033</v>
      </c>
      <c r="AE78" s="50" t="n">
        <f aca="false">IF(Y78+Z78+AB78&gt;0,AD78*Y78/(Y78+Z78+AB78),0)</f>
        <v>9964.15438305484</v>
      </c>
      <c r="AF78" s="50" t="n">
        <f aca="false">IF(Y78+Z78+AB78&gt;0,AD78*AB78/(Y78+Z78+AB78),0)</f>
        <v>10497.4640577467</v>
      </c>
      <c r="AG78" s="50" t="n">
        <f aca="false">AD78*family_mult</f>
        <v>57310.9001619073</v>
      </c>
      <c r="AH78" s="50" t="n">
        <f aca="false">AH77*(1+Paths!C78)+AG78</f>
        <v>1972483.93744449</v>
      </c>
      <c r="AI78" s="50" t="n">
        <f aca="false">IF(AND(mig_endo=1,$A78&gt;=talent_start),chain_rate*AH77,0)</f>
        <v>28584.6721982475</v>
      </c>
      <c r="AJ78" s="50" t="n">
        <f aca="false">IF(AND(mig_endo=1,$A78&gt;=talent_start),IF(H77&gt;0,H77*job_fill,H77*job_return)*job_family,0)</f>
        <v>-15219.2185697956</v>
      </c>
      <c r="AK78" s="50" t="n">
        <f aca="false">K78*gw_conv_family</f>
        <v>40924.3859229898</v>
      </c>
      <c r="AL78" s="50" t="n">
        <f aca="false">AG78+AI78+AJ78+AK78+AR78</f>
        <v>125831.456833886</v>
      </c>
      <c r="AM78" s="50" t="n">
        <f aca="false">AM77*(1-skill_ret)+AD78</f>
        <v>522121.388830957</v>
      </c>
      <c r="AN78" s="67" t="n">
        <f aca="false">AM78/B78</f>
        <v>0.0712533801287643</v>
      </c>
      <c r="AO78" s="67" t="n">
        <f aca="false">(skill_rel-1+skill_spill)*AM77/B77-AT78</f>
        <v>0.0742989421322764</v>
      </c>
      <c r="AP78" s="67" t="n">
        <f aca="false">talent_champ*AM77/(skill_base_share*B77)</f>
        <v>0.141863589822685</v>
      </c>
      <c r="AQ78" s="48" t="n">
        <v>110000</v>
      </c>
      <c r="AR78" s="50" t="n">
        <f aca="false">IF(AND(div_on=1,$A78&gt;=div_start),AQ78*MIN(div_max,div_rate*U78)*(1-div_comp*S78),0)</f>
        <v>14230.7171205369</v>
      </c>
      <c r="AS78" s="50" t="n">
        <f aca="false">AS77*(1-div_assim)+AR78</f>
        <v>1176712.42814327</v>
      </c>
      <c r="AT78" s="67" t="n">
        <f aca="false">(1-div_rel)*AS77/Economy!B77</f>
        <v>0.0179123912524687</v>
      </c>
      <c r="AU78" s="50" t="n">
        <f aca="false">AU77*(1-skill_ret)+AE78</f>
        <v>203271.758072156</v>
      </c>
      <c r="AV78" s="50" t="n">
        <f aca="false">AV77*(1+union_nat)+AR78</f>
        <v>2488178.02342272</v>
      </c>
      <c r="AW78" s="50" t="n">
        <f aca="false">AW77*(1+union_nat)+AE78*family_mult</f>
        <v>764696.588465016</v>
      </c>
      <c r="AX78" s="70" t="n">
        <f aca="false">V78-(AV78+AW78)/1000000</f>
        <v>77.0571253881123</v>
      </c>
      <c r="AY78" s="50" t="n">
        <f aca="false">L78*gw_union</f>
        <v>156887.196439789</v>
      </c>
      <c r="AZ78" s="49" t="n">
        <v>1.056</v>
      </c>
      <c r="BA78" s="50" t="n">
        <f aca="false">Economy!Q78*AZ78/lf_rate</f>
        <v>1855.54285714286</v>
      </c>
      <c r="BB78" s="67" t="n">
        <f aca="false">bd_growth*AU77/W77</f>
        <v>0.00148501837255073</v>
      </c>
      <c r="BC78" s="67" t="n">
        <f aca="false">tg_k*MIN(1,Economy!O77/BK77)</f>
        <v>0.00159669720355006</v>
      </c>
      <c r="BD78" s="67" t="n">
        <f aca="false">emu_g*S78</f>
        <v>0.0015</v>
      </c>
      <c r="BE78" s="68" t="n">
        <f aca="false">BE77*(1-BB78-BC78+BD78)</f>
        <v>0.951763106327563</v>
      </c>
      <c r="BF78" s="49" t="n">
        <v>1</v>
      </c>
      <c r="BG78" s="56" t="n">
        <f aca="false">AU78*BA78*BE78*(skill_rel-1+skill_spill)/1000000</f>
        <v>466.681141293283</v>
      </c>
      <c r="BH78" s="56" t="n">
        <f aca="false">union_disp*(Champions!AP78+Champions!AZ78)*(1-IF(union_resp=2,mkt_cut*S78,0))</f>
        <v>464.01945697732</v>
      </c>
      <c r="BI78" s="56" t="n">
        <f aca="false">AY78*BA78*BE78/1000000</f>
        <v>277.06863039378</v>
      </c>
      <c r="BJ78" s="50" t="n">
        <f aca="false">V78*Economy!Q78*AZ78</f>
        <v>62587.83168</v>
      </c>
      <c r="BK78" s="50" t="n">
        <f aca="false">MAX(0.3*BJ78,AX78*Economy!Q78*AZ78*BE78*BF78-BG78-BH78-BI78)</f>
        <v>55948.2468434</v>
      </c>
      <c r="BL78" s="66" t="n">
        <f aca="false">1-BK78/BJ78</f>
        <v>0.106084276422084</v>
      </c>
      <c r="BM78" s="50" t="n">
        <f aca="false">MAX(0,BH78-BH77)*1000000/BA78</f>
        <v>29171.6311416323</v>
      </c>
      <c r="BN78" s="50" t="n">
        <f aca="false">BN77*(1-IF(AND($A78&gt;=1930,$A78&lt;=1932),0,union_reabsorb))+BM78</f>
        <v>129712.104322359</v>
      </c>
      <c r="BO78" s="62" t="n">
        <v>0.014</v>
      </c>
      <c r="BP78" s="66" t="n">
        <f aca="false">BO78+BN78/(AX78*1000000*lf_rate)</f>
        <v>0.0180079141554937</v>
      </c>
    </row>
    <row r="79" customFormat="false" ht="14.25" hidden="false" customHeight="false" outlineLevel="0" collapsed="false">
      <c r="A79" s="64" t="n">
        <v>1919</v>
      </c>
      <c r="B79" s="50" t="n">
        <f aca="false">Economy!B79*lf_rate</f>
        <v>7505664.7214251</v>
      </c>
      <c r="C79" s="50" t="n">
        <f aca="false">Economy!O79*1000000/(B79+L79)</f>
        <v>3811.93841497472</v>
      </c>
      <c r="D79" s="50" t="n">
        <f aca="false">Champions!AP79*1000000/(C79*champ_prem)</f>
        <v>275571.235945572</v>
      </c>
      <c r="E79" s="50" t="n">
        <f aca="false">D79*job_mult</f>
        <v>192899.8651619</v>
      </c>
      <c r="F79" s="50" t="n">
        <f aca="false">D79+E79</f>
        <v>468471.101107472</v>
      </c>
      <c r="G79" s="66" t="n">
        <f aca="false">F79/B79</f>
        <v>0.0624156711623703</v>
      </c>
      <c r="H79" s="50" t="n">
        <f aca="false">F79-F78</f>
        <v>-25250.9556117796</v>
      </c>
      <c r="I79" s="66" t="n">
        <f aca="false">MAX(0.005,pac_u_base*IF(Paths!AC79=1,pac_u_war,1)+(okun*(1-Economy!G79)*(B79+L79)-MAX(0,L78-L79))/B79)</f>
        <v>0.009</v>
      </c>
      <c r="J79" s="50" t="n">
        <f aca="false">IF(AND(gw_on=1,$A79&gt;=gw_start),MIN(gw_cap*B78,gw_cover*F78+gw_gen*B78),0)</f>
        <v>882446.983203775</v>
      </c>
      <c r="K79" s="50" t="n">
        <f aca="false">L78*gw_conv</f>
        <v>23533.0794659684</v>
      </c>
      <c r="L79" s="50" t="n">
        <f aca="false">MAX(0,L78-K79+gw_adj*(J79-L78))*MAX(0,1-gw_slump*(1-Economy!G79))</f>
        <v>800107.303134909</v>
      </c>
      <c r="M79" s="50" t="n">
        <f aca="false">MAX(0,L79-L78+L78/gw_term)</f>
        <v>277149.981668945</v>
      </c>
      <c r="N79" s="66" t="n">
        <f aca="false">L79/B79</f>
        <v>0.106600458830913</v>
      </c>
      <c r="O79" s="56" t="n">
        <f aca="false">Economy!L79</f>
        <v>1806.92875156756</v>
      </c>
      <c r="P79" s="56" t="n">
        <f aca="false">O79*gw_wage_share</f>
        <v>1174.50368851891</v>
      </c>
      <c r="Q79" s="56" t="n">
        <f aca="false">P79*gw_levy</f>
        <v>293.625922129729</v>
      </c>
      <c r="R79" s="56" t="n">
        <f aca="false">P79*gw_remit</f>
        <v>293.625922129729</v>
      </c>
      <c r="S79" s="66" t="n">
        <f aca="false">IF(union_resp&gt;=1,MIN(1,MAX(0,($A79-resp_start)/(resp_full-resp_start))),0)</f>
        <v>1</v>
      </c>
      <c r="T79" s="70" t="n">
        <f aca="false">Economy!R78</f>
        <v>2.07118882335247</v>
      </c>
      <c r="U79" s="70" t="n">
        <f aca="false">MAX(0,T79-gap_base)</f>
        <v>0.571188823352468</v>
      </c>
      <c r="V79" s="71" t="n">
        <v>81.16</v>
      </c>
      <c r="W79" s="50" t="n">
        <f aca="false">V79*1000000*lf_rate*union_skill_share</f>
        <v>4090464</v>
      </c>
      <c r="X79" s="48" t="n">
        <v>200000</v>
      </c>
      <c r="Y79" s="50" t="n">
        <f aca="false">IF(AND(mig_endo=1,$A79&gt;=talent_start),talent_rate_u*W79*U79*(1-(1-bd_keep)*S79),0)</f>
        <v>7780.30297268834</v>
      </c>
      <c r="Z79" s="50" t="n">
        <f aca="false">IF(AND(mig_endo=1,$A79&gt;=talent_start),X79*MIN(0.5,talent_share_o*U79)*(1-eu_comp*S79),0)</f>
        <v>21590.9375227233</v>
      </c>
      <c r="AA79" s="48" t="n">
        <v>76000</v>
      </c>
      <c r="AB79" s="50" t="n">
        <f aca="false">IF(AND(mig_endo=1,$A79&gt;=talent_start),AA79*MIN(0.5,talent_share_a*U79),0)</f>
        <v>8682.07011495751</v>
      </c>
      <c r="AC79" s="50" t="n">
        <f aca="false">entry_cap*People!B79</f>
        <v>52738.9157813408</v>
      </c>
      <c r="AD79" s="50" t="n">
        <f aca="false">MIN(AC79,Y79+Z79+AB79)</f>
        <v>38053.3106103691</v>
      </c>
      <c r="AE79" s="50" t="n">
        <f aca="false">IF(Y79+Z79+AB79&gt;0,AD79*Y79/(Y79+Z79+AB79),0)</f>
        <v>7780.30297268834</v>
      </c>
      <c r="AF79" s="50" t="n">
        <f aca="false">IF(Y79+Z79+AB79&gt;0,AD79*AB79/(Y79+Z79+AB79),0)</f>
        <v>8682.07011495751</v>
      </c>
      <c r="AG79" s="50" t="n">
        <f aca="false">AD79*family_mult</f>
        <v>83717.2833428121</v>
      </c>
      <c r="AH79" s="50" t="n">
        <f aca="false">AH78*(1+Paths!C79)+AG79</f>
        <v>2085788.47984897</v>
      </c>
      <c r="AI79" s="50" t="n">
        <f aca="false">IF(AND(mig_endo=1,$A79&gt;=talent_start),chain_rate*AH78,0)</f>
        <v>29587.2590616673</v>
      </c>
      <c r="AJ79" s="50" t="n">
        <f aca="false">IF(AND(mig_endo=1,$A79&gt;=talent_start),IF(H78&gt;0,H78*job_fill,H78*job_return)*job_family,0)</f>
        <v>-9963.94559909515</v>
      </c>
      <c r="AK79" s="50" t="n">
        <f aca="false">K79*gw_conv_family</f>
        <v>42359.5430387431</v>
      </c>
      <c r="AL79" s="50" t="n">
        <f aca="false">AG79+AI79+AJ79+AK79+AR79</f>
        <v>172688.811747532</v>
      </c>
      <c r="AM79" s="50" t="n">
        <f aca="false">AM78*(1-skill_ret)+AD79</f>
        <v>547121.664720552</v>
      </c>
      <c r="AN79" s="67" t="n">
        <f aca="false">AM79/B79</f>
        <v>0.07289449835919</v>
      </c>
      <c r="AO79" s="67" t="n">
        <f aca="false">(skill_rel-1+skill_spill)*AM78/B78-AT79</f>
        <v>0.0757679943616727</v>
      </c>
      <c r="AP79" s="67" t="n">
        <f aca="false">talent_champ*AM78/(skill_base_share*B78)</f>
        <v>0.142506760257529</v>
      </c>
      <c r="AQ79" s="48" t="n">
        <v>270000</v>
      </c>
      <c r="AR79" s="50" t="n">
        <f aca="false">IF(AND(div_on=1,$A79&gt;=div_start),AQ79*MIN(div_max,div_rate*U79)*(1-div_comp*S79),0)</f>
        <v>26988.6719034041</v>
      </c>
      <c r="AS79" s="50" t="n">
        <f aca="false">AS78*(1-div_assim)+AR79</f>
        <v>1144865.47863951</v>
      </c>
      <c r="AT79" s="67" t="n">
        <f aca="false">(1-div_rel)*AS78/Economy!B78</f>
        <v>0.0168613998057209</v>
      </c>
      <c r="AU79" s="50" t="n">
        <f aca="false">AU78*(1-skill_ret)+AE79</f>
        <v>205970.26709304</v>
      </c>
      <c r="AV79" s="50" t="n">
        <f aca="false">AV78*(1+union_nat)+AR79</f>
        <v>2547513.00963062</v>
      </c>
      <c r="AW79" s="50" t="n">
        <f aca="false">AW78*(1+union_nat)+AE79*family_mult</f>
        <v>791754.310654976</v>
      </c>
      <c r="AX79" s="70" t="n">
        <f aca="false">V79-(AV79+AW79)/1000000</f>
        <v>77.8207326797144</v>
      </c>
      <c r="AY79" s="50" t="n">
        <f aca="false">L79*gw_union</f>
        <v>160021.460626982</v>
      </c>
      <c r="AZ79" s="49" t="n">
        <v>1.057</v>
      </c>
      <c r="BA79" s="50" t="n">
        <f aca="false">Economy!Q79*AZ79/lf_rate</f>
        <v>2013.33333333333</v>
      </c>
      <c r="BB79" s="67" t="n">
        <f aca="false">bd_growth*AU78/W78</f>
        <v>0.00150660059881172</v>
      </c>
      <c r="BC79" s="67" t="n">
        <f aca="false">tg_k*MIN(1,Economy!O78/BK78)</f>
        <v>0.00149426574423304</v>
      </c>
      <c r="BD79" s="67" t="n">
        <f aca="false">emu_g*S79</f>
        <v>0.0015</v>
      </c>
      <c r="BE79" s="68" t="n">
        <f aca="false">BE78*(1-BB79-BC79+BD79)</f>
        <v>0.950334637114724</v>
      </c>
      <c r="BF79" s="49" t="n">
        <v>1</v>
      </c>
      <c r="BG79" s="56" t="n">
        <f aca="false">AU79*BA79*BE79*(skill_rel-1+skill_spill)/1000000</f>
        <v>512.318603925742</v>
      </c>
      <c r="BH79" s="56" t="n">
        <f aca="false">union_disp*(Champions!AP79+Champions!AZ79)*(1-IF(union_resp=2,mkt_cut*S79,0))</f>
        <v>494.777805068279</v>
      </c>
      <c r="BI79" s="56" t="n">
        <f aca="false">AY79*BA79*BE79/1000000</f>
        <v>306.175525920562</v>
      </c>
      <c r="BJ79" s="50" t="n">
        <f aca="false">V79*Economy!Q79*AZ79</f>
        <v>68628.896</v>
      </c>
      <c r="BK79" s="50" t="n">
        <f aca="false">MAX(0.3*BJ79,AX79*Economy!Q79*AZ79*BE79*BF79-BG79-BH79-BI79)</f>
        <v>61223.6999074818</v>
      </c>
      <c r="BL79" s="66" t="n">
        <f aca="false">1-BK79/BJ79</f>
        <v>0.107902013934745</v>
      </c>
      <c r="BM79" s="50" t="n">
        <f aca="false">MAX(0,BH79-BH78)*1000000/BA79</f>
        <v>15277.3252107414</v>
      </c>
      <c r="BN79" s="50" t="n">
        <f aca="false">BN78*(1-IF(AND($A79&gt;=1930,$A79&lt;=1932),0,union_reabsorb))+BM79</f>
        <v>112561.403452511</v>
      </c>
      <c r="BO79" s="62" t="n">
        <v>0.014</v>
      </c>
      <c r="BP79" s="66" t="n">
        <f aca="false">BO79+BN79/(AX79*1000000*lf_rate)</f>
        <v>0.0174438552854111</v>
      </c>
    </row>
    <row r="80" customFormat="false" ht="14.25" hidden="false" customHeight="false" outlineLevel="0" collapsed="false">
      <c r="A80" s="64" t="n">
        <v>1920</v>
      </c>
      <c r="B80" s="50" t="n">
        <f aca="false">Economy!B80*lf_rate</f>
        <v>7757041.19833048</v>
      </c>
      <c r="C80" s="50" t="n">
        <f aca="false">Economy!O80*1000000/(B80+L80)</f>
        <v>4329.6796069507</v>
      </c>
      <c r="D80" s="50" t="n">
        <f aca="false">Champions!AP80*1000000/(C80*champ_prem)</f>
        <v>255931.098135643</v>
      </c>
      <c r="E80" s="50" t="n">
        <f aca="false">D80*job_mult</f>
        <v>179151.76869495</v>
      </c>
      <c r="F80" s="50" t="n">
        <f aca="false">D80+E80</f>
        <v>435082.866830594</v>
      </c>
      <c r="G80" s="66" t="n">
        <f aca="false">F80/B80</f>
        <v>0.0560887657686071</v>
      </c>
      <c r="H80" s="50" t="n">
        <f aca="false">F80-F79</f>
        <v>-33388.2342768786</v>
      </c>
      <c r="I80" s="66" t="n">
        <f aca="false">MAX(0.005,pac_u_base*IF(Paths!AC80=1,pac_u_war,1)+(okun*(1-Economy!G80)*(B80+L80)-MAX(0,L79-L80))/B80)</f>
        <v>0.009</v>
      </c>
      <c r="J80" s="50" t="n">
        <f aca="false">IF(AND(gw_on=1,$A80&gt;=gw_start),MIN(gw_cap*B79,gw_cover*F79+gw_gen*B79),0)</f>
        <v>881535.838378491</v>
      </c>
      <c r="K80" s="50" t="n">
        <f aca="false">L79*gw_conv</f>
        <v>24003.2190940473</v>
      </c>
      <c r="L80" s="50" t="n">
        <f aca="false">MAX(0,L79-K80+gw_adj*(J80-L79))*MAX(0,1-gw_slump*(1-Economy!G80))</f>
        <v>808675.498138295</v>
      </c>
      <c r="M80" s="50" t="n">
        <f aca="false">MAX(0,L80-L79+L79/gw_term)</f>
        <v>275270.629381689</v>
      </c>
      <c r="N80" s="66" t="n">
        <f aca="false">L80/B80</f>
        <v>0.104250509628896</v>
      </c>
      <c r="O80" s="56" t="n">
        <f aca="false">Economy!L80</f>
        <v>2083.86761025845</v>
      </c>
      <c r="P80" s="56" t="n">
        <f aca="false">O80*gw_wage_share</f>
        <v>1354.51394666799</v>
      </c>
      <c r="Q80" s="56" t="n">
        <f aca="false">P80*gw_levy</f>
        <v>338.628486666997</v>
      </c>
      <c r="R80" s="56" t="n">
        <f aca="false">P80*gw_remit</f>
        <v>338.628486666997</v>
      </c>
      <c r="S80" s="66" t="n">
        <f aca="false">IF(union_resp&gt;=1,MIN(1,MAX(0,($A80-resp_start)/(resp_full-resp_start))),0)</f>
        <v>1</v>
      </c>
      <c r="T80" s="70" t="n">
        <f aca="false">Economy!R79</f>
        <v>2.11970009821665</v>
      </c>
      <c r="U80" s="70" t="n">
        <f aca="false">MAX(0,T80-gap_base)</f>
        <v>0.619700098216649</v>
      </c>
      <c r="V80" s="71" t="n">
        <v>82</v>
      </c>
      <c r="W80" s="50" t="n">
        <f aca="false">V80*1000000*lf_rate*union_skill_share</f>
        <v>4132800</v>
      </c>
      <c r="X80" s="48" t="n">
        <v>190000</v>
      </c>
      <c r="Y80" s="50" t="n">
        <f aca="false">IF(AND(mig_endo=1,$A80&gt;=talent_start),talent_rate_u*W80*U80*(1-(1-bd_keep)*S80),0)</f>
        <v>8528.45156447952</v>
      </c>
      <c r="Z80" s="50" t="n">
        <f aca="false">IF(AND(mig_endo=1,$A80&gt;=talent_start),X80*MIN(0.5,talent_share_o*U80)*(1-eu_comp*S80),0)</f>
        <v>22253.4305269599</v>
      </c>
      <c r="AA80" s="48" t="n">
        <v>80000</v>
      </c>
      <c r="AB80" s="50" t="n">
        <f aca="false">IF(AND(mig_endo=1,$A80&gt;=talent_start),AA80*MIN(0.5,talent_share_a*U80),0)</f>
        <v>9915.20157146638</v>
      </c>
      <c r="AC80" s="50" t="n">
        <f aca="false">entry_cap*People!B80</f>
        <v>54484.8659533035</v>
      </c>
      <c r="AD80" s="50" t="n">
        <f aca="false">MIN(AC80,Y80+Z80+AB80)</f>
        <v>40697.0836629058</v>
      </c>
      <c r="AE80" s="50" t="n">
        <f aca="false">IF(Y80+Z80+AB80&gt;0,AD80*Y80/(Y80+Z80+AB80),0)</f>
        <v>8528.45156447952</v>
      </c>
      <c r="AF80" s="50" t="n">
        <f aca="false">IF(Y80+Z80+AB80&gt;0,AD80*AB80/(Y80+Z80+AB80),0)</f>
        <v>9915.20157146638</v>
      </c>
      <c r="AG80" s="50" t="n">
        <f aca="false">AD80*family_mult</f>
        <v>89533.5840583927</v>
      </c>
      <c r="AH80" s="50" t="n">
        <f aca="false">AH79*(1+Paths!C80)+AG80</f>
        <v>2206608.8911051</v>
      </c>
      <c r="AI80" s="50" t="n">
        <f aca="false">IF(AND(mig_endo=1,$A80&gt;=talent_start),chain_rate*AH79,0)</f>
        <v>31286.8271977345</v>
      </c>
      <c r="AJ80" s="50" t="n">
        <f aca="false">IF(AND(mig_endo=1,$A80&gt;=talent_start),IF(H79&gt;0,H79*job_fill,H79*job_return)*job_family,0)</f>
        <v>-13635.516030361</v>
      </c>
      <c r="AK80" s="50" t="n">
        <f aca="false">K80*gw_conv_family</f>
        <v>43205.7943692851</v>
      </c>
      <c r="AL80" s="50" t="n">
        <f aca="false">AG80+AI80+AJ80+AK80+AR80</f>
        <v>197023.121985854</v>
      </c>
      <c r="AM80" s="50" t="n">
        <f aca="false">AM79*(1-skill_ret)+AD80</f>
        <v>574140.706765444</v>
      </c>
      <c r="AN80" s="67" t="n">
        <f aca="false">AM80/B80</f>
        <v>0.0740154257384909</v>
      </c>
      <c r="AO80" s="67" t="n">
        <f aca="false">(skill_rel-1+skill_spill)*AM79/B79-AT80</f>
        <v>0.078746828004775</v>
      </c>
      <c r="AP80" s="67" t="n">
        <f aca="false">talent_champ*AM79/(skill_base_share*B79)</f>
        <v>0.14578899671838</v>
      </c>
      <c r="AQ80" s="48" t="n">
        <v>430000</v>
      </c>
      <c r="AR80" s="50" t="n">
        <f aca="false">IF(AND(div_on=1,$A80&gt;=div_start),AQ80*MIN(div_max,div_rate*U80)*(1-div_comp*S80),0)</f>
        <v>46632.4323908028</v>
      </c>
      <c r="AS80" s="50" t="n">
        <f aca="false">AS79*(1-div_assim)+AR80</f>
        <v>1134254.63709834</v>
      </c>
      <c r="AT80" s="67" t="n">
        <f aca="false">(1-div_rel)*AS79/Economy!B79</f>
        <v>0.0160160198621721</v>
      </c>
      <c r="AU80" s="50" t="n">
        <f aca="false">AU79*(1-skill_ret)+AE80</f>
        <v>209349.461980194</v>
      </c>
      <c r="AV80" s="50" t="n">
        <f aca="false">AV79*(1+union_nat)+AR80</f>
        <v>2627263.11114662</v>
      </c>
      <c r="AW80" s="50" t="n">
        <f aca="false">AW79*(1+union_nat)+AE80*family_mult</f>
        <v>820809.710135345</v>
      </c>
      <c r="AX80" s="70" t="n">
        <f aca="false">V80-(AV80+AW80)/1000000</f>
        <v>78.551927178718</v>
      </c>
      <c r="AY80" s="50" t="n">
        <f aca="false">L80*gw_union</f>
        <v>161735.099627659</v>
      </c>
      <c r="AZ80" s="49" t="n">
        <v>1.058</v>
      </c>
      <c r="BA80" s="50" t="n">
        <f aca="false">Economy!Q80*AZ80/lf_rate</f>
        <v>2166.38095238095</v>
      </c>
      <c r="BB80" s="67" t="n">
        <f aca="false">bd_growth*AU79/W79</f>
        <v>0.00151061298004119</v>
      </c>
      <c r="BC80" s="67" t="n">
        <f aca="false">tg_k*MIN(1,Economy!O79/BK79)</f>
        <v>0.00155141349645418</v>
      </c>
      <c r="BD80" s="67" t="n">
        <f aca="false">emu_g*S80</f>
        <v>0.0015</v>
      </c>
      <c r="BE80" s="68" t="n">
        <f aca="false">BE79*(1-BB80-BC80+BD80)</f>
        <v>0.94885018925002</v>
      </c>
      <c r="BF80" s="49" t="n">
        <v>1</v>
      </c>
      <c r="BG80" s="56" t="n">
        <f aca="false">AU80*BA80*BE80*(skill_rel-1+skill_spill)/1000000</f>
        <v>559.432481432085</v>
      </c>
      <c r="BH80" s="56" t="n">
        <f aca="false">union_disp*(Champions!AP80+Champions!AZ80)*(1-IF(union_resp=2,mkt_cut*S80,0))</f>
        <v>528.248368587617</v>
      </c>
      <c r="BI80" s="56" t="n">
        <f aca="false">AY80*BA80*BE80/1000000</f>
        <v>332.457976700908</v>
      </c>
      <c r="BJ80" s="50" t="n">
        <f aca="false">V80*Economy!Q80*AZ80</f>
        <v>74610.16</v>
      </c>
      <c r="BK80" s="50" t="n">
        <f aca="false">MAX(0.3*BJ80,AX80*Economy!Q80*AZ80*BE80*BF80-BG80-BH80-BI80)</f>
        <v>66396.8670741902</v>
      </c>
      <c r="BL80" s="66" t="n">
        <f aca="false">1-BK80/BJ80</f>
        <v>0.110082767893941</v>
      </c>
      <c r="BM80" s="50" t="n">
        <f aca="false">MAX(0,BH80-BH79)*1000000/BA80</f>
        <v>15449.9897548266</v>
      </c>
      <c r="BN80" s="50" t="n">
        <f aca="false">BN79*(1-IF(AND($A80&gt;=1930,$A80&lt;=1932),0,union_reabsorb))+BM80</f>
        <v>99871.0423442099</v>
      </c>
      <c r="BO80" s="62" t="n">
        <v>0.052</v>
      </c>
      <c r="BP80" s="66" t="n">
        <f aca="false">BO80+BN80/(AX80*1000000*lf_rate)</f>
        <v>0.0550271465589461</v>
      </c>
    </row>
    <row r="81" customFormat="false" ht="14.25" hidden="false" customHeight="false" outlineLevel="0" collapsed="false">
      <c r="A81" s="64" t="n">
        <v>1921</v>
      </c>
      <c r="B81" s="50" t="n">
        <f aca="false">Economy!B81*lf_rate</f>
        <v>8032106.26533137</v>
      </c>
      <c r="C81" s="50" t="n">
        <f aca="false">Economy!O81*1000000/(B81+L81)</f>
        <v>3462.50427863654</v>
      </c>
      <c r="D81" s="50" t="n">
        <f aca="false">Champions!AP81*1000000/(C81*champ_prem)</f>
        <v>289941.38673436</v>
      </c>
      <c r="E81" s="50" t="n">
        <f aca="false">D81*job_mult</f>
        <v>202958.970714052</v>
      </c>
      <c r="F81" s="50" t="n">
        <f aca="false">D81+E81</f>
        <v>492900.357448412</v>
      </c>
      <c r="G81" s="66" t="n">
        <f aca="false">F81/B81</f>
        <v>0.0613662644848084</v>
      </c>
      <c r="H81" s="50" t="n">
        <f aca="false">F81-F80</f>
        <v>57817.4906178179</v>
      </c>
      <c r="I81" s="66" t="n">
        <f aca="false">MAX(0.005,pac_u_base*IF(Paths!AC81=1,pac_u_war,1)+(okun*(1-Economy!G81)*(B81+L81)-MAX(0,L80-L81))/B81)</f>
        <v>0.0364153169731359</v>
      </c>
      <c r="J81" s="50" t="n">
        <f aca="false">IF(AND(gw_on=1,$A81&gt;=gw_start),MIN(gw_cap*B80,gw_cover*F80+gw_gen*B80),0)</f>
        <v>881613.015964795</v>
      </c>
      <c r="K81" s="50" t="n">
        <f aca="false">L80*gw_conv</f>
        <v>24260.2649441488</v>
      </c>
      <c r="L81" s="50" t="n">
        <f aca="false">MAX(0,L80-K81+gw_adj*(J81-L80))*MAX(0,1-gw_slump*(1-Economy!G81))</f>
        <v>722468.133408375</v>
      </c>
      <c r="M81" s="50" t="n">
        <f aca="false">MAX(0,L81-L80+L80/gw_term)</f>
        <v>183351.134649511</v>
      </c>
      <c r="N81" s="66" t="n">
        <f aca="false">L81/B81</f>
        <v>0.0899475317609694</v>
      </c>
      <c r="O81" s="56" t="n">
        <f aca="false">Economy!L81</f>
        <v>1476.40466470057</v>
      </c>
      <c r="P81" s="56" t="n">
        <f aca="false">O81*gw_wage_share</f>
        <v>959.663032055368</v>
      </c>
      <c r="Q81" s="56" t="n">
        <f aca="false">P81*gw_levy</f>
        <v>239.915758013842</v>
      </c>
      <c r="R81" s="56" t="n">
        <f aca="false">P81*gw_remit</f>
        <v>239.915758013842</v>
      </c>
      <c r="S81" s="66" t="n">
        <f aca="false">IF(union_resp&gt;=1,MIN(1,MAX(0,($A81-resp_start)/(resp_full-resp_start))),0)</f>
        <v>1</v>
      </c>
      <c r="T81" s="70" t="n">
        <f aca="false">Economy!R80</f>
        <v>2.23698497504503</v>
      </c>
      <c r="U81" s="70" t="n">
        <f aca="false">MAX(0,T81-gap_base)</f>
        <v>0.736984975045026</v>
      </c>
      <c r="V81" s="71" t="n">
        <v>82.97</v>
      </c>
      <c r="W81" s="50" t="n">
        <f aca="false">V81*1000000*lf_rate*union_skill_share</f>
        <v>4181688</v>
      </c>
      <c r="X81" s="48" t="n">
        <v>180000</v>
      </c>
      <c r="Y81" s="50" t="n">
        <f aca="false">IF(AND(mig_endo=1,$A81&gt;=talent_start),talent_rate_u*W81*U81*(1-(1-bd_keep)*S81),0)</f>
        <v>10262.5312836659</v>
      </c>
      <c r="Z81" s="50" t="n">
        <f aca="false">IF(AND(mig_endo=1,$A81&gt;=talent_start),X81*MIN(0.5,talent_share_o*U81)*(1-eu_comp*S81),0)</f>
        <v>25072.2288510318</v>
      </c>
      <c r="AA81" s="48" t="n">
        <v>84000</v>
      </c>
      <c r="AB81" s="50" t="n">
        <f aca="false">IF(AND(mig_endo=1,$A81&gt;=talent_start),AA81*MIN(0.5,talent_share_a*U81),0)</f>
        <v>12381.3475807564</v>
      </c>
      <c r="AC81" s="50" t="n">
        <f aca="false">entry_cap*People!B81</f>
        <v>56330.0083085606</v>
      </c>
      <c r="AD81" s="50" t="n">
        <f aca="false">MIN(AC81,Y81+Z81+AB81)</f>
        <v>47716.1077154541</v>
      </c>
      <c r="AE81" s="50" t="n">
        <f aca="false">IF(Y81+Z81+AB81&gt;0,AD81*Y81/(Y81+Z81+AB81),0)</f>
        <v>10262.5312836659</v>
      </c>
      <c r="AF81" s="50" t="n">
        <f aca="false">IF(Y81+Z81+AB81&gt;0,AD81*AB81/(Y81+Z81+AB81),0)</f>
        <v>12381.3475807564</v>
      </c>
      <c r="AG81" s="50" t="n">
        <f aca="false">AD81*family_mult</f>
        <v>104975.436973999</v>
      </c>
      <c r="AH81" s="50" t="n">
        <f aca="false">AH80*(1+Paths!C81)+AG81</f>
        <v>2344683.46144567</v>
      </c>
      <c r="AI81" s="50" t="n">
        <f aca="false">IF(AND(mig_endo=1,$A81&gt;=talent_start),chain_rate*AH80,0)</f>
        <v>33099.1333665764</v>
      </c>
      <c r="AJ81" s="50" t="n">
        <f aca="false">IF(AND(mig_endo=1,$A81&gt;=talent_start),IF(H80&gt;0,H80*job_fill,H80*job_return)*job_family,0)</f>
        <v>-18029.6465095144</v>
      </c>
      <c r="AK81" s="50" t="n">
        <f aca="false">K81*gw_conv_family</f>
        <v>43668.4768994679</v>
      </c>
      <c r="AL81" s="50" t="n">
        <f aca="false">AG81+AI81+AJ81+AK81+AR81</f>
        <v>267536.159089997</v>
      </c>
      <c r="AM81" s="50" t="n">
        <f aca="false">AM80*(1-skill_ret)+AD81</f>
        <v>607503.296811762</v>
      </c>
      <c r="AN81" s="67" t="n">
        <f aca="false">AM81/B81</f>
        <v>0.0756343699577161</v>
      </c>
      <c r="AO81" s="67" t="n">
        <f aca="false">(skill_rel-1+skill_spill)*AM80/B80-AT81</f>
        <v>0.0808666817490618</v>
      </c>
      <c r="AP81" s="67" t="n">
        <f aca="false">talent_champ*AM80/(skill_base_share*B80)</f>
        <v>0.148030851476982</v>
      </c>
      <c r="AQ81" s="48" t="n">
        <v>805000</v>
      </c>
      <c r="AR81" s="50" t="n">
        <f aca="false">IF(AND(div_on=1,$A81&gt;=div_start),AQ81*MIN(div_max,div_rate*U81)*(1-div_comp*S81),0)</f>
        <v>103822.758359468</v>
      </c>
      <c r="AS81" s="50" t="n">
        <f aca="false">AS80*(1-div_assim)+AR81</f>
        <v>1181364.66360289</v>
      </c>
      <c r="AT81" s="67" t="n">
        <f aca="false">(1-div_rel)*AS80/Economy!B80</f>
        <v>0.0153533717109763</v>
      </c>
      <c r="AU81" s="50" t="n">
        <f aca="false">AU80*(1-skill_ret)+AE81</f>
        <v>214378.256714355</v>
      </c>
      <c r="AV81" s="50" t="n">
        <f aca="false">AV80*(1+union_nat)+AR81</f>
        <v>2765240.28995099</v>
      </c>
      <c r="AW81" s="50" t="n">
        <f aca="false">AW80*(1+union_nat)+AE81*family_mult</f>
        <v>854057.80519117</v>
      </c>
      <c r="AX81" s="70" t="n">
        <f aca="false">V81-(AV81+AW81)/1000000</f>
        <v>79.3507019048578</v>
      </c>
      <c r="AY81" s="50" t="n">
        <f aca="false">L81*gw_union</f>
        <v>144493.626681675</v>
      </c>
      <c r="AZ81" s="49" t="n">
        <v>1.059</v>
      </c>
      <c r="BA81" s="50" t="n">
        <f aca="false">Economy!Q81*AZ81/lf_rate</f>
        <v>1623.8</v>
      </c>
      <c r="BB81" s="67" t="n">
        <f aca="false">bd_growth*AU80/W80</f>
        <v>0.00151966798766111</v>
      </c>
      <c r="BC81" s="67" t="n">
        <f aca="false">tg_k*MIN(1,Economy!O80/BK80)</f>
        <v>0.00167568789916751</v>
      </c>
      <c r="BD81" s="67" t="n">
        <f aca="false">emu_g*S81</f>
        <v>0.0015</v>
      </c>
      <c r="BE81" s="68" t="n">
        <f aca="false">BE80*(1-BB81-BC81+BD81)</f>
        <v>0.947241550495957</v>
      </c>
      <c r="BF81" s="49" t="n">
        <v>1</v>
      </c>
      <c r="BG81" s="56" t="n">
        <f aca="false">AU81*BA81*BE81*(skill_rel-1+skill_spill)/1000000</f>
        <v>428.664347629297</v>
      </c>
      <c r="BH81" s="56" t="n">
        <f aca="false">union_disp*(Champions!AP81+Champions!AZ81)*(1-IF(union_resp=2,mkt_cut*S81,0))</f>
        <v>498.296661023272</v>
      </c>
      <c r="BI81" s="56" t="n">
        <f aca="false">AY81*BA81*BE81/1000000</f>
        <v>222.250101893573</v>
      </c>
      <c r="BJ81" s="50" t="n">
        <f aca="false">V81*Economy!Q81*AZ81</f>
        <v>56585.20812</v>
      </c>
      <c r="BK81" s="50" t="n">
        <f aca="false">MAX(0.3*BJ81,AX81*Economy!Q81*AZ81*BE81*BF81-BG81-BH81-BI81)</f>
        <v>50112.5284917408</v>
      </c>
      <c r="BL81" s="66" t="n">
        <f aca="false">1-BK81/BJ81</f>
        <v>0.114388191601815</v>
      </c>
      <c r="BM81" s="50" t="n">
        <f aca="false">MAX(0,BH81-BH80)*1000000/BA81</f>
        <v>0</v>
      </c>
      <c r="BN81" s="50" t="n">
        <f aca="false">BN80*(1-IF(AND($A81&gt;=1930,$A81&lt;=1932),0,union_reabsorb))+BM81</f>
        <v>74903.2817581574</v>
      </c>
      <c r="BO81" s="62" t="n">
        <v>0.117</v>
      </c>
      <c r="BP81" s="66" t="n">
        <f aca="false">BO81+BN81/(AX81*1000000*lf_rate)</f>
        <v>0.119247505601867</v>
      </c>
    </row>
    <row r="82" customFormat="false" ht="14.25" hidden="false" customHeight="false" outlineLevel="0" collapsed="false">
      <c r="A82" s="64" t="n">
        <v>1922</v>
      </c>
      <c r="B82" s="50" t="n">
        <f aca="false">Economy!B82*lf_rate</f>
        <v>8328044.38815941</v>
      </c>
      <c r="C82" s="50" t="n">
        <f aca="false">Economy!O82*1000000/(B82+L82)</f>
        <v>3464.45214621671</v>
      </c>
      <c r="D82" s="50" t="n">
        <f aca="false">Champions!AP82*1000000/(C82*champ_prem)</f>
        <v>345164.805358568</v>
      </c>
      <c r="E82" s="50" t="n">
        <f aca="false">D82*job_mult</f>
        <v>241615.363750997</v>
      </c>
      <c r="F82" s="50" t="n">
        <f aca="false">D82+E82</f>
        <v>586780.169109565</v>
      </c>
      <c r="G82" s="66" t="n">
        <f aca="false">F82/B82</f>
        <v>0.0704583383277632</v>
      </c>
      <c r="H82" s="50" t="n">
        <f aca="false">F82-F81</f>
        <v>93879.8116611536</v>
      </c>
      <c r="I82" s="66" t="n">
        <f aca="false">MAX(0.005,pac_u_base*IF(Paths!AC82=1,pac_u_war,1)+(okun*(1-Economy!G82)*(B82+L82)-MAX(0,L81-L82))/B82)</f>
        <v>0.0253496831283374</v>
      </c>
      <c r="J82" s="50" t="n">
        <f aca="false">IF(AND(gw_on=1,$A82&gt;=gw_start),MIN(gw_cap*B81,gw_cover*F81+gw_gen*B81),0)</f>
        <v>938308.715695557</v>
      </c>
      <c r="K82" s="50" t="n">
        <f aca="false">L81*gw_conv</f>
        <v>21674.0440022512</v>
      </c>
      <c r="L82" s="50" t="n">
        <f aca="false">MAX(0,L81-K82+gw_adj*(J82-L81))*MAX(0,1-gw_slump*(1-Economy!G82))</f>
        <v>749348.066849588</v>
      </c>
      <c r="M82" s="50" t="n">
        <f aca="false">MAX(0,L82-L81+L81/gw_term)</f>
        <v>267702.644577339</v>
      </c>
      <c r="N82" s="66" t="n">
        <f aca="false">L82/B82</f>
        <v>0.0899788752224941</v>
      </c>
      <c r="O82" s="56" t="n">
        <f aca="false">Economy!L82</f>
        <v>1520.85886824996</v>
      </c>
      <c r="P82" s="56" t="n">
        <f aca="false">O82*gw_wage_share</f>
        <v>988.558264362473</v>
      </c>
      <c r="Q82" s="56" t="n">
        <f aca="false">P82*gw_levy</f>
        <v>247.139566090618</v>
      </c>
      <c r="R82" s="56" t="n">
        <f aca="false">P82*gw_remit</f>
        <v>247.139566090618</v>
      </c>
      <c r="S82" s="66" t="n">
        <f aca="false">IF(union_resp&gt;=1,MIN(1,MAX(0,($A82-resp_start)/(resp_full-resp_start))),0)</f>
        <v>1</v>
      </c>
      <c r="T82" s="70" t="n">
        <f aca="false">Economy!R81</f>
        <v>2.37167343752687</v>
      </c>
      <c r="U82" s="70" t="n">
        <f aca="false">MAX(0,T82-gap_base)</f>
        <v>0.871673437526867</v>
      </c>
      <c r="V82" s="71" t="n">
        <v>83.93</v>
      </c>
      <c r="W82" s="50" t="n">
        <f aca="false">V82*1000000*lf_rate*union_skill_share</f>
        <v>4230072</v>
      </c>
      <c r="X82" s="48" t="n">
        <v>170000</v>
      </c>
      <c r="Y82" s="50" t="n">
        <f aca="false">IF(AND(mig_endo=1,$A82&gt;=talent_start),talent_rate_u*W82*U82*(1-(1-bd_keep)*S82),0)</f>
        <v>12278.5138660831</v>
      </c>
      <c r="Z82" s="50" t="n">
        <f aca="false">IF(AND(mig_endo=1,$A82&gt;=talent_start),X82*MIN(0.5,talent_share_o*U82)*(1-eu_comp*S82),0)</f>
        <v>28006.8675477382</v>
      </c>
      <c r="AA82" s="48" t="n">
        <v>89000</v>
      </c>
      <c r="AB82" s="50" t="n">
        <f aca="false">IF(AND(mig_endo=1,$A82&gt;=talent_start),AA82*MIN(0.5,talent_share_a*U82),0)</f>
        <v>15515.7871879782</v>
      </c>
      <c r="AC82" s="50" t="n">
        <f aca="false">entry_cap*People!B82</f>
        <v>58414.366910459</v>
      </c>
      <c r="AD82" s="50" t="n">
        <f aca="false">MIN(AC82,Y82+Z82+AB82)</f>
        <v>55801.1686017996</v>
      </c>
      <c r="AE82" s="50" t="n">
        <f aca="false">IF(Y82+Z82+AB82&gt;0,AD82*Y82/(Y82+Z82+AB82),0)</f>
        <v>12278.5138660831</v>
      </c>
      <c r="AF82" s="50" t="n">
        <f aca="false">IF(Y82+Z82+AB82&gt;0,AD82*AB82/(Y82+Z82+AB82),0)</f>
        <v>15515.7871879782</v>
      </c>
      <c r="AG82" s="50" t="n">
        <f aca="false">AD82*family_mult</f>
        <v>122762.570923959</v>
      </c>
      <c r="AH82" s="50" t="n">
        <f aca="false">AH81*(1+Paths!C82)+AG82</f>
        <v>2502616.28429131</v>
      </c>
      <c r="AI82" s="50" t="n">
        <f aca="false">IF(AND(mig_endo=1,$A82&gt;=talent_start),chain_rate*AH81,0)</f>
        <v>35170.2519216851</v>
      </c>
      <c r="AJ82" s="50" t="n">
        <f aca="false">IF(AND(mig_endo=1,$A82&gt;=talent_start),IF(H81&gt;0,H81*job_fill,H81*job_return)*job_family,0)</f>
        <v>36425.0190892253</v>
      </c>
      <c r="AK82" s="50" t="n">
        <f aca="false">K82*gw_conv_family</f>
        <v>39013.2792040522</v>
      </c>
      <c r="AL82" s="50" t="n">
        <f aca="false">AG82+AI82+AJ82+AK82+AR82</f>
        <v>276771.121138922</v>
      </c>
      <c r="AM82" s="50" t="n">
        <f aca="false">AM81*(1-skill_ret)+AD82</f>
        <v>648116.882993268</v>
      </c>
      <c r="AN82" s="67" t="n">
        <f aca="false">AM82/B82</f>
        <v>0.077823418414381</v>
      </c>
      <c r="AO82" s="67" t="n">
        <f aca="false">(skill_rel-1+skill_spill)*AM81/B81-AT82</f>
        <v>0.0828812486022959</v>
      </c>
      <c r="AP82" s="67" t="n">
        <f aca="false">talent_champ*AM81/(skill_base_share*B81)</f>
        <v>0.151268739915432</v>
      </c>
      <c r="AQ82" s="48" t="n">
        <v>310000</v>
      </c>
      <c r="AR82" s="50" t="n">
        <f aca="false">IF(AND(div_on=1,$A82&gt;=div_start),AQ82*MIN(div_max,div_rate*U82)*(1-div_comp*S82),0)</f>
        <v>43400</v>
      </c>
      <c r="AS82" s="50" t="n">
        <f aca="false">AS81*(1-div_assim)+AR82</f>
        <v>1165696.43042274</v>
      </c>
      <c r="AT82" s="67" t="n">
        <f aca="false">(1-div_rel)*AS81/Economy!B81</f>
        <v>0.015443432342735</v>
      </c>
      <c r="AU82" s="50" t="n">
        <f aca="false">AU81*(1-skill_ret)+AE82</f>
        <v>221297.314162579</v>
      </c>
      <c r="AV82" s="50" t="n">
        <f aca="false">AV81*(1+union_nat)+AR82</f>
        <v>2844588.41372036</v>
      </c>
      <c r="AW82" s="50" t="n">
        <f aca="false">AW81*(1+union_nat)+AE82*family_mult</f>
        <v>892173.287164038</v>
      </c>
      <c r="AX82" s="70" t="n">
        <f aca="false">V82-(AV82+AW82)/1000000</f>
        <v>80.1932382991156</v>
      </c>
      <c r="AY82" s="50" t="n">
        <f aca="false">L82*gw_union</f>
        <v>149869.613369918</v>
      </c>
      <c r="AZ82" s="49" t="n">
        <v>1.06</v>
      </c>
      <c r="BA82" s="50" t="n">
        <f aca="false">Economy!Q82*AZ82/lf_rate</f>
        <v>1716.19047619048</v>
      </c>
      <c r="BB82" s="67" t="n">
        <f aca="false">bd_growth*AU81/W81</f>
        <v>0.00153797885003153</v>
      </c>
      <c r="BC82" s="67" t="n">
        <f aca="false">tg_k*MIN(1,Economy!O81/BK81)</f>
        <v>0.00181468101245026</v>
      </c>
      <c r="BD82" s="67" t="n">
        <f aca="false">emu_g*S82</f>
        <v>0.0015</v>
      </c>
      <c r="BE82" s="68" t="n">
        <f aca="false">BE81*(1-BB82-BC82+BD82)</f>
        <v>0.945486634095278</v>
      </c>
      <c r="BF82" s="49" t="n">
        <v>1</v>
      </c>
      <c r="BG82" s="56" t="n">
        <f aca="false">AU82*BA82*BE82*(skill_rel-1+skill_spill)/1000000</f>
        <v>466.810242685215</v>
      </c>
      <c r="BH82" s="56" t="n">
        <f aca="false">union_disp*(Champions!AP82+Champions!AZ82)*(1-IF(union_resp=2,mkt_cut*S82,0))</f>
        <v>582.131412589629</v>
      </c>
      <c r="BI82" s="56" t="n">
        <f aca="false">AY82*BA82*BE82/1000000</f>
        <v>243.183703590008</v>
      </c>
      <c r="BJ82" s="50" t="n">
        <f aca="false">V82*Economy!Q82*AZ82</f>
        <v>60496.744</v>
      </c>
      <c r="BK82" s="50" t="n">
        <f aca="false">MAX(0.3*BJ82,AX82*Economy!Q82*AZ82*BE82*BF82-BG82-BH82-BI82)</f>
        <v>53360.109117875</v>
      </c>
      <c r="BL82" s="66" t="n">
        <f aca="false">1-BK82/BJ82</f>
        <v>0.11796725592579</v>
      </c>
      <c r="BM82" s="50" t="n">
        <f aca="false">MAX(0,BH82-BH81)*1000000/BA82</f>
        <v>48849.3280492091</v>
      </c>
      <c r="BN82" s="50" t="n">
        <f aca="false">BN81*(1-IF(AND($A82&gt;=1930,$A82&lt;=1932),0,union_reabsorb))+BM82</f>
        <v>105026.789367827</v>
      </c>
      <c r="BO82" s="62" t="n">
        <v>0.067</v>
      </c>
      <c r="BP82" s="66" t="n">
        <f aca="false">BO82+BN82/(AX82*1000000*lf_rate)</f>
        <v>0.0701182651993225</v>
      </c>
    </row>
    <row r="83" customFormat="false" ht="14.25" hidden="false" customHeight="false" outlineLevel="0" collapsed="false">
      <c r="A83" s="61" t="n">
        <v>1923</v>
      </c>
      <c r="B83" s="50" t="n">
        <f aca="false">Economy!B83*lf_rate</f>
        <v>8636696.1462616</v>
      </c>
      <c r="C83" s="50" t="n">
        <f aca="false">Economy!O83*1000000/(B83+L83)</f>
        <v>3756.76716969889</v>
      </c>
      <c r="D83" s="50" t="n">
        <f aca="false">Champions!AP83*1000000/(C83*champ_prem)</f>
        <v>372755.608721016</v>
      </c>
      <c r="E83" s="50" t="n">
        <f aca="false">D83*job_mult</f>
        <v>260928.926104711</v>
      </c>
      <c r="F83" s="50" t="n">
        <f aca="false">D83+E83</f>
        <v>633684.534825728</v>
      </c>
      <c r="G83" s="66" t="n">
        <f aca="false">F83/B83</f>
        <v>0.0733711738950106</v>
      </c>
      <c r="H83" s="50" t="n">
        <f aca="false">F83-F82</f>
        <v>46904.3657161624</v>
      </c>
      <c r="I83" s="66" t="n">
        <f aca="false">MAX(0.005,pac_u_base*IF(Paths!AC83=1,pac_u_war,1)+(okun*(1-Economy!G83)*(B83+L83)-MAX(0,L82-L83))/B83)</f>
        <v>0.015</v>
      </c>
      <c r="J83" s="50" t="n">
        <f aca="false">IF(AND(gw_on=1,$A83&gt;=gw_start),MIN(gw_cap*B82,gw_cover*F82+gw_gen*B82),0)</f>
        <v>1018311.65251849</v>
      </c>
      <c r="K83" s="50" t="n">
        <f aca="false">L82*gw_conv</f>
        <v>22480.4420054876</v>
      </c>
      <c r="L83" s="50" t="n">
        <f aca="false">MAX(0,L82-K83+gw_adj*(J83-L82))*MAX(0,1-gw_slump*(1-Economy!G83))</f>
        <v>834453.059111662</v>
      </c>
      <c r="M83" s="50" t="n">
        <f aca="false">MAX(0,L83-L82+L82/gw_term)</f>
        <v>334887.681211937</v>
      </c>
      <c r="N83" s="66" t="n">
        <f aca="false">L83/B83</f>
        <v>0.0966171606573025</v>
      </c>
      <c r="O83" s="56" t="n">
        <f aca="false">Economy!L83</f>
        <v>1836.45342114792</v>
      </c>
      <c r="P83" s="56" t="n">
        <f aca="false">O83*gw_wage_share</f>
        <v>1193.69472374614</v>
      </c>
      <c r="Q83" s="56" t="n">
        <f aca="false">P83*gw_levy</f>
        <v>298.423680936536</v>
      </c>
      <c r="R83" s="56" t="n">
        <f aca="false">P83*gw_remit</f>
        <v>298.423680936536</v>
      </c>
      <c r="S83" s="66" t="n">
        <f aca="false">IF(union_resp&gt;=1,MIN(1,MAX(0,($A83-resp_start)/(resp_full-resp_start))),0)</f>
        <v>1</v>
      </c>
      <c r="T83" s="70" t="n">
        <f aca="false">Economy!R82</f>
        <v>2.24741394931849</v>
      </c>
      <c r="U83" s="70" t="n">
        <f aca="false">MAX(0,T83-gap_base)</f>
        <v>0.747413949318493</v>
      </c>
      <c r="V83" s="71" t="n">
        <v>84.9</v>
      </c>
      <c r="W83" s="50" t="n">
        <f aca="false">V83*1000000*lf_rate*union_skill_share</f>
        <v>4278960</v>
      </c>
      <c r="X83" s="48" t="n">
        <v>160000</v>
      </c>
      <c r="Y83" s="50" t="n">
        <f aca="false">IF(AND(mig_endo=1,$A83&gt;=talent_start),talent_rate_u*W83*U83*(1-(1-bd_keep)*S83),0)</f>
        <v>10649.8541272776</v>
      </c>
      <c r="Z83" s="50" t="n">
        <f aca="false">IF(AND(mig_endo=1,$A83&gt;=talent_start),X83*MIN(0.5,talent_share_o*U83)*(1-eu_comp*S83),0)</f>
        <v>22601.7978273912</v>
      </c>
      <c r="AA83" s="48" t="n">
        <v>93000</v>
      </c>
      <c r="AB83" s="50" t="n">
        <f aca="false">IF(AND(mig_endo=1,$A83&gt;=talent_start),AA83*MIN(0.5,talent_share_a*U83),0)</f>
        <v>13901.899457324</v>
      </c>
      <c r="AC83" s="50" t="n">
        <f aca="false">entry_cap*People!B83</f>
        <v>60557.6957775326</v>
      </c>
      <c r="AD83" s="50" t="n">
        <f aca="false">MIN(AC83,Y83+Z83+AB83)</f>
        <v>47153.5514119928</v>
      </c>
      <c r="AE83" s="50" t="n">
        <f aca="false">IF(Y83+Z83+AB83&gt;0,AD83*Y83/(Y83+Z83+AB83),0)</f>
        <v>10649.8541272776</v>
      </c>
      <c r="AF83" s="50" t="n">
        <f aca="false">IF(Y83+Z83+AB83&gt;0,AD83*AB83/(Y83+Z83+AB83),0)</f>
        <v>13901.899457324</v>
      </c>
      <c r="AG83" s="50" t="n">
        <f aca="false">AD83*family_mult</f>
        <v>103737.813106384</v>
      </c>
      <c r="AH83" s="50" t="n">
        <f aca="false">AH82*(1+Paths!C83)+AG83</f>
        <v>2643893.34166207</v>
      </c>
      <c r="AI83" s="50" t="n">
        <f aca="false">IF(AND(mig_endo=1,$A83&gt;=talent_start),chain_rate*AH82,0)</f>
        <v>37539.2442643697</v>
      </c>
      <c r="AJ83" s="50" t="n">
        <f aca="false">IF(AND(mig_endo=1,$A83&gt;=talent_start),IF(H82&gt;0,H82*job_fill,H82*job_return)*job_family,0)</f>
        <v>59144.2813465268</v>
      </c>
      <c r="AK83" s="50" t="n">
        <f aca="false">K83*gw_conv_family</f>
        <v>40464.7956098778</v>
      </c>
      <c r="AL83" s="50" t="n">
        <f aca="false">AG83+AI83+AJ83+AK83+AR83</f>
        <v>306938.84209818</v>
      </c>
      <c r="AM83" s="50" t="n">
        <f aca="false">AM82*(1-skill_ret)+AD83</f>
        <v>679067.512330429</v>
      </c>
      <c r="AN83" s="67" t="n">
        <f aca="false">AM83/B83</f>
        <v>0.0786258426637325</v>
      </c>
      <c r="AO83" s="67" t="n">
        <f aca="false">(skill_rel-1+skill_spill)*AM82/B82-AT83</f>
        <v>0.0864733410548045</v>
      </c>
      <c r="AP83" s="67" t="n">
        <f aca="false">talent_champ*AM82/(skill_base_share*B82)</f>
        <v>0.155646836828762</v>
      </c>
      <c r="AQ83" s="48" t="n">
        <v>505000</v>
      </c>
      <c r="AR83" s="50" t="n">
        <f aca="false">IF(AND(div_on=1,$A83&gt;=div_start),AQ83*MIN(div_max,div_rate*U83)*(1-div_comp*S83),0)</f>
        <v>66052.7077710218</v>
      </c>
      <c r="AS83" s="50" t="n">
        <f aca="false">AS82*(1-div_assim)+AR83</f>
        <v>1173464.31667263</v>
      </c>
      <c r="AT83" s="67" t="n">
        <f aca="false">(1-div_rel)*AS82/Economy!B82</f>
        <v>0.0146971028838908</v>
      </c>
      <c r="AU83" s="50" t="n">
        <f aca="false">AU82*(1-skill_ret)+AE83</f>
        <v>226414.735435792</v>
      </c>
      <c r="AV83" s="50" t="n">
        <f aca="false">AV82*(1+union_nat)+AR83</f>
        <v>2947620.77086974</v>
      </c>
      <c r="AW83" s="50" t="n">
        <f aca="false">AW82*(1+union_nat)+AE83*family_mult</f>
        <v>927201.218977181</v>
      </c>
      <c r="AX83" s="70" t="n">
        <f aca="false">V83-(AV83+AW83)/1000000</f>
        <v>81.0251780101531</v>
      </c>
      <c r="AY83" s="50" t="n">
        <f aca="false">L83*gw_union</f>
        <v>166890.611822332</v>
      </c>
      <c r="AZ83" s="49" t="n">
        <v>1.061</v>
      </c>
      <c r="BA83" s="50" t="n">
        <f aca="false">Economy!Q83*AZ83/lf_rate</f>
        <v>1945.16666666667</v>
      </c>
      <c r="BB83" s="67" t="n">
        <f aca="false">bd_growth*AU82/W82</f>
        <v>0.00156945778343191</v>
      </c>
      <c r="BC83" s="67" t="n">
        <f aca="false">tg_k*MIN(1,Economy!O82/BK82)</f>
        <v>0.0017680731332466</v>
      </c>
      <c r="BD83" s="67" t="n">
        <f aca="false">emu_g*S83</f>
        <v>0.0015</v>
      </c>
      <c r="BE83" s="68" t="n">
        <f aca="false">BE82*(1-BB83-BC83+BD83)</f>
        <v>0.943749273173822</v>
      </c>
      <c r="BF83" s="49" t="n">
        <v>1</v>
      </c>
      <c r="BG83" s="56" t="n">
        <f aca="false">AU83*BA83*BE83*(skill_rel-1+skill_spill)/1000000</f>
        <v>540.332996216294</v>
      </c>
      <c r="BH83" s="56" t="n">
        <f aca="false">union_disp*(Champions!AP83+Champions!AZ83)*(1-IF(union_resp=2,mkt_cut*S83,0))</f>
        <v>670.966325112228</v>
      </c>
      <c r="BI83" s="56" t="n">
        <f aca="false">AY83*BA83*BE83/1000000</f>
        <v>306.369378547612</v>
      </c>
      <c r="BJ83" s="50" t="n">
        <f aca="false">V83*Economy!Q83*AZ83</f>
        <v>69360.753</v>
      </c>
      <c r="BK83" s="50" t="n">
        <f aca="false">MAX(0.3*BJ83,AX83*Economy!Q83*AZ83*BE83*BF83-BG83-BH83-BI83)</f>
        <v>60953.946259777</v>
      </c>
      <c r="BL83" s="66" t="n">
        <f aca="false">1-BK83/BJ83</f>
        <v>0.121204086988833</v>
      </c>
      <c r="BM83" s="50" t="n">
        <f aca="false">MAX(0,BH83-BH82)*1000000/BA83</f>
        <v>45669.5634594806</v>
      </c>
      <c r="BN83" s="50" t="n">
        <f aca="false">BN82*(1-IF(AND($A83&gt;=1930,$A83&lt;=1932),0,union_reabsorb))+BM83</f>
        <v>124439.655485351</v>
      </c>
      <c r="BO83" s="62" t="n">
        <v>0.024</v>
      </c>
      <c r="BP83" s="66" t="n">
        <f aca="false">BO83+BN83/(AX83*1000000*lf_rate)</f>
        <v>0.0276567015499258</v>
      </c>
    </row>
    <row r="84" customFormat="false" ht="14.25" hidden="false" customHeight="false" outlineLevel="0" collapsed="false">
      <c r="A84" s="61" t="n">
        <v>1924</v>
      </c>
      <c r="B84" s="50" t="n">
        <f aca="false">Economy!B84*lf_rate</f>
        <v>8951991.35724619</v>
      </c>
      <c r="C84" s="50" t="n">
        <f aca="false">Economy!O84*1000000/(B84+L84)</f>
        <v>3860.37801346852</v>
      </c>
      <c r="D84" s="50" t="n">
        <f aca="false">Champions!AP84*1000000/(C84*champ_prem)</f>
        <v>405314.354375773</v>
      </c>
      <c r="E84" s="50" t="n">
        <f aca="false">D84*job_mult</f>
        <v>283720.048063041</v>
      </c>
      <c r="F84" s="50" t="n">
        <f aca="false">D84+E84</f>
        <v>689034.402438813</v>
      </c>
      <c r="G84" s="66" t="n">
        <f aca="false">F84/B84</f>
        <v>0.0769699584083126</v>
      </c>
      <c r="H84" s="50" t="n">
        <f aca="false">F84-F83</f>
        <v>55349.8676130858</v>
      </c>
      <c r="I84" s="66" t="n">
        <f aca="false">MAX(0.005,pac_u_base*IF(Paths!AC84=1,pac_u_war,1)+(okun*(1-Economy!G84)*(B84+L84)-MAX(0,L83-L84))/B84)</f>
        <v>0.015</v>
      </c>
      <c r="J84" s="50" t="n">
        <f aca="false">IF(AND(gw_on=1,$A84&gt;=gw_start),MIN(gw_cap*B83,gw_cover*F83+gw_gen*B83),0)</f>
        <v>1071146.41259636</v>
      </c>
      <c r="K84" s="50" t="n">
        <f aca="false">L83*gw_conv</f>
        <v>25033.5917733499</v>
      </c>
      <c r="L84" s="50" t="n">
        <f aca="false">MAX(0,L83-K84+gw_adj*(J84-L83))*MAX(0,1-gw_slump*(1-Economy!G84))</f>
        <v>904096.808732193</v>
      </c>
      <c r="M84" s="50" t="n">
        <f aca="false">MAX(0,L84-L83+L83/gw_term)</f>
        <v>347794.769324418</v>
      </c>
      <c r="N84" s="66" t="n">
        <f aca="false">L84/B84</f>
        <v>0.100993932260711</v>
      </c>
      <c r="O84" s="56" t="n">
        <f aca="false">Economy!L84</f>
        <v>2041.29253782504</v>
      </c>
      <c r="P84" s="56" t="n">
        <f aca="false">O84*gw_wage_share</f>
        <v>1326.84014958628</v>
      </c>
      <c r="Q84" s="56" t="n">
        <f aca="false">P84*gw_levy</f>
        <v>331.71003739657</v>
      </c>
      <c r="R84" s="56" t="n">
        <f aca="false">P84*gw_remit</f>
        <v>331.71003739657</v>
      </c>
      <c r="S84" s="66" t="n">
        <f aca="false">IF(union_resp&gt;=1,MIN(1,MAX(0,($A84-resp_start)/(resp_full-resp_start))),0)</f>
        <v>1</v>
      </c>
      <c r="T84" s="70" t="n">
        <f aca="false">Economy!R83</f>
        <v>2.15949766714927</v>
      </c>
      <c r="U84" s="70" t="n">
        <f aca="false">MAX(0,T84-gap_base)</f>
        <v>0.659497667149266</v>
      </c>
      <c r="V84" s="71" t="n">
        <v>85.87</v>
      </c>
      <c r="W84" s="50" t="n">
        <f aca="false">V84*1000000*lf_rate*union_skill_share</f>
        <v>4327848</v>
      </c>
      <c r="X84" s="48" t="n">
        <v>153000</v>
      </c>
      <c r="Y84" s="50" t="n">
        <f aca="false">IF(AND(mig_endo=1,$A84&gt;=talent_start),talent_rate_u*W84*U84*(1-(1-bd_keep)*S84),0)</f>
        <v>9504.50484705613</v>
      </c>
      <c r="Z84" s="50" t="n">
        <f aca="false">IF(AND(mig_endo=1,$A84&gt;=talent_start),X84*MIN(0.5,talent_share_o*U84)*(1-eu_comp*S84),0)</f>
        <v>19070.6940409553</v>
      </c>
      <c r="AA84" s="48" t="n">
        <v>98000</v>
      </c>
      <c r="AB84" s="50" t="n">
        <f aca="false">IF(AND(mig_endo=1,$A84&gt;=talent_start),AA84*MIN(0.5,talent_share_a*U84),0)</f>
        <v>12926.1542761256</v>
      </c>
      <c r="AC84" s="50" t="n">
        <f aca="false">entry_cap*People!B84</f>
        <v>62823.6777404902</v>
      </c>
      <c r="AD84" s="50" t="n">
        <f aca="false">MIN(AC84,Y84+Z84+AB84)</f>
        <v>41501.3531641371</v>
      </c>
      <c r="AE84" s="50" t="n">
        <f aca="false">IF(Y84+Z84+AB84&gt;0,AD84*Y84/(Y84+Z84+AB84),0)</f>
        <v>9504.50484705613</v>
      </c>
      <c r="AF84" s="50" t="n">
        <f aca="false">IF(Y84+Z84+AB84&gt;0,AD84*AB84/(Y84+Z84+AB84),0)</f>
        <v>12926.1542761256</v>
      </c>
      <c r="AG84" s="50" t="n">
        <f aca="false">AD84*family_mult</f>
        <v>91302.9769611016</v>
      </c>
      <c r="AH84" s="50" t="n">
        <f aca="false">AH83*(1+Paths!C84)+AG84</f>
        <v>2774854.7187481</v>
      </c>
      <c r="AI84" s="50" t="n">
        <f aca="false">IF(AND(mig_endo=1,$A84&gt;=talent_start),chain_rate*AH83,0)</f>
        <v>39658.400124931</v>
      </c>
      <c r="AJ84" s="50" t="n">
        <f aca="false">IF(AND(mig_endo=1,$A84&gt;=talent_start),IF(H83&gt;0,H83*job_fill,H83*job_return)*job_family,0)</f>
        <v>29549.7504011823</v>
      </c>
      <c r="AK84" s="50" t="n">
        <f aca="false">K84*gw_conv_family</f>
        <v>45060.4651920298</v>
      </c>
      <c r="AL84" s="50" t="n">
        <f aca="false">AG84+AI84+AJ84+AK84+AR84</f>
        <v>286360.05690503</v>
      </c>
      <c r="AM84" s="50" t="n">
        <f aca="false">AM83*(1-skill_ret)+AD84</f>
        <v>703592.177686305</v>
      </c>
      <c r="AN84" s="67" t="n">
        <f aca="false">AM84/B84</f>
        <v>0.0785961636476315</v>
      </c>
      <c r="AO84" s="67" t="n">
        <f aca="false">(skill_rel-1+skill_spill)*AM83/B83-AT84</f>
        <v>0.0879472890924516</v>
      </c>
      <c r="AP84" s="67" t="n">
        <f aca="false">talent_champ*AM83/(skill_base_share*B83)</f>
        <v>0.157251685327465</v>
      </c>
      <c r="AQ84" s="48" t="n">
        <v>700000</v>
      </c>
      <c r="AR84" s="50" t="n">
        <f aca="false">IF(AND(div_on=1,$A84&gt;=div_start),AQ84*MIN(div_max,div_rate*U84)*(1-div_comp*S84),0)</f>
        <v>80788.4642257851</v>
      </c>
      <c r="AS84" s="50" t="n">
        <f aca="false">AS83*(1-div_assim)+AR84</f>
        <v>1195579.56506478</v>
      </c>
      <c r="AT84" s="67" t="n">
        <f aca="false">(1-div_rel)*AS83/Economy!B83</f>
        <v>0.0142663063704006</v>
      </c>
      <c r="AU84" s="50" t="n">
        <f aca="false">AU83*(1-skill_ret)+AE84</f>
        <v>230258.871896954</v>
      </c>
      <c r="AV84" s="50" t="n">
        <f aca="false">AV83*(1+union_nat)+AR84</f>
        <v>3066728.30511683</v>
      </c>
      <c r="AW84" s="50" t="n">
        <f aca="false">AW83*(1+union_nat)+AE84*family_mult</f>
        <v>960164.745487407</v>
      </c>
      <c r="AX84" s="70" t="n">
        <f aca="false">V84-(AV84+AW84)/1000000</f>
        <v>81.8431069493958</v>
      </c>
      <c r="AY84" s="50" t="n">
        <f aca="false">L84*gw_union</f>
        <v>180819.361746439</v>
      </c>
      <c r="AZ84" s="49" t="n">
        <v>1.062</v>
      </c>
      <c r="BA84" s="50" t="n">
        <f aca="false">Economy!Q84*AZ84/lf_rate</f>
        <v>1921.71428571429</v>
      </c>
      <c r="BB84" s="67" t="n">
        <f aca="false">bd_growth*AU83/W83</f>
        <v>0.00158740489817006</v>
      </c>
      <c r="BC84" s="67" t="n">
        <f aca="false">tg_k*MIN(1,Economy!O83/BK83)</f>
        <v>0.0017512025673822</v>
      </c>
      <c r="BD84" s="67" t="n">
        <f aca="false">emu_g*S84</f>
        <v>0.0015</v>
      </c>
      <c r="BE84" s="68" t="n">
        <f aca="false">BE83*(1-BB84-BC84+BD84)</f>
        <v>0.942014088714555</v>
      </c>
      <c r="BF84" s="49" t="n">
        <v>1</v>
      </c>
      <c r="BG84" s="56" t="n">
        <f aca="false">AU84*BA84*BE84*(skill_rel-1+skill_spill)/1000000</f>
        <v>541.883518009398</v>
      </c>
      <c r="BH84" s="56" t="n">
        <f aca="false">union_disp*(Champions!AP84+Champions!AZ84)*(1-IF(union_resp=2,mkt_cut*S84,0))</f>
        <v>743.866133184478</v>
      </c>
      <c r="BI84" s="56" t="n">
        <f aca="false">AY84*BA84*BE84/1000000</f>
        <v>327.334023457883</v>
      </c>
      <c r="BJ84" s="50" t="n">
        <f aca="false">V84*Economy!Q84*AZ84</f>
        <v>69307.3944</v>
      </c>
      <c r="BK84" s="50" t="n">
        <f aca="false">MAX(0.3*BJ84,AX84*Economy!Q84*AZ84*BE84*BF84-BG84-BH84-BI84)</f>
        <v>60613.7373756013</v>
      </c>
      <c r="BL84" s="66" t="n">
        <f aca="false">1-BK84/BJ84</f>
        <v>0.125436212104933</v>
      </c>
      <c r="BM84" s="50" t="n">
        <f aca="false">MAX(0,BH84-BH83)*1000000/BA84</f>
        <v>37934.7796986131</v>
      </c>
      <c r="BN84" s="50" t="n">
        <f aca="false">BN83*(1-IF(AND($A84&gt;=1930,$A84&lt;=1932),0,union_reabsorb))+BM84</f>
        <v>131264.521312626</v>
      </c>
      <c r="BO84" s="62" t="n">
        <v>0.028</v>
      </c>
      <c r="BP84" s="66" t="n">
        <f aca="false">BO84+BN84/(AX84*1000000*lf_rate)</f>
        <v>0.0318187036905517</v>
      </c>
    </row>
    <row r="85" customFormat="false" ht="14.25" hidden="false" customHeight="false" outlineLevel="0" collapsed="false">
      <c r="A85" s="61" t="n">
        <v>1925</v>
      </c>
      <c r="B85" s="50" t="n">
        <f aca="false">Economy!B85*lf_rate</f>
        <v>9263741.64728231</v>
      </c>
      <c r="C85" s="50" t="n">
        <f aca="false">Economy!O85*1000000/(B85+L85)</f>
        <v>4023.48036633089</v>
      </c>
      <c r="D85" s="50" t="n">
        <f aca="false">Champions!AP85*1000000/(C85*champ_prem)</f>
        <v>423255.253214931</v>
      </c>
      <c r="E85" s="50" t="n">
        <f aca="false">D85*job_mult</f>
        <v>296278.677250452</v>
      </c>
      <c r="F85" s="50" t="n">
        <f aca="false">D85+E85</f>
        <v>719533.930465383</v>
      </c>
      <c r="G85" s="66" t="n">
        <f aca="false">F85/B85</f>
        <v>0.0776720636068765</v>
      </c>
      <c r="H85" s="50" t="n">
        <f aca="false">F85-F84</f>
        <v>30499.5280265692</v>
      </c>
      <c r="I85" s="66" t="n">
        <f aca="false">MAX(0.005,pac_u_base*IF(Paths!AC85=1,pac_u_war,1)+(okun*(1-Economy!G85)*(B85+L85)-MAX(0,L84-L85))/B85)</f>
        <v>0.015</v>
      </c>
      <c r="J85" s="50" t="n">
        <f aca="false">IF(AND(gw_on=1,$A85&gt;=gw_start),MIN(gw_cap*B84,gw_cover*F84+gw_gen*B84),0)</f>
        <v>1129579.95004298</v>
      </c>
      <c r="K85" s="50" t="n">
        <f aca="false">L84*gw_conv</f>
        <v>27122.9042619658</v>
      </c>
      <c r="L85" s="50" t="n">
        <f aca="false">MAX(0,L84-K85+gw_adj*(J85-L84))*MAX(0,1-gw_slump*(1-Economy!G85))</f>
        <v>967167.160994544</v>
      </c>
      <c r="M85" s="50" t="n">
        <f aca="false">MAX(0,L85-L84+L84/gw_term)</f>
        <v>364435.955173081</v>
      </c>
      <c r="N85" s="66" t="n">
        <f aca="false">L85/B85</f>
        <v>0.104403511865886</v>
      </c>
      <c r="O85" s="56" t="n">
        <f aca="false">Economy!L85</f>
        <v>2278.86206532406</v>
      </c>
      <c r="P85" s="56" t="n">
        <f aca="false">O85*gw_wage_share</f>
        <v>1481.26034246064</v>
      </c>
      <c r="Q85" s="56" t="n">
        <f aca="false">P85*gw_levy</f>
        <v>370.31508561516</v>
      </c>
      <c r="R85" s="56" t="n">
        <f aca="false">P85*gw_remit</f>
        <v>370.31508561516</v>
      </c>
      <c r="S85" s="66" t="n">
        <f aca="false">IF(union_resp&gt;=1,MIN(1,MAX(0,($A85-resp_start)/(resp_full-resp_start))),0)</f>
        <v>1</v>
      </c>
      <c r="T85" s="70" t="n">
        <f aca="false">Economy!R84</f>
        <v>2.25324690717762</v>
      </c>
      <c r="U85" s="70" t="n">
        <f aca="false">MAX(0,T85-gap_base)</f>
        <v>0.753246907177617</v>
      </c>
      <c r="V85" s="71" t="n">
        <v>86.83</v>
      </c>
      <c r="W85" s="50" t="n">
        <f aca="false">V85*1000000*lf_rate*union_skill_share</f>
        <v>4376232</v>
      </c>
      <c r="X85" s="48" t="n">
        <v>147000</v>
      </c>
      <c r="Y85" s="50" t="n">
        <f aca="false">IF(AND(mig_endo=1,$A85&gt;=talent_start),talent_rate_u*W85*U85*(1-(1-bd_keep)*S85),0)</f>
        <v>10976.9561195754</v>
      </c>
      <c r="Z85" s="50" t="n">
        <f aca="false">IF(AND(mig_endo=1,$A85&gt;=talent_start),X85*MIN(0.5,talent_share_o*U85)*(1-eu_comp*S85),0)</f>
        <v>20927.4588221157</v>
      </c>
      <c r="AA85" s="48" t="n">
        <v>102000</v>
      </c>
      <c r="AB85" s="50" t="n">
        <f aca="false">IF(AND(mig_endo=1,$A85&gt;=talent_start),AA85*MIN(0.5,talent_share_a*U85),0)</f>
        <v>15366.2369064234</v>
      </c>
      <c r="AC85" s="50" t="n">
        <f aca="false">entry_cap*People!B85</f>
        <v>65061.9130773126</v>
      </c>
      <c r="AD85" s="50" t="n">
        <f aca="false">MIN(AC85,Y85+Z85+AB85)</f>
        <v>47270.6518481145</v>
      </c>
      <c r="AE85" s="50" t="n">
        <f aca="false">IF(Y85+Z85+AB85&gt;0,AD85*Y85/(Y85+Z85+AB85),0)</f>
        <v>10976.9561195754</v>
      </c>
      <c r="AF85" s="50" t="n">
        <f aca="false">IF(Y85+Z85+AB85&gt;0,AD85*AB85/(Y85+Z85+AB85),0)</f>
        <v>15366.2369064234</v>
      </c>
      <c r="AG85" s="50" t="n">
        <f aca="false">AD85*family_mult</f>
        <v>103995.434065852</v>
      </c>
      <c r="AH85" s="50" t="n">
        <f aca="false">AH84*(1+Paths!C85)+AG85</f>
        <v>2920472.97359517</v>
      </c>
      <c r="AI85" s="50" t="n">
        <f aca="false">IF(AND(mig_endo=1,$A85&gt;=talent_start),chain_rate*AH84,0)</f>
        <v>41622.8207812215</v>
      </c>
      <c r="AJ85" s="50" t="n">
        <f aca="false">IF(AND(mig_endo=1,$A85&gt;=talent_start),IF(H84&gt;0,H84*job_fill,H84*job_return)*job_family,0)</f>
        <v>34870.416596244</v>
      </c>
      <c r="AK85" s="50" t="n">
        <f aca="false">K85*gw_conv_family</f>
        <v>48821.2276715384</v>
      </c>
      <c r="AL85" s="50" t="n">
        <f aca="false">AG85+AI85+AJ85+AK85+AR85</f>
        <v>267537.17965412</v>
      </c>
      <c r="AM85" s="50" t="n">
        <f aca="false">AM84*(1-skill_ret)+AD85</f>
        <v>733273.025092262</v>
      </c>
      <c r="AN85" s="67" t="n">
        <f aca="false">AM85/B85</f>
        <v>0.079155167858916</v>
      </c>
      <c r="AO85" s="67" t="n">
        <f aca="false">(skill_rel-1+skill_spill)*AM84/B84-AT85</f>
        <v>0.0881517804439824</v>
      </c>
      <c r="AP85" s="67" t="n">
        <f aca="false">talent_champ*AM84/(skill_base_share*B84)</f>
        <v>0.157192327295263</v>
      </c>
      <c r="AQ85" s="48" t="n">
        <v>290000</v>
      </c>
      <c r="AR85" s="50" t="n">
        <f aca="false">IF(AND(div_on=1,$A85&gt;=div_start),AQ85*MIN(div_max,div_rate*U85)*(1-div_comp*S85),0)</f>
        <v>38227.2805392641</v>
      </c>
      <c r="AS85" s="50" t="n">
        <f aca="false">AS84*(1-div_assim)+AR85</f>
        <v>1174027.86735081</v>
      </c>
      <c r="AT85" s="67" t="n">
        <f aca="false">(1-div_rel)*AS84/Economy!B84</f>
        <v>0.0140232322979386</v>
      </c>
      <c r="AU85" s="50" t="n">
        <f aca="false">AU84*(1-skill_ret)+AE85</f>
        <v>235479.356219105</v>
      </c>
      <c r="AV85" s="50" t="n">
        <f aca="false">AV84*(1+union_nat)+AR85</f>
        <v>3144823.05362262</v>
      </c>
      <c r="AW85" s="50" t="n">
        <f aca="false">AW84*(1+union_nat)+AE85*family_mult</f>
        <v>996796.19064181</v>
      </c>
      <c r="AX85" s="70" t="n">
        <f aca="false">V85-(AV85+AW85)/1000000</f>
        <v>82.6883807557356</v>
      </c>
      <c r="AY85" s="50" t="n">
        <f aca="false">L85*gw_union</f>
        <v>193433.432198909</v>
      </c>
      <c r="AZ85" s="49" t="n">
        <v>1.063</v>
      </c>
      <c r="BA85" s="50" t="n">
        <f aca="false">Economy!Q85*AZ85/lf_rate</f>
        <v>1991.85952380952</v>
      </c>
      <c r="BB85" s="67" t="n">
        <f aca="false">bd_growth*AU84/W84</f>
        <v>0.00159612032513818</v>
      </c>
      <c r="BC85" s="67" t="n">
        <f aca="false">tg_k*MIN(1,Economy!O84/BK84)</f>
        <v>0.00188314865748894</v>
      </c>
      <c r="BD85" s="67" t="n">
        <f aca="false">emu_g*S85</f>
        <v>0.0015</v>
      </c>
      <c r="BE85" s="68" t="n">
        <f aca="false">BE84*(1-BB85-BC85+BD85)</f>
        <v>0.940149589447564</v>
      </c>
      <c r="BF85" s="49" t="n">
        <v>1</v>
      </c>
      <c r="BG85" s="56" t="n">
        <f aca="false">AU85*BA85*BE85*(skill_rel-1+skill_spill)/1000000</f>
        <v>573.260290392823</v>
      </c>
      <c r="BH85" s="56" t="n">
        <f aca="false">union_disp*(Champions!AP85+Champions!AZ85)*(1-IF(union_resp=2,mkt_cut*S85,0))</f>
        <v>806.563098186716</v>
      </c>
      <c r="BI85" s="56" t="n">
        <f aca="false">AY85*BA85*BE85/1000000</f>
        <v>362.232326350608</v>
      </c>
      <c r="BJ85" s="50" t="n">
        <f aca="false">V85*Economy!Q85*AZ85</f>
        <v>72640.32823</v>
      </c>
      <c r="BK85" s="50" t="n">
        <f aca="false">MAX(0.3*BJ85,AX85*Economy!Q85*AZ85*BE85*BF85-BG85-BH85-BI85)</f>
        <v>63293.2887794806</v>
      </c>
      <c r="BL85" s="66" t="n">
        <f aca="false">1-BK85/BJ85</f>
        <v>0.128675622457597</v>
      </c>
      <c r="BM85" s="50" t="n">
        <f aca="false">MAX(0,BH85-BH84)*1000000/BA85</f>
        <v>31476.5997565572</v>
      </c>
      <c r="BN85" s="50" t="n">
        <f aca="false">BN84*(1-IF(AND($A85&gt;=1930,$A85&lt;=1932),0,union_reabsorb))+BM85</f>
        <v>129924.990741027</v>
      </c>
      <c r="BO85" s="62" t="n">
        <v>0.032</v>
      </c>
      <c r="BP85" s="66" t="n">
        <f aca="false">BO85+BN85/(AX85*1000000*lf_rate)</f>
        <v>0.0357410965509638</v>
      </c>
    </row>
    <row r="86" customFormat="false" ht="14.25" hidden="false" customHeight="false" outlineLevel="0" collapsed="false">
      <c r="A86" s="61" t="n">
        <v>1926</v>
      </c>
      <c r="B86" s="50" t="n">
        <f aca="false">Economy!B86*lf_rate</f>
        <v>9574722.62020354</v>
      </c>
      <c r="C86" s="50" t="n">
        <f aca="false">Economy!O86*1000000/(B86+L86)</f>
        <v>4056.47716222946</v>
      </c>
      <c r="D86" s="50" t="n">
        <f aca="false">Champions!AP86*1000000/(C86*champ_prem)</f>
        <v>453974.640116217</v>
      </c>
      <c r="E86" s="50" t="n">
        <f aca="false">D86*job_mult</f>
        <v>317782.248081352</v>
      </c>
      <c r="F86" s="50" t="n">
        <f aca="false">D86+E86</f>
        <v>771756.88819757</v>
      </c>
      <c r="G86" s="66" t="n">
        <f aca="false">F86/B86</f>
        <v>0.0806035766058739</v>
      </c>
      <c r="H86" s="50" t="n">
        <f aca="false">F86-F85</f>
        <v>52222.957732187</v>
      </c>
      <c r="I86" s="66" t="n">
        <f aca="false">MAX(0.005,pac_u_base*IF(Paths!AC86=1,pac_u_war,1)+(okun*(1-Economy!G86)*(B86+L86)-MAX(0,L85-L86))/B86)</f>
        <v>0.015</v>
      </c>
      <c r="J86" s="50" t="n">
        <f aca="false">IF(AND(gw_on=1,$A86&gt;=gw_start),MIN(gw_cap*B85,gw_cover*F85+gw_gen*B85),0)</f>
        <v>1172819.69006181</v>
      </c>
      <c r="K86" s="50" t="n">
        <f aca="false">L85*gw_conv</f>
        <v>29015.0148298363</v>
      </c>
      <c r="L86" s="50" t="n">
        <f aca="false">MAX(0,L85-K86+gw_adj*(J86-L85))*MAX(0,1-gw_slump*(1-Economy!G86))</f>
        <v>1020413.15779162</v>
      </c>
      <c r="M86" s="50" t="n">
        <f aca="false">MAX(0,L86-L85+L85/gw_term)</f>
        <v>375635.05046192</v>
      </c>
      <c r="N86" s="66" t="n">
        <f aca="false">L86/B86</f>
        <v>0.10657365213259</v>
      </c>
      <c r="O86" s="56" t="n">
        <f aca="false">Economy!L86</f>
        <v>2421.56056917679</v>
      </c>
      <c r="P86" s="56" t="n">
        <f aca="false">O86*gw_wage_share</f>
        <v>1574.01436996491</v>
      </c>
      <c r="Q86" s="56" t="n">
        <f aca="false">P86*gw_levy</f>
        <v>393.503592491229</v>
      </c>
      <c r="R86" s="56" t="n">
        <f aca="false">P86*gw_remit</f>
        <v>393.503592491229</v>
      </c>
      <c r="S86" s="66" t="n">
        <f aca="false">IF(union_resp&gt;=1,MIN(1,MAX(0,($A86-resp_start)/(resp_full-resp_start))),0)</f>
        <v>1</v>
      </c>
      <c r="T86" s="70" t="n">
        <f aca="false">Economy!R85</f>
        <v>2.27178038951537</v>
      </c>
      <c r="U86" s="70" t="n">
        <f aca="false">MAX(0,T86-gap_base)</f>
        <v>0.771780389515366</v>
      </c>
      <c r="V86" s="71" t="n">
        <v>87.8</v>
      </c>
      <c r="W86" s="50" t="n">
        <f aca="false">V86*1000000*lf_rate*union_skill_share</f>
        <v>4425120</v>
      </c>
      <c r="X86" s="48" t="n">
        <v>140000</v>
      </c>
      <c r="Y86" s="50" t="n">
        <f aca="false">IF(AND(mig_endo=1,$A86&gt;=talent_start),talent_rate_u*W86*U86*(1-(1-bd_keep)*S86),0)</f>
        <v>11372.68538805</v>
      </c>
      <c r="Z86" s="50" t="n">
        <f aca="false">IF(AND(mig_endo=1,$A86&gt;=talent_start),X86*MIN(0.5,talent_share_o*U86)*(1-eu_comp*S86),0)</f>
        <v>20421.3091065766</v>
      </c>
      <c r="AA86" s="48" t="n">
        <v>107000</v>
      </c>
      <c r="AB86" s="50" t="n">
        <f aca="false">IF(AND(mig_endo=1,$A86&gt;=talent_start),AA86*MIN(0.5,talent_share_a*U86),0)</f>
        <v>16516.1003356288</v>
      </c>
      <c r="AC86" s="50" t="n">
        <f aca="false">entry_cap*People!B86</f>
        <v>67277.2533124347</v>
      </c>
      <c r="AD86" s="50" t="n">
        <f aca="false">MIN(AC86,Y86+Z86+AB86)</f>
        <v>48310.0948302554</v>
      </c>
      <c r="AE86" s="50" t="n">
        <f aca="false">IF(Y86+Z86+AB86&gt;0,AD86*Y86/(Y86+Z86+AB86),0)</f>
        <v>11372.68538805</v>
      </c>
      <c r="AF86" s="50" t="n">
        <f aca="false">IF(Y86+Z86+AB86&gt;0,AD86*AB86/(Y86+Z86+AB86),0)</f>
        <v>16516.1003356288</v>
      </c>
      <c r="AG86" s="50" t="n">
        <f aca="false">AD86*family_mult</f>
        <v>106282.208626562</v>
      </c>
      <c r="AH86" s="50" t="n">
        <f aca="false">AH85*(1+Paths!C86)+AG86</f>
        <v>3070562.27682566</v>
      </c>
      <c r="AI86" s="50" t="n">
        <f aca="false">IF(AND(mig_endo=1,$A86&gt;=talent_start),chain_rate*AH85,0)</f>
        <v>43807.0946039276</v>
      </c>
      <c r="AJ86" s="50" t="n">
        <f aca="false">IF(AND(mig_endo=1,$A86&gt;=talent_start),IF(H85&gt;0,H85*job_fill,H85*job_return)*job_family,0)</f>
        <v>19214.7026567386</v>
      </c>
      <c r="AK86" s="50" t="n">
        <f aca="false">K86*gw_conv_family</f>
        <v>52227.0266937054</v>
      </c>
      <c r="AL86" s="50" t="n">
        <f aca="false">AG86+AI86+AJ86+AK86+AR86</f>
        <v>260428.764212508</v>
      </c>
      <c r="AM86" s="50" t="n">
        <f aca="false">AM85*(1-skill_ret)+AD86</f>
        <v>763251.294295211</v>
      </c>
      <c r="AN86" s="67" t="n">
        <f aca="false">AM86/B86</f>
        <v>0.0797152381923505</v>
      </c>
      <c r="AO86" s="67" t="n">
        <f aca="false">(skill_rel-1+skill_spill)*AM85/B85-AT86</f>
        <v>0.0895946841081861</v>
      </c>
      <c r="AP86" s="67" t="n">
        <f aca="false">talent_champ*AM85/(skill_base_share*B85)</f>
        <v>0.158310335717832</v>
      </c>
      <c r="AQ86" s="48" t="n">
        <v>288000</v>
      </c>
      <c r="AR86" s="50" t="n">
        <f aca="false">IF(AND(div_on=1,$A86&gt;=div_start),AQ86*MIN(div_max,div_rate*U86)*(1-div_comp*S86),0)</f>
        <v>38897.7316315745</v>
      </c>
      <c r="AS86" s="50" t="n">
        <f aca="false">AS85*(1-div_assim)+AR86</f>
        <v>1154224.20561484</v>
      </c>
      <c r="AT86" s="67" t="n">
        <f aca="false">(1-div_rel)*AS85/Economy!B85</f>
        <v>0.0133070341084047</v>
      </c>
      <c r="AU86" s="50" t="n">
        <f aca="false">AU85*(1-skill_ret)+AE86</f>
        <v>240965.057701678</v>
      </c>
      <c r="AV86" s="50" t="n">
        <f aca="false">AV85*(1+union_nat)+AR86</f>
        <v>3224603.48495128</v>
      </c>
      <c r="AW86" s="50" t="n">
        <f aca="false">AW85*(1+union_nat)+AE86*family_mult</f>
        <v>1034774.44897386</v>
      </c>
      <c r="AX86" s="70" t="n">
        <f aca="false">V86-(AV86+AW86)/1000000</f>
        <v>83.5406220660749</v>
      </c>
      <c r="AY86" s="50" t="n">
        <f aca="false">L86*gw_union</f>
        <v>204082.631558323</v>
      </c>
      <c r="AZ86" s="49" t="n">
        <v>1.064</v>
      </c>
      <c r="BA86" s="50" t="n">
        <f aca="false">Economy!Q86*AZ86/lf_rate</f>
        <v>2077.33333333333</v>
      </c>
      <c r="BB86" s="67" t="n">
        <f aca="false">bd_growth*AU85/W85</f>
        <v>0.00161426100960213</v>
      </c>
      <c r="BC86" s="67" t="n">
        <f aca="false">tg_k*MIN(1,Economy!O85/BK85)</f>
        <v>0.00195110073343995</v>
      </c>
      <c r="BD86" s="67" t="n">
        <f aca="false">emu_g*S86</f>
        <v>0.0015</v>
      </c>
      <c r="BE86" s="68" t="n">
        <f aca="false">BE85*(1-BB86-BC86+BD86)</f>
        <v>0.938207840452782</v>
      </c>
      <c r="BF86" s="49" t="n">
        <v>1</v>
      </c>
      <c r="BG86" s="56" t="n">
        <f aca="false">AU86*BA86*BE86*(skill_rel-1+skill_spill)/1000000</f>
        <v>610.523900806104</v>
      </c>
      <c r="BH86" s="56" t="n">
        <f aca="false">union_disp*(Champions!AP86+Champions!AZ86)*(1-IF(union_resp=2,mkt_cut*S86,0))</f>
        <v>872.530056538869</v>
      </c>
      <c r="BI86" s="56" t="n">
        <f aca="false">AY86*BA86*BE86/1000000</f>
        <v>397.751012258695</v>
      </c>
      <c r="BJ86" s="50" t="n">
        <f aca="false">V86*Economy!Q86*AZ86</f>
        <v>76603.744</v>
      </c>
      <c r="BK86" s="50" t="n">
        <f aca="false">MAX(0.3*BJ86,AX86*Economy!Q86*AZ86*BE86*BF86-BG86-BH86-BI86)</f>
        <v>66502.8395858746</v>
      </c>
      <c r="BL86" s="66" t="n">
        <f aca="false">1-BK86/BJ86</f>
        <v>0.131859147956599</v>
      </c>
      <c r="BM86" s="50" t="n">
        <f aca="false">MAX(0,BH86-BH85)*1000000/BA86</f>
        <v>31755.5961258759</v>
      </c>
      <c r="BN86" s="50" t="n">
        <f aca="false">BN85*(1-IF(AND($A86&gt;=1930,$A86&lt;=1932),0,union_reabsorb))+BM86</f>
        <v>129199.339181646</v>
      </c>
      <c r="BO86" s="62" t="n">
        <v>0.032</v>
      </c>
      <c r="BP86" s="66" t="n">
        <f aca="false">BO86+BN86/(AX86*1000000*lf_rate)</f>
        <v>0.0356822502231155</v>
      </c>
    </row>
    <row r="87" customFormat="false" ht="14.25" hidden="false" customHeight="false" outlineLevel="0" collapsed="false">
      <c r="A87" s="61" t="n">
        <v>1927</v>
      </c>
      <c r="B87" s="50" t="n">
        <f aca="false">Economy!B87*lf_rate</f>
        <v>9889821.80269323</v>
      </c>
      <c r="C87" s="50" t="n">
        <f aca="false">Economy!O87*1000000/(B87+L87)</f>
        <v>4067.501863278</v>
      </c>
      <c r="D87" s="50" t="n">
        <f aca="false">Champions!AP87*1000000/(C87*champ_prem)</f>
        <v>491958.75120668</v>
      </c>
      <c r="E87" s="50" t="n">
        <f aca="false">D87*job_mult</f>
        <v>344371.125844676</v>
      </c>
      <c r="F87" s="50" t="n">
        <f aca="false">D87+E87</f>
        <v>836329.877051356</v>
      </c>
      <c r="G87" s="66" t="n">
        <f aca="false">F87/B87</f>
        <v>0.0845647063957819</v>
      </c>
      <c r="H87" s="50" t="n">
        <f aca="false">F87-F86</f>
        <v>64572.9888537863</v>
      </c>
      <c r="I87" s="66" t="n">
        <f aca="false">MAX(0.005,pac_u_base*IF(Paths!AC87=1,pac_u_war,1)+(okun*(1-Economy!G87)*(B87+L87)-MAX(0,L86-L87))/B87)</f>
        <v>0.015</v>
      </c>
      <c r="J87" s="50" t="n">
        <f aca="false">IF(AND(gw_on=1,$A87&gt;=gw_start),MIN(gw_cap*B86,gw_cover*F86+gw_gen*B86),0)</f>
        <v>1229031.94253482</v>
      </c>
      <c r="K87" s="50" t="n">
        <f aca="false">L86*gw_conv</f>
        <v>30612.3947337485</v>
      </c>
      <c r="L87" s="50" t="n">
        <f aca="false">MAX(0,L86-K87+gw_adj*(J87-L86))*MAX(0,1-gw_slump*(1-Economy!G87))</f>
        <v>1073248.27695515</v>
      </c>
      <c r="M87" s="50" t="n">
        <f aca="false">MAX(0,L87-L86+L86/gw_term)</f>
        <v>392972.838427407</v>
      </c>
      <c r="N87" s="66" t="n">
        <f aca="false">L87/B87</f>
        <v>0.108520486856788</v>
      </c>
      <c r="O87" s="56" t="n">
        <f aca="false">Economy!L87</f>
        <v>2547.67802985422</v>
      </c>
      <c r="P87" s="56" t="n">
        <f aca="false">O87*gw_wage_share</f>
        <v>1655.99071940524</v>
      </c>
      <c r="Q87" s="56" t="n">
        <f aca="false">P87*gw_levy</f>
        <v>413.997679851311</v>
      </c>
      <c r="R87" s="56" t="n">
        <f aca="false">P87*gw_remit</f>
        <v>413.997679851311</v>
      </c>
      <c r="S87" s="66" t="n">
        <f aca="false">IF(union_resp&gt;=1,MIN(1,MAX(0,($A87-resp_start)/(resp_full-resp_start))),0)</f>
        <v>1</v>
      </c>
      <c r="T87" s="70" t="n">
        <f aca="false">Economy!R86</f>
        <v>2.20063427918881</v>
      </c>
      <c r="U87" s="70" t="n">
        <f aca="false">MAX(0,T87-gap_base)</f>
        <v>0.700634279188807</v>
      </c>
      <c r="V87" s="71" t="n">
        <v>88.77</v>
      </c>
      <c r="W87" s="50" t="n">
        <f aca="false">V87*1000000*lf_rate*union_skill_share</f>
        <v>4474008</v>
      </c>
      <c r="X87" s="48" t="n">
        <v>133000</v>
      </c>
      <c r="Y87" s="50" t="n">
        <f aca="false">IF(AND(mig_endo=1,$A87&gt;=talent_start),talent_rate_u*W87*U87*(1-(1-bd_keep)*S87),0)</f>
        <v>10438.3624226493</v>
      </c>
      <c r="Z87" s="50" t="n">
        <f aca="false">IF(AND(mig_endo=1,$A87&gt;=talent_start),X87*MIN(0.5,talent_share_o*U87)*(1-eu_comp*S87),0)</f>
        <v>17611.843875969</v>
      </c>
      <c r="AA87" s="48" t="n">
        <v>111000</v>
      </c>
      <c r="AB87" s="50" t="n">
        <f aca="false">IF(AND(mig_endo=1,$A87&gt;=talent_start),AA87*MIN(0.5,talent_share_a*U87),0)</f>
        <v>15554.0809979915</v>
      </c>
      <c r="AC87" s="50" t="n">
        <f aca="false">entry_cap*People!B87</f>
        <v>69504.4984047587</v>
      </c>
      <c r="AD87" s="50" t="n">
        <f aca="false">MIN(AC87,Y87+Z87+AB87)</f>
        <v>43604.2872966099</v>
      </c>
      <c r="AE87" s="50" t="n">
        <f aca="false">IF(Y87+Z87+AB87&gt;0,AD87*Y87/(Y87+Z87+AB87),0)</f>
        <v>10438.3624226493</v>
      </c>
      <c r="AF87" s="50" t="n">
        <f aca="false">IF(Y87+Z87+AB87&gt;0,AD87*AB87/(Y87+Z87+AB87),0)</f>
        <v>15554.0809979915</v>
      </c>
      <c r="AG87" s="50" t="n">
        <f aca="false">AD87*family_mult</f>
        <v>95929.4320525417</v>
      </c>
      <c r="AH87" s="50" t="n">
        <f aca="false">AH86*(1+Paths!C87)+AG87</f>
        <v>3212550.14303059</v>
      </c>
      <c r="AI87" s="50" t="n">
        <f aca="false">IF(AND(mig_endo=1,$A87&gt;=talent_start),chain_rate*AH86,0)</f>
        <v>46058.4341523849</v>
      </c>
      <c r="AJ87" s="50" t="n">
        <f aca="false">IF(AND(mig_endo=1,$A87&gt;=talent_start),IF(H86&gt;0,H86*job_fill,H86*job_return)*job_family,0)</f>
        <v>32900.4633712778</v>
      </c>
      <c r="AK87" s="50" t="n">
        <f aca="false">K87*gw_conv_family</f>
        <v>55102.3105207472</v>
      </c>
      <c r="AL87" s="50" t="n">
        <f aca="false">AG87+AI87+AJ87+AK87+AR87</f>
        <v>264934.774771493</v>
      </c>
      <c r="AM87" s="50" t="n">
        <f aca="false">AM86*(1-skill_ret)+AD87</f>
        <v>787774.29923444</v>
      </c>
      <c r="AN87" s="67" t="n">
        <f aca="false">AM87/B87</f>
        <v>0.0796550549596264</v>
      </c>
      <c r="AO87" s="67" t="n">
        <f aca="false">(skill_rel-1+skill_spill)*AM86/B86-AT87</f>
        <v>0.0909721540294292</v>
      </c>
      <c r="AP87" s="67" t="n">
        <f aca="false">talent_champ*AM86/(skill_base_share*B86)</f>
        <v>0.159430476384701</v>
      </c>
      <c r="AQ87" s="48" t="n">
        <v>285000</v>
      </c>
      <c r="AR87" s="50" t="n">
        <f aca="false">IF(AND(div_on=1,$A87&gt;=div_start),AQ87*MIN(div_max,div_rate*U87)*(1-div_comp*S87),0)</f>
        <v>34944.1346745418</v>
      </c>
      <c r="AS87" s="50" t="n">
        <f aca="false">AS86*(1-div_assim)+AR87</f>
        <v>1131457.13000864</v>
      </c>
      <c r="AT87" s="67" t="n">
        <f aca="false">(1-div_rel)*AS86/Economy!B86</f>
        <v>0.0126576556206264</v>
      </c>
      <c r="AU87" s="50" t="n">
        <f aca="false">AU86*(1-skill_ret)+AE87</f>
        <v>245379.293681785</v>
      </c>
      <c r="AV87" s="50" t="n">
        <f aca="false">AV86*(1+union_nat)+AR87</f>
        <v>3301467.46493019</v>
      </c>
      <c r="AW87" s="50" t="n">
        <f aca="false">AW86*(1+union_nat)+AE87*family_mult</f>
        <v>1071190.91414035</v>
      </c>
      <c r="AX87" s="70" t="n">
        <f aca="false">V87-(AV87+AW87)/1000000</f>
        <v>84.3973416209295</v>
      </c>
      <c r="AY87" s="50" t="n">
        <f aca="false">L87*gw_union</f>
        <v>214649.65539103</v>
      </c>
      <c r="AZ87" s="49" t="n">
        <v>1.065</v>
      </c>
      <c r="BA87" s="50" t="n">
        <f aca="false">Economy!Q87*AZ87/lf_rate</f>
        <v>2041.25</v>
      </c>
      <c r="BB87" s="67" t="n">
        <f aca="false">bd_growth*AU86/W86</f>
        <v>0.00163361710666611</v>
      </c>
      <c r="BC87" s="67" t="n">
        <f aca="false">tg_k*MIN(1,Economy!O86/BK86)</f>
        <v>0.00193881614297052</v>
      </c>
      <c r="BD87" s="67" t="n">
        <f aca="false">emu_g*S87</f>
        <v>0.0015</v>
      </c>
      <c r="BE87" s="68" t="n">
        <f aca="false">BE86*(1-BB87-BC87+BD87)</f>
        <v>0.936263467329158</v>
      </c>
      <c r="BF87" s="49" t="n">
        <v>1</v>
      </c>
      <c r="BG87" s="56" t="n">
        <f aca="false">AU87*BA87*BE87*(skill_rel-1+skill_spill)/1000000</f>
        <v>609.642927327848</v>
      </c>
      <c r="BH87" s="56" t="n">
        <f aca="false">union_disp*(Champions!AP87+Champions!AZ87)*(1-IF(union_resp=2,mkt_cut*S87,0))</f>
        <v>952.604340960556</v>
      </c>
      <c r="BI87" s="56" t="n">
        <f aca="false">AY87*BA87*BE87/1000000</f>
        <v>410.227217247798</v>
      </c>
      <c r="BJ87" s="50" t="n">
        <f aca="false">V87*Economy!Q87*AZ87</f>
        <v>76104.74025</v>
      </c>
      <c r="BK87" s="50" t="n">
        <f aca="false">MAX(0.3*BJ87,AX87*Economy!Q87*AZ87*BE87*BF87-BG87-BH87-BI87)</f>
        <v>65771.7589908304</v>
      </c>
      <c r="BL87" s="66" t="n">
        <f aca="false">1-BK87/BJ87</f>
        <v>0.135773162423607</v>
      </c>
      <c r="BM87" s="50" t="n">
        <f aca="false">MAX(0,BH87-BH86)*1000000/BA87</f>
        <v>39228.0634031533</v>
      </c>
      <c r="BN87" s="50" t="n">
        <f aca="false">BN86*(1-IF(AND($A87&gt;=1930,$A87&lt;=1932),0,union_reabsorb))+BM87</f>
        <v>136127.567789388</v>
      </c>
      <c r="BO87" s="62" t="n">
        <v>0.032</v>
      </c>
      <c r="BP87" s="66" t="n">
        <f aca="false">BO87+BN87/(AX87*1000000*lf_rate)</f>
        <v>0.035840325422774</v>
      </c>
    </row>
    <row r="88" customFormat="false" ht="14.25" hidden="false" customHeight="false" outlineLevel="0" collapsed="false">
      <c r="A88" s="61" t="n">
        <v>1928</v>
      </c>
      <c r="B88" s="50" t="n">
        <f aca="false">Economy!B88*lf_rate</f>
        <v>10215134.3100117</v>
      </c>
      <c r="C88" s="50" t="n">
        <f aca="false">Economy!O88*1000000/(B88+L88)</f>
        <v>4218.66845200781</v>
      </c>
      <c r="D88" s="50" t="n">
        <f aca="false">Champions!AP88*1000000/(C88*champ_prem)</f>
        <v>512572.819154024</v>
      </c>
      <c r="E88" s="50" t="n">
        <f aca="false">D88*job_mult</f>
        <v>358800.973407817</v>
      </c>
      <c r="F88" s="50" t="n">
        <f aca="false">D88+E88</f>
        <v>871373.792561841</v>
      </c>
      <c r="G88" s="66" t="n">
        <f aca="false">F88/B88</f>
        <v>0.0853022354985404</v>
      </c>
      <c r="H88" s="50" t="n">
        <f aca="false">F88-F87</f>
        <v>35043.9155104857</v>
      </c>
      <c r="I88" s="66" t="n">
        <f aca="false">MAX(0.005,pac_u_base*IF(Paths!AC88=1,pac_u_war,1)+(okun*(1-Economy!G88)*(B88+L88)-MAX(0,L87-L88))/B88)</f>
        <v>0.015</v>
      </c>
      <c r="J88" s="50" t="n">
        <f aca="false">IF(AND(gw_on=1,$A88&gt;=gw_start),MIN(gw_cap*B87,gw_cover*F87+gw_gen*B87),0)</f>
        <v>1292983.67044627</v>
      </c>
      <c r="K88" s="50" t="n">
        <f aca="false">L87*gw_conv</f>
        <v>32197.4483086545</v>
      </c>
      <c r="L88" s="50" t="n">
        <f aca="false">MAX(0,L87-K88+gw_adj*(J88-L87))*MAX(0,1-gw_slump*(1-Economy!G88))</f>
        <v>1128944.98604294</v>
      </c>
      <c r="M88" s="50" t="n">
        <f aca="false">MAX(0,L88-L87+L87/gw_term)</f>
        <v>413446.134739511</v>
      </c>
      <c r="N88" s="66" t="n">
        <f aca="false">L88/B88</f>
        <v>0.110516900882691</v>
      </c>
      <c r="O88" s="56" t="n">
        <f aca="false">Economy!L88</f>
        <v>2780.25909475442</v>
      </c>
      <c r="P88" s="56" t="n">
        <f aca="false">O88*gw_wage_share</f>
        <v>1807.16841159037</v>
      </c>
      <c r="Q88" s="56" t="n">
        <f aca="false">P88*gw_levy</f>
        <v>451.792102897593</v>
      </c>
      <c r="R88" s="56" t="n">
        <f aca="false">P88*gw_remit</f>
        <v>451.792102897593</v>
      </c>
      <c r="S88" s="66" t="n">
        <f aca="false">IF(union_resp&gt;=1,MIN(1,MAX(0,($A88-resp_start)/(resp_full-resp_start))),0)</f>
        <v>1</v>
      </c>
      <c r="T88" s="70" t="n">
        <f aca="false">Economy!R87</f>
        <v>2.24992585621502</v>
      </c>
      <c r="U88" s="70" t="n">
        <f aca="false">MAX(0,T88-gap_base)</f>
        <v>0.749925856215015</v>
      </c>
      <c r="V88" s="71" t="n">
        <v>89.73</v>
      </c>
      <c r="W88" s="50" t="n">
        <f aca="false">V88*1000000*lf_rate*union_skill_share</f>
        <v>4522392</v>
      </c>
      <c r="X88" s="48" t="n">
        <v>127000</v>
      </c>
      <c r="Y88" s="50" t="n">
        <f aca="false">IF(AND(mig_endo=1,$A88&gt;=talent_start),talent_rate_u*W88*U88*(1-(1-bd_keep)*S88),0)</f>
        <v>11293.557446824</v>
      </c>
      <c r="Z88" s="50" t="n">
        <f aca="false">IF(AND(mig_endo=1,$A88&gt;=talent_start),X88*MIN(0.5,talent_share_o*U88)*(1-eu_comp*S88),0)</f>
        <v>18000.470326729</v>
      </c>
      <c r="AA88" s="48" t="n">
        <v>116000</v>
      </c>
      <c r="AB88" s="50" t="n">
        <f aca="false">IF(AND(mig_endo=1,$A88&gt;=talent_start),AA88*MIN(0.5,talent_share_a*U88),0)</f>
        <v>17398.2798641884</v>
      </c>
      <c r="AC88" s="50" t="n">
        <f aca="false">entry_cap*People!B88</f>
        <v>71778.6702051446</v>
      </c>
      <c r="AD88" s="50" t="n">
        <f aca="false">MIN(AC88,Y88+Z88+AB88)</f>
        <v>46692.3076377413</v>
      </c>
      <c r="AE88" s="50" t="n">
        <f aca="false">IF(Y88+Z88+AB88&gt;0,AD88*Y88/(Y88+Z88+AB88),0)</f>
        <v>11293.557446824</v>
      </c>
      <c r="AF88" s="50" t="n">
        <f aca="false">IF(Y88+Z88+AB88&gt;0,AD88*AB88/(Y88+Z88+AB88),0)</f>
        <v>17398.2798641884</v>
      </c>
      <c r="AG88" s="50" t="n">
        <f aca="false">AD88*family_mult</f>
        <v>102723.076803031</v>
      </c>
      <c r="AH88" s="50" t="n">
        <f aca="false">AH87*(1+Paths!C88)+AG88</f>
        <v>3363461.47197908</v>
      </c>
      <c r="AI88" s="50" t="n">
        <f aca="false">IF(AND(mig_endo=1,$A88&gt;=talent_start),chain_rate*AH87,0)</f>
        <v>48188.2521454588</v>
      </c>
      <c r="AJ88" s="50" t="n">
        <f aca="false">IF(AND(mig_endo=1,$A88&gt;=talent_start),IF(H87&gt;0,H87*job_fill,H87*job_return)*job_family,0)</f>
        <v>40680.9829778853</v>
      </c>
      <c r="AK88" s="50" t="n">
        <f aca="false">K88*gw_conv_family</f>
        <v>57955.4069555781</v>
      </c>
      <c r="AL88" s="50" t="n">
        <f aca="false">AG88+AI88+AJ88+AK88+AR88</f>
        <v>286556.559886164</v>
      </c>
      <c r="AM88" s="50" t="n">
        <f aca="false">AM87*(1-skill_ret)+AD88</f>
        <v>814772.249391321</v>
      </c>
      <c r="AN88" s="67" t="n">
        <f aca="false">AM88/B88</f>
        <v>0.0797612860158649</v>
      </c>
      <c r="AO88" s="67" t="n">
        <f aca="false">(skill_rel-1+skill_spill)*AM87/B87-AT88</f>
        <v>0.0915389183359532</v>
      </c>
      <c r="AP88" s="67" t="n">
        <f aca="false">talent_champ*AM87/(skill_base_share*B87)</f>
        <v>0.159310109919253</v>
      </c>
      <c r="AQ88" s="48" t="n">
        <v>282000</v>
      </c>
      <c r="AR88" s="50" t="n">
        <f aca="false">IF(AND(div_on=1,$A88&gt;=div_start),AQ88*MIN(div_max,div_rate*U88)*(1-div_comp*S88),0)</f>
        <v>37008.841004211</v>
      </c>
      <c r="AS88" s="50" t="n">
        <f aca="false">AS87*(1-div_assim)+AR88</f>
        <v>1111893.11451242</v>
      </c>
      <c r="AT88" s="67" t="n">
        <f aca="false">(1-div_rel)*AS87/Economy!B87</f>
        <v>0.0120126531115611</v>
      </c>
      <c r="AU88" s="50" t="n">
        <f aca="false">AU87*(1-skill_ret)+AE88</f>
        <v>250538.368786564</v>
      </c>
      <c r="AV88" s="50" t="n">
        <f aca="false">AV87*(1+union_nat)+AR88</f>
        <v>3381395.3829785</v>
      </c>
      <c r="AW88" s="50" t="n">
        <f aca="false">AW87*(1+union_nat)+AE88*family_mult</f>
        <v>1109962.22240719</v>
      </c>
      <c r="AX88" s="70" t="n">
        <f aca="false">V88-(AV88+AW88)/1000000</f>
        <v>85.2386423946143</v>
      </c>
      <c r="AY88" s="50" t="n">
        <f aca="false">L88*gw_union</f>
        <v>225788.997208589</v>
      </c>
      <c r="AZ88" s="49" t="n">
        <v>1.066</v>
      </c>
      <c r="BA88" s="50" t="n">
        <f aca="false">Economy!Q88*AZ88/lf_rate</f>
        <v>2068.54761904762</v>
      </c>
      <c r="BB88" s="67" t="n">
        <f aca="false">bd_growth*AU87/W87</f>
        <v>0.00164536558952365</v>
      </c>
      <c r="BC88" s="67" t="n">
        <f aca="false">tg_k*MIN(1,Economy!O87/BK87)</f>
        <v>0.00203395691374625</v>
      </c>
      <c r="BD88" s="67" t="n">
        <f aca="false">emu_g*S88</f>
        <v>0.0015</v>
      </c>
      <c r="BE88" s="68" t="n">
        <f aca="false">BE87*(1-BB88-BC88+BD88)</f>
        <v>0.934223047285818</v>
      </c>
      <c r="BF88" s="49" t="n">
        <v>1</v>
      </c>
      <c r="BG88" s="56" t="n">
        <f aca="false">AU88*BA88*BE88*(skill_rel-1+skill_spill)/1000000</f>
        <v>629.410085927767</v>
      </c>
      <c r="BH88" s="56" t="n">
        <f aca="false">union_disp*(Champions!AP88+Champions!AZ88)*(1-IF(union_resp=2,mkt_cut*S88,0))</f>
        <v>1032.8129945773</v>
      </c>
      <c r="BI88" s="56" t="n">
        <f aca="false">AY88*BA88*BE88/1000000</f>
        <v>436.333818687837</v>
      </c>
      <c r="BJ88" s="50" t="n">
        <f aca="false">V88*Economy!Q88*AZ88</f>
        <v>77956.5267</v>
      </c>
      <c r="BK88" s="50" t="n">
        <f aca="false">MAX(0.3*BJ88,AX88*Economy!Q88*AZ88*BE88*BF88-BG88-BH88-BI88)</f>
        <v>67084.8451893017</v>
      </c>
      <c r="BL88" s="66" t="n">
        <f aca="false">1-BK88/BJ88</f>
        <v>0.139458259249232</v>
      </c>
      <c r="BM88" s="50" t="n">
        <f aca="false">MAX(0,BH88-BH87)*1000000/BA88</f>
        <v>38775.3479195581</v>
      </c>
      <c r="BN88" s="50" t="n">
        <f aca="false">BN87*(1-IF(AND($A88&gt;=1930,$A88&lt;=1932),0,union_reabsorb))+BM88</f>
        <v>140871.023761599</v>
      </c>
      <c r="BO88" s="62" t="n">
        <v>0.032</v>
      </c>
      <c r="BP88" s="66" t="n">
        <f aca="false">BO88+BN88/(AX88*1000000*lf_rate)</f>
        <v>0.0359349195389528</v>
      </c>
    </row>
    <row r="89" customFormat="false" ht="14.25" hidden="false" customHeight="false" outlineLevel="0" collapsed="false">
      <c r="A89" s="61" t="n">
        <v>1929</v>
      </c>
      <c r="B89" s="50" t="n">
        <f aca="false">Economy!B89*lf_rate</f>
        <v>10549041.0082467</v>
      </c>
      <c r="C89" s="50" t="n">
        <f aca="false">Economy!O89*1000000/(B89+L89)</f>
        <v>4329.71790281215</v>
      </c>
      <c r="D89" s="50" t="n">
        <f aca="false">Champions!AP89*1000000/(C89*champ_prem)</f>
        <v>535336.865545109</v>
      </c>
      <c r="E89" s="50" t="n">
        <f aca="false">D89*job_mult</f>
        <v>374735.805881576</v>
      </c>
      <c r="F89" s="50" t="n">
        <f aca="false">D89+E89</f>
        <v>910072.671426685</v>
      </c>
      <c r="G89" s="66" t="n">
        <f aca="false">F89/B89</f>
        <v>0.0862706544334445</v>
      </c>
      <c r="H89" s="50" t="n">
        <f aca="false">F89-F88</f>
        <v>38698.8788648439</v>
      </c>
      <c r="I89" s="66" t="n">
        <f aca="false">MAX(0.005,pac_u_base*IF(Paths!AC89=1,pac_u_war,1)+(okun*(1-Economy!G89)*(B89+L89)-MAX(0,L88-L89))/B89)</f>
        <v>0.015</v>
      </c>
      <c r="J89" s="50" t="n">
        <f aca="false">IF(AND(gw_on=1,$A89&gt;=gw_start),MIN(gw_cap*B88,gw_cover*F88+gw_gen*B88),0)</f>
        <v>1340035.02033804</v>
      </c>
      <c r="K89" s="50" t="n">
        <f aca="false">L88*gw_conv</f>
        <v>33868.3495812883</v>
      </c>
      <c r="L89" s="50" t="n">
        <f aca="false">MAX(0,L88-K89+gw_adj*(J89-L88))*MAX(0,1-gw_slump*(1-Economy!G89))</f>
        <v>1179512.6501797</v>
      </c>
      <c r="M89" s="50" t="n">
        <f aca="false">MAX(0,L89-L88+L88/gw_term)</f>
        <v>426882.6594844</v>
      </c>
      <c r="N89" s="66" t="n">
        <f aca="false">L89/B89</f>
        <v>0.111812310641092</v>
      </c>
      <c r="O89" s="56" t="n">
        <f aca="false">Economy!L89</f>
        <v>2980.7437629073</v>
      </c>
      <c r="P89" s="56" t="n">
        <f aca="false">O89*gw_wage_share</f>
        <v>1937.48344588974</v>
      </c>
      <c r="Q89" s="56" t="n">
        <f aca="false">P89*gw_levy</f>
        <v>484.370861472436</v>
      </c>
      <c r="R89" s="56" t="n">
        <f aca="false">P89*gw_remit</f>
        <v>484.370861472436</v>
      </c>
      <c r="S89" s="66" t="n">
        <f aca="false">IF(union_resp&gt;=1,MIN(1,MAX(0,($A89-resp_start)/(resp_full-resp_start))),0)</f>
        <v>1</v>
      </c>
      <c r="T89" s="70" t="n">
        <f aca="false">Economy!R88</f>
        <v>2.30721157551353</v>
      </c>
      <c r="U89" s="70" t="n">
        <f aca="false">MAX(0,T89-gap_base)</f>
        <v>0.807211575513526</v>
      </c>
      <c r="V89" s="71" t="n">
        <v>90.7</v>
      </c>
      <c r="W89" s="50" t="n">
        <f aca="false">V89*1000000*lf_rate*union_skill_share</f>
        <v>4571280</v>
      </c>
      <c r="X89" s="48" t="n">
        <v>120000</v>
      </c>
      <c r="Y89" s="50" t="n">
        <f aca="false">IF(AND(mig_endo=1,$A89&gt;=talent_start),talent_rate_u*W89*U89*(1-(1-bd_keep)*S89),0)</f>
        <v>12287.6671359419</v>
      </c>
      <c r="Z89" s="50" t="n">
        <f aca="false">IF(AND(mig_endo=1,$A89&gt;=talent_start),X89*MIN(0.5,talent_share_o*U89)*(1-eu_comp*S89),0)</f>
        <v>18307.5585326468</v>
      </c>
      <c r="AA89" s="48" t="n">
        <v>120000</v>
      </c>
      <c r="AB89" s="50" t="n">
        <f aca="false">IF(AND(mig_endo=1,$A89&gt;=talent_start),AA89*MIN(0.5,talent_share_a*U89),0)</f>
        <v>19373.0778123246</v>
      </c>
      <c r="AC89" s="50" t="n">
        <f aca="false">entry_cap*People!B89</f>
        <v>74151.8199378802</v>
      </c>
      <c r="AD89" s="50" t="n">
        <f aca="false">MIN(AC89,Y89+Z89+AB89)</f>
        <v>49968.3034809132</v>
      </c>
      <c r="AE89" s="50" t="n">
        <f aca="false">IF(Y89+Z89+AB89&gt;0,AD89*Y89/(Y89+Z89+AB89),0)</f>
        <v>12287.6671359419</v>
      </c>
      <c r="AF89" s="50" t="n">
        <f aca="false">IF(Y89+Z89+AB89&gt;0,AD89*AB89/(Y89+Z89+AB89),0)</f>
        <v>19373.0778123246</v>
      </c>
      <c r="AG89" s="50" t="n">
        <f aca="false">AD89*family_mult</f>
        <v>109930.267658009</v>
      </c>
      <c r="AH89" s="50" t="n">
        <f aca="false">AH88*(1+Paths!C89)+AG89</f>
        <v>3523843.66171677</v>
      </c>
      <c r="AI89" s="50" t="n">
        <f aca="false">IF(AND(mig_endo=1,$A89&gt;=talent_start),chain_rate*AH88,0)</f>
        <v>50451.9220796862</v>
      </c>
      <c r="AJ89" s="50" t="n">
        <f aca="false">IF(AND(mig_endo=1,$A89&gt;=talent_start),IF(H88&gt;0,H88*job_fill,H88*job_return)*job_family,0)</f>
        <v>22077.666771606</v>
      </c>
      <c r="AK89" s="50" t="n">
        <f aca="false">K89*gw_conv_family</f>
        <v>60963.029246319</v>
      </c>
      <c r="AL89" s="50" t="n">
        <f aca="false">AG89+AI89+AJ89+AK89+AR89</f>
        <v>282622.88575562</v>
      </c>
      <c r="AM89" s="50" t="n">
        <f aca="false">AM88*(1-skill_ret)+AD89</f>
        <v>844371.246637451</v>
      </c>
      <c r="AN89" s="67" t="n">
        <f aca="false">AM89/B89</f>
        <v>0.0800424650901789</v>
      </c>
      <c r="AO89" s="67" t="n">
        <f aca="false">(skill_rel-1+skill_spill)*AM88/B88-AT89</f>
        <v>0.0922606711358874</v>
      </c>
      <c r="AP89" s="67" t="n">
        <f aca="false">talent_champ*AM88/(skill_base_share*B88)</f>
        <v>0.15952257203173</v>
      </c>
      <c r="AQ89" s="48" t="n">
        <v>280000</v>
      </c>
      <c r="AR89" s="50" t="n">
        <f aca="false">IF(AND(div_on=1,$A89&gt;=div_start),AQ89*MIN(div_max,div_rate*U89)*(1-div_comp*S89),0)</f>
        <v>39200</v>
      </c>
      <c r="AS89" s="50" t="n">
        <f aca="false">AS88*(1-div_assim)+AR89</f>
        <v>1095498.4587868</v>
      </c>
      <c r="AT89" s="67" t="n">
        <f aca="false">(1-div_rel)*AS88/Economy!B88</f>
        <v>0.0114290006847369</v>
      </c>
      <c r="AU89" s="50" t="n">
        <f aca="false">AU88*(1-skill_ret)+AE89</f>
        <v>256562.576702842</v>
      </c>
      <c r="AV89" s="50" t="n">
        <f aca="false">AV88*(1+union_nat)+AR89</f>
        <v>3464553.52295722</v>
      </c>
      <c r="AW89" s="50" t="n">
        <f aca="false">AW88*(1+union_nat)+AE89*family_mult</f>
        <v>1151424.59899755</v>
      </c>
      <c r="AX89" s="70" t="n">
        <f aca="false">V89-(AV89+AW89)/1000000</f>
        <v>86.0840218780452</v>
      </c>
      <c r="AY89" s="50" t="n">
        <f aca="false">L89*gw_union</f>
        <v>235902.530035939</v>
      </c>
      <c r="AZ89" s="49" t="n">
        <v>1.067</v>
      </c>
      <c r="BA89" s="50" t="n">
        <f aca="false">Economy!Q89*AZ89/lf_rate</f>
        <v>2182.26904761905</v>
      </c>
      <c r="BB89" s="67" t="n">
        <f aca="false">bd_growth*AU88/W88</f>
        <v>0.00166198575081438</v>
      </c>
      <c r="BC89" s="67" t="n">
        <f aca="false">tg_k*MIN(1,Economy!O88/BK88)</f>
        <v>0.0021401365379154</v>
      </c>
      <c r="BD89" s="67" t="n">
        <f aca="false">emu_g*S89</f>
        <v>0.0015</v>
      </c>
      <c r="BE89" s="68" t="n">
        <f aca="false">BE88*(1-BB89-BC89+BD89)</f>
        <v>0.932072351586016</v>
      </c>
      <c r="BF89" s="49" t="n">
        <v>1</v>
      </c>
      <c r="BG89" s="56" t="n">
        <f aca="false">AU89*BA89*BE89*(skill_rel-1+skill_spill)/1000000</f>
        <v>678.413652784059</v>
      </c>
      <c r="BH89" s="56" t="n">
        <f aca="false">union_disp*(Champions!AP89+Champions!AZ89)*(1-IF(union_resp=2,mkt_cut*S89,0))</f>
        <v>1111.13063687909</v>
      </c>
      <c r="BI89" s="56" t="n">
        <f aca="false">AY89*BA89*BE89/1000000</f>
        <v>479.833446661196</v>
      </c>
      <c r="BJ89" s="50" t="n">
        <f aca="false">V89*Economy!Q89*AZ89</f>
        <v>83131.3571</v>
      </c>
      <c r="BK89" s="50" t="n">
        <f aca="false">MAX(0.3*BJ89,AX89*Economy!Q89*AZ89*BE89*BF89-BG89-BH89-BI89)</f>
        <v>71271.6606910341</v>
      </c>
      <c r="BL89" s="66" t="n">
        <f aca="false">1-BK89/BJ89</f>
        <v>0.142662129221584</v>
      </c>
      <c r="BM89" s="50" t="n">
        <f aca="false">MAX(0,BH89-BH88)*1000000/BA89</f>
        <v>35888.1698786137</v>
      </c>
      <c r="BN89" s="50" t="n">
        <f aca="false">BN88*(1-IF(AND($A89&gt;=1930,$A89&lt;=1932),0,union_reabsorb))+BM89</f>
        <v>141541.437699813</v>
      </c>
      <c r="BO89" s="62" t="n">
        <v>0.032</v>
      </c>
      <c r="BP89" s="66" t="n">
        <f aca="false">BO89+BN89/(AX89*1000000*lf_rate)</f>
        <v>0.0359148196813135</v>
      </c>
    </row>
    <row r="90" customFormat="false" ht="14.25" hidden="false" customHeight="false" outlineLevel="0" collapsed="false">
      <c r="A90" s="61" t="n">
        <v>1930</v>
      </c>
      <c r="B90" s="50" t="n">
        <f aca="false">Economy!B90*lf_rate</f>
        <v>10848191.9879911</v>
      </c>
      <c r="C90" s="50" t="n">
        <f aca="false">Economy!O90*1000000/(B90+L90)</f>
        <v>3981.50952294999</v>
      </c>
      <c r="D90" s="50" t="n">
        <f aca="false">Champions!AP90*1000000/(C90*champ_prem)</f>
        <v>497208.925566451</v>
      </c>
      <c r="E90" s="50" t="n">
        <f aca="false">D90*job_mult</f>
        <v>348046.247896516</v>
      </c>
      <c r="F90" s="50" t="n">
        <f aca="false">D90+E90</f>
        <v>845255.173462967</v>
      </c>
      <c r="G90" s="66" t="n">
        <f aca="false">F90/B90</f>
        <v>0.0779166864302054</v>
      </c>
      <c r="H90" s="50" t="n">
        <f aca="false">F90-F89</f>
        <v>-64817.4979637186</v>
      </c>
      <c r="I90" s="66" t="n">
        <f aca="false">MAX(0.005,pac_u_base*IF(Paths!AC90=1,pac_u_war,1)+(okun*(1-Economy!G90)*(B90+L90)-MAX(0,L89-L90))/B90)</f>
        <v>0.0416990252706135</v>
      </c>
      <c r="J90" s="50" t="n">
        <f aca="false">IF(AND(gw_on=1,$A90&gt;=gw_start),MIN(gw_cap*B89,gw_cover*F89+gw_gen*B89),0)</f>
        <v>1389966.88351575</v>
      </c>
      <c r="K90" s="50" t="n">
        <f aca="false">L89*gw_conv</f>
        <v>35385.3795053909</v>
      </c>
      <c r="L90" s="50" t="n">
        <f aca="false">MAX(0,L89-K90+gw_adj*(J90-L89))*MAX(0,1-gw_slump*(1-Economy!G90))</f>
        <v>1110391.30346389</v>
      </c>
      <c r="M90" s="50" t="n">
        <f aca="false">MAX(0,L90-L89+L89/gw_term)</f>
        <v>324049.536677424</v>
      </c>
      <c r="N90" s="66" t="n">
        <f aca="false">L90/B90</f>
        <v>0.102357268814295</v>
      </c>
      <c r="O90" s="56" t="n">
        <f aca="false">Economy!L90</f>
        <v>2592.72607354905</v>
      </c>
      <c r="P90" s="56" t="n">
        <f aca="false">O90*gw_wage_share</f>
        <v>1685.27194780688</v>
      </c>
      <c r="Q90" s="56" t="n">
        <f aca="false">P90*gw_levy</f>
        <v>421.317986951721</v>
      </c>
      <c r="R90" s="56" t="n">
        <f aca="false">P90*gw_remit</f>
        <v>421.317986951721</v>
      </c>
      <c r="S90" s="66" t="n">
        <f aca="false">IF(union_resp&gt;=1,MIN(1,MAX(0,($A90-resp_start)/(resp_full-resp_start))),0)</f>
        <v>1</v>
      </c>
      <c r="T90" s="70" t="n">
        <f aca="false">Economy!R89</f>
        <v>2.24810520693239</v>
      </c>
      <c r="U90" s="70" t="n">
        <f aca="false">MAX(0,T90-gap_base)</f>
        <v>0.748105206932391</v>
      </c>
      <c r="V90" s="71" t="n">
        <v>91.43</v>
      </c>
      <c r="W90" s="50" t="n">
        <f aca="false">V90*1000000*lf_rate*union_skill_share</f>
        <v>4608072</v>
      </c>
      <c r="X90" s="48" t="n">
        <v>110000</v>
      </c>
      <c r="Y90" s="50" t="n">
        <f aca="false">IF(AND(mig_endo=1,$A90&gt;=talent_start),talent_rate_u*W90*U90*(1-(1-bd_keep)*S90),0)</f>
        <v>11479.5844482075</v>
      </c>
      <c r="Z90" s="50" t="n">
        <f aca="false">IF(AND(mig_endo=1,$A90&gt;=talent_start),X90*MIN(0.5,talent_share_o*U90)*(1-eu_comp*S90),0)</f>
        <v>15553.1072521244</v>
      </c>
      <c r="AA90" s="48" t="n">
        <v>123000</v>
      </c>
      <c r="AB90" s="50" t="n">
        <f aca="false">IF(AND(mig_endo=1,$A90&gt;=talent_start),AA90*MIN(0.5,talent_share_a*U90),0)</f>
        <v>18403.3880905368</v>
      </c>
      <c r="AC90" s="50" t="n">
        <f aca="false">entry_cap*People!B90</f>
        <v>76548.7658942153</v>
      </c>
      <c r="AD90" s="50" t="n">
        <f aca="false">MIN(AC90,Y90+Z90+AB90)</f>
        <v>45436.0797908687</v>
      </c>
      <c r="AE90" s="50" t="n">
        <f aca="false">IF(Y90+Z90+AB90&gt;0,AD90*Y90/(Y90+Z90+AB90),0)</f>
        <v>11479.5844482075</v>
      </c>
      <c r="AF90" s="50" t="n">
        <f aca="false">IF(Y90+Z90+AB90&gt;0,AD90*AB90/(Y90+Z90+AB90),0)</f>
        <v>18403.3880905368</v>
      </c>
      <c r="AG90" s="50" t="n">
        <f aca="false">AD90*family_mult</f>
        <v>99959.3755399111</v>
      </c>
      <c r="AH90" s="50" t="n">
        <f aca="false">AH89*(1+Paths!C90)+AG90</f>
        <v>3666089.16119729</v>
      </c>
      <c r="AI90" s="50" t="n">
        <f aca="false">IF(AND(mig_endo=1,$A90&gt;=talent_start),chain_rate*AH89,0)</f>
        <v>52857.6549257516</v>
      </c>
      <c r="AJ90" s="50" t="n">
        <f aca="false">IF(AND(mig_endo=1,$A90&gt;=talent_start),IF(H89&gt;0,H89*job_fill,H89*job_return)*job_family,0)</f>
        <v>24380.2936848516</v>
      </c>
      <c r="AK90" s="50" t="n">
        <f aca="false">K90*gw_conv_family</f>
        <v>63693.6831097036</v>
      </c>
      <c r="AL90" s="50" t="n">
        <f aca="false">AG90+AI90+AJ90+AK90+AR90</f>
        <v>272311.425951378</v>
      </c>
      <c r="AM90" s="50" t="n">
        <f aca="false">AM89*(1-skill_ret)+AD90</f>
        <v>868698.045262383</v>
      </c>
      <c r="AN90" s="67" t="n">
        <f aca="false">AM90/B90</f>
        <v>0.0800776798773501</v>
      </c>
      <c r="AO90" s="67" t="n">
        <f aca="false">(skill_rel-1+skill_spill)*AM89/B89-AT90</f>
        <v>0.0931511482122293</v>
      </c>
      <c r="AP90" s="67" t="n">
        <f aca="false">talent_champ*AM89/(skill_base_share*B89)</f>
        <v>0.160084930180358</v>
      </c>
      <c r="AQ90" s="48" t="n">
        <v>240000</v>
      </c>
      <c r="AR90" s="50" t="n">
        <f aca="false">IF(AND(div_on=1,$A90&gt;=div_start),AQ90*MIN(div_max,div_rate*U90)*(1-div_comp*S90),0)</f>
        <v>31420.4186911604</v>
      </c>
      <c r="AS90" s="50" t="n">
        <f aca="false">AS89*(1-div_assim)+AR90</f>
        <v>1072143.95453862</v>
      </c>
      <c r="AT90" s="67" t="n">
        <f aca="false">(1-div_rel)*AS89/Economy!B89</f>
        <v>0.0109040564050032</v>
      </c>
      <c r="AU90" s="50" t="n">
        <f aca="false">AU89*(1-skill_ret)+AE90</f>
        <v>261628.096733478</v>
      </c>
      <c r="AV90" s="50" t="n">
        <f aca="false">AV89*(1+union_nat)+AR90</f>
        <v>3541013.13744682</v>
      </c>
      <c r="AW90" s="50" t="n">
        <f aca="false">AW89*(1+union_nat)+AE90*family_mult</f>
        <v>1191648.20457058</v>
      </c>
      <c r="AX90" s="70" t="n">
        <f aca="false">V90-(AV90+AW90)/1000000</f>
        <v>86.6973386579826</v>
      </c>
      <c r="AY90" s="50" t="n">
        <f aca="false">L90*gw_union</f>
        <v>222078.260692778</v>
      </c>
      <c r="AZ90" s="49" t="n">
        <v>1.069</v>
      </c>
      <c r="BA90" s="50" t="n">
        <f aca="false">Economy!Q90*AZ90/lf_rate</f>
        <v>1903.8380952381</v>
      </c>
      <c r="BB90" s="67" t="n">
        <f aca="false">bd_growth*AU89/W89</f>
        <v>0.00168374663137792</v>
      </c>
      <c r="BC90" s="67" t="n">
        <f aca="false">tg_k*MIN(1,Economy!O89/BK89)</f>
        <v>0.00213751138629087</v>
      </c>
      <c r="BD90" s="67" t="n">
        <f aca="false">emu_g*S90</f>
        <v>0.0015</v>
      </c>
      <c r="BE90" s="68" t="n">
        <f aca="false">BE89*(1-BB90-BC90+BD90)</f>
        <v>0.92990877116685</v>
      </c>
      <c r="BF90" s="49" t="n">
        <v>0.97</v>
      </c>
      <c r="BG90" s="56" t="n">
        <f aca="false">AU90*BA90*BE90*(skill_rel-1+skill_spill)/1000000</f>
        <v>602.140849536848</v>
      </c>
      <c r="BH90" s="56" t="n">
        <f aca="false">union_disp*(Champions!AP90+Champions!AZ90)*(1-IF(union_resp=2,mkt_cut*S90,0))</f>
        <v>964.48808207047</v>
      </c>
      <c r="BI90" s="56" t="n">
        <f aca="false">AY90*BA90*BE90/1000000</f>
        <v>393.166407486243</v>
      </c>
      <c r="BJ90" s="50" t="n">
        <f aca="false">V90*Economy!Q90*AZ90</f>
        <v>73108.52516</v>
      </c>
      <c r="BK90" s="50" t="n">
        <f aca="false">MAX(0.3*BJ90,AX90*Economy!Q90*AZ90*BE90*BF90-BG90-BH90-BI90)</f>
        <v>60571.4600341861</v>
      </c>
      <c r="BL90" s="66" t="n">
        <f aca="false">1-BK90/BJ90</f>
        <v>0.171485679657416</v>
      </c>
      <c r="BM90" s="50" t="n">
        <f aca="false">MAX(0,BH90-BH89)*1000000/BA90</f>
        <v>0</v>
      </c>
      <c r="BN90" s="50" t="n">
        <f aca="false">BN89*(1-IF(AND($A90&gt;=1930,$A90&lt;=1932),0,union_reabsorb))+BM90</f>
        <v>141541.437699813</v>
      </c>
      <c r="BO90" s="62" t="n">
        <v>0.087</v>
      </c>
      <c r="BP90" s="66" t="n">
        <f aca="false">BO90+BN90/(AX90*1000000*lf_rate)</f>
        <v>0.0908871253525354</v>
      </c>
    </row>
    <row r="91" customFormat="false" ht="14.25" hidden="false" customHeight="false" outlineLevel="0" collapsed="false">
      <c r="A91" s="61" t="n">
        <v>1931</v>
      </c>
      <c r="B91" s="50" t="n">
        <f aca="false">Economy!B91*lf_rate</f>
        <v>11098780.3780045</v>
      </c>
      <c r="C91" s="50" t="n">
        <f aca="false">Economy!O91*1000000/(B91+L91)</f>
        <v>3557.71003386147</v>
      </c>
      <c r="D91" s="50" t="n">
        <f aca="false">Champions!AP91*1000000/(C91*champ_prem)</f>
        <v>473334.561951819</v>
      </c>
      <c r="E91" s="50" t="n">
        <f aca="false">D91*job_mult</f>
        <v>331334.193366273</v>
      </c>
      <c r="F91" s="50" t="n">
        <f aca="false">D91+E91</f>
        <v>804668.755318092</v>
      </c>
      <c r="G91" s="66" t="n">
        <f aca="false">F91/B91</f>
        <v>0.0725006467298676</v>
      </c>
      <c r="H91" s="50" t="n">
        <f aca="false">F91-F90</f>
        <v>-40586.4181448752</v>
      </c>
      <c r="I91" s="66" t="n">
        <f aca="false">MAX(0.005,pac_u_base*IF(Paths!AC91=1,pac_u_war,1)+(okun*(1-Economy!G91)*(B91+L91)-MAX(0,L90-L91))/B91)</f>
        <v>0.0626073227788882</v>
      </c>
      <c r="J91" s="50" t="n">
        <f aca="false">IF(AND(gw_on=1,$A91&gt;=gw_start),MIN(gw_cap*B90,gw_cover*F90+gw_gen*B90),0)</f>
        <v>1375008.46311707</v>
      </c>
      <c r="K91" s="50" t="n">
        <f aca="false">L90*gw_conv</f>
        <v>33311.7391039166</v>
      </c>
      <c r="L91" s="50" t="n">
        <f aca="false">MAX(0,L90-K91+gw_adj*(J91-L90))*MAX(0,1-gw_slump*(1-Economy!G91))</f>
        <v>974731.376854304</v>
      </c>
      <c r="M91" s="50" t="n">
        <f aca="false">MAX(0,L91-L90+L90/gw_term)</f>
        <v>234470.507878379</v>
      </c>
      <c r="N91" s="66" t="n">
        <f aca="false">L91/B91</f>
        <v>0.0878232872132528</v>
      </c>
      <c r="O91" s="56" t="n">
        <f aca="false">Economy!L91</f>
        <v>2035.39805282291</v>
      </c>
      <c r="P91" s="56" t="n">
        <f aca="false">O91*gw_wage_share</f>
        <v>1323.00873433489</v>
      </c>
      <c r="Q91" s="56" t="n">
        <f aca="false">P91*gw_levy</f>
        <v>330.752183583724</v>
      </c>
      <c r="R91" s="56" t="n">
        <f aca="false">P91*gw_remit</f>
        <v>330.752183583724</v>
      </c>
      <c r="S91" s="66" t="n">
        <f aca="false">IF(union_resp&gt;=1,MIN(1,MAX(0,($A91-resp_start)/(resp_full-resp_start))),0)</f>
        <v>1</v>
      </c>
      <c r="T91" s="70" t="n">
        <f aca="false">Economy!R90</f>
        <v>2.36285817512683</v>
      </c>
      <c r="U91" s="70" t="n">
        <f aca="false">MAX(0,T91-gap_base)</f>
        <v>0.862858175126828</v>
      </c>
      <c r="V91" s="71" t="n">
        <v>92.17</v>
      </c>
      <c r="W91" s="50" t="n">
        <f aca="false">V91*1000000*lf_rate*union_skill_share</f>
        <v>4645368</v>
      </c>
      <c r="X91" s="48" t="n">
        <v>100000</v>
      </c>
      <c r="Y91" s="50" t="n">
        <f aca="false">IF(AND(mig_endo=1,$A91&gt;=talent_start),talent_rate_u*W91*U91*(1-(1-bd_keep)*S91),0)</f>
        <v>13347.6182050576</v>
      </c>
      <c r="Z91" s="50" t="n">
        <f aca="false">IF(AND(mig_endo=1,$A91&gt;=talent_start),X91*MIN(0.5,talent_share_o*U91)*(1-eu_comp*S91),0)</f>
        <v>16308.0195098971</v>
      </c>
      <c r="AA91" s="48" t="n">
        <v>127000</v>
      </c>
      <c r="AB91" s="50" t="n">
        <f aca="false">IF(AND(mig_endo=1,$A91&gt;=talent_start),AA91*MIN(0.5,talent_share_a*U91),0)</f>
        <v>21916.5976482214</v>
      </c>
      <c r="AC91" s="50" t="n">
        <f aca="false">entry_cap*People!B91</f>
        <v>78425.4053628</v>
      </c>
      <c r="AD91" s="50" t="n">
        <f aca="false">MIN(AC91,Y91+Z91+AB91)</f>
        <v>51572.2353631761</v>
      </c>
      <c r="AE91" s="50" t="n">
        <f aca="false">IF(Y91+Z91+AB91&gt;0,AD91*Y91/(Y91+Z91+AB91),0)</f>
        <v>13347.6182050576</v>
      </c>
      <c r="AF91" s="50" t="n">
        <f aca="false">IF(Y91+Z91+AB91&gt;0,AD91*AB91/(Y91+Z91+AB91),0)</f>
        <v>21916.5976482214</v>
      </c>
      <c r="AG91" s="50" t="n">
        <f aca="false">AD91*family_mult</f>
        <v>113458.917798987</v>
      </c>
      <c r="AH91" s="50" t="n">
        <f aca="false">AH90*(1+Paths!C91)+AG91</f>
        <v>3823541.14893064</v>
      </c>
      <c r="AI91" s="50" t="n">
        <f aca="false">IF(AND(mig_endo=1,$A91&gt;=talent_start),chain_rate*AH90,0)</f>
        <v>54991.3374179593</v>
      </c>
      <c r="AJ91" s="50" t="n">
        <f aca="false">IF(AND(mig_endo=1,$A91&gt;=talent_start),IF(H90&gt;0,H90*job_fill,H90*job_return)*job_family,0)</f>
        <v>-35001.448900408</v>
      </c>
      <c r="AK91" s="50" t="n">
        <f aca="false">K91*gw_conv_family</f>
        <v>59961.1303870499</v>
      </c>
      <c r="AL91" s="50" t="n">
        <f aca="false">AG91+AI91+AJ91+AK91+AR91</f>
        <v>206989.936703589</v>
      </c>
      <c r="AM91" s="50" t="n">
        <f aca="false">AM90*(1-skill_ret)+AD91</f>
        <v>898552.829494</v>
      </c>
      <c r="AN91" s="67" t="n">
        <f aca="false">AM91/B91</f>
        <v>0.0809596008652218</v>
      </c>
      <c r="AO91" s="67" t="n">
        <f aca="false">(skill_rel-1+skill_spill)*AM90/B90-AT91</f>
        <v>0.0937236679384052</v>
      </c>
      <c r="AP91" s="67" t="n">
        <f aca="false">talent_champ*AM90/(skill_base_share*B90)</f>
        <v>0.1601553597547</v>
      </c>
      <c r="AQ91" s="48" t="n">
        <v>97000</v>
      </c>
      <c r="AR91" s="50" t="n">
        <f aca="false">IF(AND(div_on=1,$A91&gt;=div_start),AQ91*MIN(div_max,div_rate*U91)*(1-div_comp*S91),0)</f>
        <v>13580</v>
      </c>
      <c r="AS91" s="50" t="n">
        <f aca="false">AS90*(1-div_assim)+AR91</f>
        <v>1032116.75681169</v>
      </c>
      <c r="AT91" s="67" t="n">
        <f aca="false">(1-div_rel)*AS90/Economy!B90</f>
        <v>0.0103773159021499</v>
      </c>
      <c r="AU91" s="50" t="n">
        <f aca="false">AU90*(1-skill_ret)+AE91</f>
        <v>268435.012520199</v>
      </c>
      <c r="AV91" s="50" t="n">
        <f aca="false">AV90*(1+union_nat)+AR91</f>
        <v>3600626.30823363</v>
      </c>
      <c r="AW91" s="50" t="n">
        <f aca="false">AW90*(1+union_nat)+AE91*family_mult</f>
        <v>1236504.39128112</v>
      </c>
      <c r="AX91" s="70" t="n">
        <f aca="false">V91-(AV91+AW91)/1000000</f>
        <v>87.3328693004853</v>
      </c>
      <c r="AY91" s="50" t="n">
        <f aca="false">L91*gw_union</f>
        <v>194946.275370861</v>
      </c>
      <c r="AZ91" s="49" t="n">
        <v>1.072</v>
      </c>
      <c r="BA91" s="50" t="n">
        <f aca="false">Economy!Q91*AZ91/lf_rate</f>
        <v>1592.68571428571</v>
      </c>
      <c r="BB91" s="67" t="n">
        <f aca="false">bd_growth*AU90/W90</f>
        <v>0.00170328130767148</v>
      </c>
      <c r="BC91" s="67" t="n">
        <f aca="false">tg_k*MIN(1,Economy!O90/BK90)</f>
        <v>0.00235820037501387</v>
      </c>
      <c r="BD91" s="67" t="n">
        <f aca="false">emu_g*S91</f>
        <v>0.0015</v>
      </c>
      <c r="BE91" s="68" t="n">
        <f aca="false">BE90*(1-BB91-BC91+BD91)</f>
        <v>0.927526826882937</v>
      </c>
      <c r="BF91" s="49" t="n">
        <v>0.94</v>
      </c>
      <c r="BG91" s="56" t="n">
        <f aca="false">AU91*BA91*BE91*(skill_rel-1+skill_spill)/1000000</f>
        <v>515.512354269003</v>
      </c>
      <c r="BH91" s="56" t="n">
        <f aca="false">union_disp*(Champions!AP91+Champions!AZ91)*(1-IF(union_resp=2,mkt_cut*S91,0))</f>
        <v>799.556410023298</v>
      </c>
      <c r="BI91" s="56" t="n">
        <f aca="false">AY91*BA91*BE91/1000000</f>
        <v>287.986086547437</v>
      </c>
      <c r="BJ91" s="50" t="n">
        <f aca="false">V91*Economy!Q91*AZ91</f>
        <v>61655.09376</v>
      </c>
      <c r="BK91" s="50" t="n">
        <f aca="false">MAX(0.3*BJ91,AX91*Economy!Q91*AZ91*BE91*BF91-BG91-BH91-BI91)</f>
        <v>49331.3736079613</v>
      </c>
      <c r="BL91" s="66" t="n">
        <f aca="false">1-BK91/BJ91</f>
        <v>0.199881622109121</v>
      </c>
      <c r="BM91" s="50" t="n">
        <f aca="false">MAX(0,BH91-BH90)*1000000/BA91</f>
        <v>0</v>
      </c>
      <c r="BN91" s="50" t="n">
        <f aca="false">BN90*(1-IF(AND($A91&gt;=1930,$A91&lt;=1932),0,union_reabsorb))+BM91</f>
        <v>141541.437699813</v>
      </c>
      <c r="BO91" s="62" t="n">
        <v>0.159</v>
      </c>
      <c r="BP91" s="66" t="n">
        <f aca="false">BO91+BN91/(AX91*1000000*lf_rate)</f>
        <v>0.162858838325067</v>
      </c>
    </row>
    <row r="92" customFormat="false" ht="14.25" hidden="false" customHeight="false" outlineLevel="0" collapsed="false">
      <c r="A92" s="61" t="n">
        <v>1932</v>
      </c>
      <c r="B92" s="50" t="n">
        <f aca="false">Economy!B92*lf_rate</f>
        <v>11345685.0047237</v>
      </c>
      <c r="C92" s="50" t="n">
        <f aca="false">Economy!O92*1000000/(B92+L92)</f>
        <v>3236.71363878549</v>
      </c>
      <c r="D92" s="50" t="n">
        <f aca="false">Champions!AP92*1000000/(C92*champ_prem)</f>
        <v>442400.68100102</v>
      </c>
      <c r="E92" s="50" t="n">
        <f aca="false">D92*job_mult</f>
        <v>309680.476700714</v>
      </c>
      <c r="F92" s="50" t="n">
        <f aca="false">D92+E92</f>
        <v>752081.157701735</v>
      </c>
      <c r="G92" s="66" t="n">
        <f aca="false">F92/B92</f>
        <v>0.0662878581054038</v>
      </c>
      <c r="H92" s="50" t="n">
        <f aca="false">F92-F91</f>
        <v>-52587.597616357</v>
      </c>
      <c r="I92" s="66" t="n">
        <f aca="false">MAX(0.005,pac_u_base*IF(Paths!AC92=1,pac_u_war,1)+(okun*(1-Economy!G92)*(B92+L92)-MAX(0,L91-L92))/B92)</f>
        <v>0.0798739015346771</v>
      </c>
      <c r="J92" s="50" t="n">
        <f aca="false">IF(AND(gw_on=1,$A92&gt;=gw_start),MIN(gw_cap*B91,gw_cover*F91+gw_gen*B91),0)</f>
        <v>1370703.68343122</v>
      </c>
      <c r="K92" s="50" t="n">
        <f aca="false">L91*gw_conv</f>
        <v>29241.9413056291</v>
      </c>
      <c r="L92" s="50" t="n">
        <f aca="false">MAX(0,L91-K92+gw_adj*(J92-L91))*MAX(0,1-gw_slump*(1-Economy!G92))</f>
        <v>856609.605947245</v>
      </c>
      <c r="M92" s="50" t="n">
        <f aca="false">MAX(0,L92-L91+L91/gw_term)</f>
        <v>206788.688044376</v>
      </c>
      <c r="N92" s="66" t="n">
        <f aca="false">L92/B92</f>
        <v>0.0755009155983618</v>
      </c>
      <c r="O92" s="56" t="n">
        <f aca="false">Economy!L92</f>
        <v>1627.45953867121</v>
      </c>
      <c r="P92" s="56" t="n">
        <f aca="false">O92*gw_wage_share</f>
        <v>1057.84870013629</v>
      </c>
      <c r="Q92" s="56" t="n">
        <f aca="false">P92*gw_levy</f>
        <v>264.462175034072</v>
      </c>
      <c r="R92" s="56" t="n">
        <f aca="false">P92*gw_remit</f>
        <v>264.462175034072</v>
      </c>
      <c r="S92" s="66" t="n">
        <f aca="false">IF(union_resp&gt;=1,MIN(1,MAX(0,($A92-resp_start)/(resp_full-resp_start))),0)</f>
        <v>1</v>
      </c>
      <c r="T92" s="70" t="n">
        <f aca="false">Economy!R91</f>
        <v>2.51224900062117</v>
      </c>
      <c r="U92" s="70" t="n">
        <f aca="false">MAX(0,T92-gap_base)</f>
        <v>1.01224900062117</v>
      </c>
      <c r="V92" s="71" t="n">
        <v>92.9</v>
      </c>
      <c r="W92" s="50" t="n">
        <f aca="false">V92*1000000*lf_rate*union_skill_share</f>
        <v>4682160</v>
      </c>
      <c r="X92" s="48" t="n">
        <v>130000</v>
      </c>
      <c r="Y92" s="50" t="n">
        <f aca="false">IF(AND(mig_endo=1,$A92&gt;=talent_start),talent_rate_u*W92*U92*(1-(1-bd_keep)*S92),0)</f>
        <v>15782.5742298923</v>
      </c>
      <c r="Z92" s="50" t="n">
        <f aca="false">IF(AND(mig_endo=1,$A92&gt;=talent_start),X92*MIN(0.5,talent_share_o*U92)*(1-eu_comp*S92),0)</f>
        <v>24870.9579452622</v>
      </c>
      <c r="AA92" s="48" t="n">
        <v>130000</v>
      </c>
      <c r="AB92" s="50" t="n">
        <f aca="false">IF(AND(mig_endo=1,$A92&gt;=talent_start),AA92*MIN(0.5,talent_share_a*U92),0)</f>
        <v>26318.4740161505</v>
      </c>
      <c r="AC92" s="50" t="n">
        <f aca="false">entry_cap*People!B92</f>
        <v>80128.6000372644</v>
      </c>
      <c r="AD92" s="50" t="n">
        <f aca="false">MIN(AC92,Y92+Z92+AB92)</f>
        <v>66972.0061913051</v>
      </c>
      <c r="AE92" s="50" t="n">
        <f aca="false">IF(Y92+Z92+AB92&gt;0,AD92*Y92/(Y92+Z92+AB92),0)</f>
        <v>15782.5742298923</v>
      </c>
      <c r="AF92" s="50" t="n">
        <f aca="false">IF(Y92+Z92+AB92&gt;0,AD92*AB92/(Y92+Z92+AB92),0)</f>
        <v>26318.4740161505</v>
      </c>
      <c r="AG92" s="50" t="n">
        <f aca="false">AD92*family_mult</f>
        <v>147338.413620871</v>
      </c>
      <c r="AH92" s="50" t="n">
        <f aca="false">AH91*(1+Paths!C92)+AG92</f>
        <v>4016762.05633868</v>
      </c>
      <c r="AI92" s="50" t="n">
        <f aca="false">IF(AND(mig_endo=1,$A92&gt;=talent_start),chain_rate*AH91,0)</f>
        <v>57353.1172339596</v>
      </c>
      <c r="AJ92" s="50" t="n">
        <f aca="false">IF(AND(mig_endo=1,$A92&gt;=talent_start),IF(H91&gt;0,H91*job_fill,H91*job_return)*job_family,0)</f>
        <v>-21916.6657982326</v>
      </c>
      <c r="AK92" s="50" t="n">
        <f aca="false">K92*gw_conv_family</f>
        <v>52635.4943501324</v>
      </c>
      <c r="AL92" s="50" t="n">
        <f aca="false">AG92+AI92+AJ92+AK92+AR92</f>
        <v>240450.359406731</v>
      </c>
      <c r="AM92" s="50" t="n">
        <f aca="false">AM91*(1-skill_ret)+AD92</f>
        <v>943061.014947955</v>
      </c>
      <c r="AN92" s="67" t="n">
        <f aca="false">AM92/B92</f>
        <v>0.0831206766762267</v>
      </c>
      <c r="AO92" s="67" t="n">
        <f aca="false">(skill_rel-1+skill_spill)*AM91/B91-AT92</f>
        <v>0.0954831416411457</v>
      </c>
      <c r="AP92" s="67" t="n">
        <f aca="false">talent_champ*AM91/(skill_base_share*B91)</f>
        <v>0.161919201730443</v>
      </c>
      <c r="AQ92" s="48" t="n">
        <v>36000</v>
      </c>
      <c r="AR92" s="50" t="n">
        <f aca="false">IF(AND(div_on=1,$A92&gt;=div_start),AQ92*MIN(div_max,div_rate*U92)*(1-div_comp*S92),0)</f>
        <v>5040</v>
      </c>
      <c r="AS92" s="50" t="n">
        <f aca="false">AS91*(1-div_assim)+AR92</f>
        <v>985550.918971103</v>
      </c>
      <c r="AT92" s="67" t="n">
        <f aca="false">(1-div_rel)*AS91/Economy!B91</f>
        <v>0.00976433948364261</v>
      </c>
      <c r="AU92" s="50" t="n">
        <f aca="false">AU91*(1-skill_ret)+AE92</f>
        <v>277506.711437086</v>
      </c>
      <c r="AV92" s="50" t="n">
        <f aca="false">AV91*(1+union_nat)+AR92</f>
        <v>3652474.45024066</v>
      </c>
      <c r="AW92" s="50" t="n">
        <f aca="false">AW91*(1+union_nat)+AE92*family_mult</f>
        <v>1287300.61167354</v>
      </c>
      <c r="AX92" s="70" t="n">
        <f aca="false">V92-(AV92+AW92)/1000000</f>
        <v>87.9602249380858</v>
      </c>
      <c r="AY92" s="50" t="n">
        <f aca="false">L92*gw_union</f>
        <v>171321.921189449</v>
      </c>
      <c r="AZ92" s="49" t="n">
        <v>1.074</v>
      </c>
      <c r="BA92" s="50" t="n">
        <f aca="false">Economy!Q92*AZ92/lf_rate</f>
        <v>1217.2</v>
      </c>
      <c r="BB92" s="67" t="n">
        <f aca="false">bd_growth*AU91/W91</f>
        <v>0.00173356564552173</v>
      </c>
      <c r="BC92" s="67" t="n">
        <f aca="false">tg_k*MIN(1,Economy!O91/BK91)</f>
        <v>0.00261217461258408</v>
      </c>
      <c r="BD92" s="67" t="n">
        <f aca="false">emu_g*S92</f>
        <v>0.0015</v>
      </c>
      <c r="BE92" s="68" t="n">
        <f aca="false">BE91*(1-BB92-BC92+BD92)</f>
        <v>0.924887326451203</v>
      </c>
      <c r="BF92" s="49" t="n">
        <v>0.914</v>
      </c>
      <c r="BG92" s="56" t="n">
        <f aca="false">AU92*BA92*BE92*(skill_rel-1+skill_spill)/1000000</f>
        <v>406.132379212409</v>
      </c>
      <c r="BH92" s="56" t="n">
        <f aca="false">union_disp*(Champions!AP92+Champions!AZ92)*(1-IF(union_resp=2,mkt_cut*S92,0))</f>
        <v>685.740413750325</v>
      </c>
      <c r="BI92" s="56" t="n">
        <f aca="false">AY92*BA92*BE92/1000000</f>
        <v>192.869568128476</v>
      </c>
      <c r="BJ92" s="50" t="n">
        <f aca="false">V92*Economy!Q92*AZ92</f>
        <v>47492.7096</v>
      </c>
      <c r="BK92" s="50" t="n">
        <f aca="false">MAX(0.3*BJ92,AX92*Economy!Q92*AZ92*BE92*BF92-BG92-BH92-BI92)</f>
        <v>36728.2964940073</v>
      </c>
      <c r="BL92" s="66" t="n">
        <f aca="false">1-BK92/BJ92</f>
        <v>0.226654010618773</v>
      </c>
      <c r="BM92" s="50" t="n">
        <f aca="false">MAX(0,BH92-BH91)*1000000/BA92</f>
        <v>0</v>
      </c>
      <c r="BN92" s="50" t="n">
        <f aca="false">BN91*(1-IF(AND($A92&gt;=1930,$A92&lt;=1932),0,union_reabsorb))+BM92</f>
        <v>141541.437699813</v>
      </c>
      <c r="BO92" s="62" t="n">
        <v>0.236</v>
      </c>
      <c r="BP92" s="66" t="n">
        <f aca="false">BO92+BN92/(AX92*1000000*lf_rate)</f>
        <v>0.23983131606737</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55" hidden="false" customHeight="false" outlineLevel="0" collapsed="false">
      <c r="A1" s="19" t="s">
        <v>1531</v>
      </c>
    </row>
    <row r="2" customFormat="false" ht="14.25" hidden="false" customHeight="false" outlineLevel="0" collapsed="false">
      <c r="A2" s="3" t="s">
        <v>1532</v>
      </c>
    </row>
    <row r="3" customFormat="false" ht="14.25" hidden="false" customHeight="false" outlineLevel="0" collapsed="false">
      <c r="A3" s="20" t="s">
        <v>1166</v>
      </c>
    </row>
    <row r="4" customFormat="false" ht="14.25" hidden="false" customHeight="false" outlineLevel="0" collapsed="false">
      <c r="B4" s="58" t="s">
        <v>1533</v>
      </c>
      <c r="C4" s="58"/>
      <c r="D4" s="58"/>
      <c r="E4" s="58"/>
      <c r="F4" s="58"/>
      <c r="G4" s="58"/>
      <c r="H4" s="58"/>
      <c r="I4" s="58"/>
      <c r="J4" s="58"/>
      <c r="K4" s="58" t="s">
        <v>1534</v>
      </c>
      <c r="L4" s="58"/>
      <c r="M4" s="58"/>
      <c r="N4" s="58"/>
      <c r="O4" s="58"/>
      <c r="P4" s="58"/>
      <c r="Q4" s="58"/>
      <c r="R4" s="58"/>
      <c r="S4" s="58"/>
      <c r="T4" s="58" t="s">
        <v>1535</v>
      </c>
      <c r="U4" s="58"/>
      <c r="V4" s="58"/>
      <c r="W4" s="58"/>
    </row>
    <row r="5" customFormat="false" ht="54" hidden="false" customHeight="true" outlineLevel="0" collapsed="false">
      <c r="A5" s="60" t="s">
        <v>103</v>
      </c>
      <c r="B5" s="7" t="s">
        <v>1536</v>
      </c>
      <c r="C5" s="7" t="s">
        <v>1537</v>
      </c>
      <c r="D5" s="7" t="s">
        <v>1538</v>
      </c>
      <c r="E5" s="7" t="s">
        <v>1539</v>
      </c>
      <c r="F5" s="7" t="s">
        <v>1540</v>
      </c>
      <c r="G5" s="7" t="s">
        <v>1541</v>
      </c>
      <c r="H5" s="7" t="s">
        <v>1542</v>
      </c>
      <c r="I5" s="7" t="s">
        <v>1543</v>
      </c>
      <c r="J5" s="7" t="s">
        <v>1544</v>
      </c>
      <c r="K5" s="7" t="s">
        <v>1545</v>
      </c>
      <c r="L5" s="7" t="s">
        <v>1546</v>
      </c>
      <c r="M5" s="7" t="s">
        <v>1547</v>
      </c>
      <c r="N5" s="7" t="s">
        <v>1548</v>
      </c>
      <c r="O5" s="7" t="s">
        <v>1549</v>
      </c>
      <c r="P5" s="7" t="s">
        <v>1550</v>
      </c>
      <c r="Q5" s="7" t="s">
        <v>1551</v>
      </c>
      <c r="R5" s="7" t="s">
        <v>1552</v>
      </c>
      <c r="S5" s="7" t="s">
        <v>1553</v>
      </c>
      <c r="T5" s="7" t="s">
        <v>1554</v>
      </c>
      <c r="U5" s="7" t="s">
        <v>1555</v>
      </c>
      <c r="V5" s="7" t="s">
        <v>1556</v>
      </c>
      <c r="W5" s="7" t="s">
        <v>1557</v>
      </c>
    </row>
    <row r="6" customFormat="false" ht="14.25" hidden="false" customHeight="false" outlineLevel="0" collapsed="false">
      <c r="A6" s="61" t="n">
        <v>1846</v>
      </c>
      <c r="B6" s="48" t="n">
        <v>0</v>
      </c>
      <c r="C6" s="48" t="n">
        <v>0</v>
      </c>
      <c r="D6" s="48" t="n">
        <v>0</v>
      </c>
      <c r="E6" s="48" t="n">
        <v>0</v>
      </c>
      <c r="F6" s="48" t="n">
        <v>0</v>
      </c>
      <c r="G6" s="48" t="n">
        <v>0</v>
      </c>
      <c r="H6" s="48" t="n">
        <v>0</v>
      </c>
      <c r="I6" s="48" t="n">
        <v>0</v>
      </c>
      <c r="J6" s="48" t="n">
        <v>0</v>
      </c>
      <c r="K6" s="71" t="n">
        <v>0</v>
      </c>
      <c r="L6" s="71" t="n">
        <v>0</v>
      </c>
      <c r="M6" s="71" t="n">
        <v>0</v>
      </c>
      <c r="N6" s="71" t="n">
        <v>0</v>
      </c>
      <c r="O6" s="71" t="n">
        <v>0</v>
      </c>
      <c r="P6" s="71" t="n">
        <v>0</v>
      </c>
      <c r="Q6" s="71" t="n">
        <v>0</v>
      </c>
      <c r="R6" s="71" t="n">
        <v>0</v>
      </c>
      <c r="S6" s="71" t="n">
        <v>0</v>
      </c>
      <c r="T6" s="48" t="n">
        <v>0</v>
      </c>
      <c r="U6" s="48" t="n">
        <v>0</v>
      </c>
      <c r="V6" s="48" t="n">
        <v>0</v>
      </c>
      <c r="W6" s="48" t="n">
        <v>0</v>
      </c>
    </row>
    <row r="7" customFormat="false" ht="14.25" hidden="false" customHeight="false" outlineLevel="0" collapsed="false">
      <c r="A7" s="61" t="n">
        <v>1847</v>
      </c>
      <c r="B7" s="48" t="n">
        <v>0</v>
      </c>
      <c r="C7" s="48" t="n">
        <v>0</v>
      </c>
      <c r="D7" s="48" t="n">
        <v>0</v>
      </c>
      <c r="E7" s="48" t="n">
        <v>0</v>
      </c>
      <c r="F7" s="48" t="n">
        <v>0</v>
      </c>
      <c r="G7" s="48" t="n">
        <v>0</v>
      </c>
      <c r="H7" s="48" t="n">
        <v>0</v>
      </c>
      <c r="I7" s="48" t="n">
        <v>0</v>
      </c>
      <c r="J7" s="48" t="n">
        <v>0</v>
      </c>
      <c r="K7" s="71" t="n">
        <v>0</v>
      </c>
      <c r="L7" s="71" t="n">
        <v>0</v>
      </c>
      <c r="M7" s="71" t="n">
        <v>0</v>
      </c>
      <c r="N7" s="71" t="n">
        <v>0</v>
      </c>
      <c r="O7" s="71" t="n">
        <v>0</v>
      </c>
      <c r="P7" s="71" t="n">
        <v>0</v>
      </c>
      <c r="Q7" s="71" t="n">
        <v>0</v>
      </c>
      <c r="R7" s="71" t="n">
        <v>0</v>
      </c>
      <c r="S7" s="71" t="n">
        <v>0</v>
      </c>
      <c r="T7" s="48" t="n">
        <v>0</v>
      </c>
      <c r="U7" s="48" t="n">
        <v>0</v>
      </c>
      <c r="V7" s="48" t="n">
        <v>0</v>
      </c>
      <c r="W7" s="48" t="n">
        <v>0</v>
      </c>
    </row>
    <row r="8" customFormat="false" ht="14.25" hidden="false" customHeight="false" outlineLevel="0" collapsed="false">
      <c r="A8" s="61" t="n">
        <v>1848</v>
      </c>
      <c r="B8" s="48" t="n">
        <v>0</v>
      </c>
      <c r="C8" s="48" t="n">
        <v>0</v>
      </c>
      <c r="D8" s="48" t="n">
        <v>0</v>
      </c>
      <c r="E8" s="48" t="n">
        <v>0</v>
      </c>
      <c r="F8" s="48" t="n">
        <v>0</v>
      </c>
      <c r="G8" s="48" t="n">
        <v>0</v>
      </c>
      <c r="H8" s="48" t="n">
        <v>0</v>
      </c>
      <c r="I8" s="48" t="n">
        <v>0</v>
      </c>
      <c r="J8" s="48" t="n">
        <v>0</v>
      </c>
      <c r="K8" s="71" t="n">
        <v>0</v>
      </c>
      <c r="L8" s="71" t="n">
        <v>0</v>
      </c>
      <c r="M8" s="71" t="n">
        <v>0</v>
      </c>
      <c r="N8" s="71" t="n">
        <v>0</v>
      </c>
      <c r="O8" s="71" t="n">
        <v>0</v>
      </c>
      <c r="P8" s="71" t="n">
        <v>0</v>
      </c>
      <c r="Q8" s="71" t="n">
        <v>0</v>
      </c>
      <c r="R8" s="71" t="n">
        <v>0</v>
      </c>
      <c r="S8" s="71" t="n">
        <v>0</v>
      </c>
      <c r="T8" s="48" t="n">
        <v>0</v>
      </c>
      <c r="U8" s="48" t="n">
        <v>0</v>
      </c>
      <c r="V8" s="48" t="n">
        <v>0</v>
      </c>
      <c r="W8" s="48" t="n">
        <v>0</v>
      </c>
    </row>
    <row r="9" customFormat="false" ht="14.25" hidden="false" customHeight="false" outlineLevel="0" collapsed="false">
      <c r="A9" s="61" t="n">
        <v>1849</v>
      </c>
      <c r="B9" s="48" t="n">
        <v>0</v>
      </c>
      <c r="C9" s="48" t="n">
        <v>0</v>
      </c>
      <c r="D9" s="48" t="n">
        <v>0</v>
      </c>
      <c r="E9" s="48" t="n">
        <v>0</v>
      </c>
      <c r="F9" s="48" t="n">
        <v>0</v>
      </c>
      <c r="G9" s="48" t="n">
        <v>0</v>
      </c>
      <c r="H9" s="48" t="n">
        <v>0</v>
      </c>
      <c r="I9" s="48" t="n">
        <v>0</v>
      </c>
      <c r="J9" s="48" t="n">
        <v>0</v>
      </c>
      <c r="K9" s="71" t="n">
        <v>0</v>
      </c>
      <c r="L9" s="71" t="n">
        <v>0</v>
      </c>
      <c r="M9" s="71" t="n">
        <v>0</v>
      </c>
      <c r="N9" s="71" t="n">
        <v>0</v>
      </c>
      <c r="O9" s="71" t="n">
        <v>0</v>
      </c>
      <c r="P9" s="71" t="n">
        <v>0</v>
      </c>
      <c r="Q9" s="71" t="n">
        <v>0</v>
      </c>
      <c r="R9" s="71" t="n">
        <v>0</v>
      </c>
      <c r="S9" s="71" t="n">
        <v>0</v>
      </c>
      <c r="T9" s="48" t="n">
        <v>0</v>
      </c>
      <c r="U9" s="48" t="n">
        <v>0</v>
      </c>
      <c r="V9" s="48" t="n">
        <v>0</v>
      </c>
      <c r="W9" s="48" t="n">
        <v>0</v>
      </c>
    </row>
    <row r="10" customFormat="false" ht="14.25" hidden="false" customHeight="false" outlineLevel="0" collapsed="false">
      <c r="A10" s="61" t="n">
        <v>1850</v>
      </c>
      <c r="B10" s="48" t="n">
        <v>0</v>
      </c>
      <c r="C10" s="48" t="n">
        <v>0</v>
      </c>
      <c r="D10" s="48" t="n">
        <v>0</v>
      </c>
      <c r="E10" s="48" t="n">
        <v>0</v>
      </c>
      <c r="F10" s="48" t="n">
        <v>0</v>
      </c>
      <c r="G10" s="48" t="n">
        <v>0</v>
      </c>
      <c r="H10" s="48" t="n">
        <v>0</v>
      </c>
      <c r="I10" s="48" t="n">
        <v>0</v>
      </c>
      <c r="J10" s="48" t="n">
        <v>0</v>
      </c>
      <c r="K10" s="71" t="n">
        <v>0</v>
      </c>
      <c r="L10" s="71" t="n">
        <v>0.4</v>
      </c>
      <c r="M10" s="71" t="n">
        <v>0</v>
      </c>
      <c r="N10" s="71" t="n">
        <v>0</v>
      </c>
      <c r="O10" s="71" t="n">
        <v>0</v>
      </c>
      <c r="P10" s="71" t="n">
        <v>0</v>
      </c>
      <c r="Q10" s="71" t="n">
        <v>0</v>
      </c>
      <c r="R10" s="71" t="n">
        <v>0</v>
      </c>
      <c r="S10" s="71" t="n">
        <v>0</v>
      </c>
      <c r="T10" s="48" t="n">
        <v>0</v>
      </c>
      <c r="U10" s="48" t="n">
        <v>0</v>
      </c>
      <c r="V10" s="48" t="n">
        <v>0</v>
      </c>
      <c r="W10" s="48" t="n">
        <v>0</v>
      </c>
    </row>
    <row r="11" customFormat="false" ht="14.25" hidden="false" customHeight="false" outlineLevel="0" collapsed="false">
      <c r="A11" s="61" t="n">
        <v>1851</v>
      </c>
      <c r="B11" s="48" t="n">
        <v>0</v>
      </c>
      <c r="C11" s="48" t="n">
        <v>0</v>
      </c>
      <c r="D11" s="48" t="n">
        <v>0</v>
      </c>
      <c r="E11" s="48" t="n">
        <v>0</v>
      </c>
      <c r="F11" s="48" t="n">
        <v>0</v>
      </c>
      <c r="G11" s="48" t="n">
        <v>0</v>
      </c>
      <c r="H11" s="48" t="n">
        <v>0</v>
      </c>
      <c r="I11" s="48" t="n">
        <v>0</v>
      </c>
      <c r="J11" s="48" t="n">
        <v>0</v>
      </c>
      <c r="K11" s="71" t="n">
        <v>0</v>
      </c>
      <c r="L11" s="71" t="n">
        <v>0.41</v>
      </c>
      <c r="M11" s="71" t="n">
        <v>0</v>
      </c>
      <c r="N11" s="71" t="n">
        <v>0</v>
      </c>
      <c r="O11" s="71" t="n">
        <v>0</v>
      </c>
      <c r="P11" s="71" t="n">
        <v>0</v>
      </c>
      <c r="Q11" s="71" t="n">
        <v>0</v>
      </c>
      <c r="R11" s="71" t="n">
        <v>0</v>
      </c>
      <c r="S11" s="71" t="n">
        <v>0</v>
      </c>
      <c r="T11" s="48" t="n">
        <v>0</v>
      </c>
      <c r="U11" s="48" t="n">
        <v>0</v>
      </c>
      <c r="V11" s="48" t="n">
        <v>0</v>
      </c>
      <c r="W11" s="48" t="n">
        <v>0</v>
      </c>
    </row>
    <row r="12" customFormat="false" ht="14.25" hidden="false" customHeight="false" outlineLevel="0" collapsed="false">
      <c r="A12" s="61" t="n">
        <v>1852</v>
      </c>
      <c r="B12" s="48" t="n">
        <v>0</v>
      </c>
      <c r="C12" s="48" t="n">
        <v>1</v>
      </c>
      <c r="D12" s="48" t="n">
        <v>0</v>
      </c>
      <c r="E12" s="48" t="n">
        <v>0</v>
      </c>
      <c r="F12" s="48" t="n">
        <v>0</v>
      </c>
      <c r="G12" s="48" t="n">
        <v>0</v>
      </c>
      <c r="H12" s="48" t="n">
        <v>0</v>
      </c>
      <c r="I12" s="48" t="n">
        <v>0</v>
      </c>
      <c r="J12" s="48" t="n">
        <v>0</v>
      </c>
      <c r="K12" s="71" t="n">
        <v>0</v>
      </c>
      <c r="L12" s="71" t="n">
        <v>0.42</v>
      </c>
      <c r="M12" s="71" t="n">
        <v>0</v>
      </c>
      <c r="N12" s="71" t="n">
        <v>0</v>
      </c>
      <c r="O12" s="71" t="n">
        <v>0</v>
      </c>
      <c r="P12" s="71" t="n">
        <v>0</v>
      </c>
      <c r="Q12" s="71" t="n">
        <v>0</v>
      </c>
      <c r="R12" s="71" t="n">
        <v>0</v>
      </c>
      <c r="S12" s="71" t="n">
        <v>0</v>
      </c>
      <c r="T12" s="48" t="n">
        <v>0</v>
      </c>
      <c r="U12" s="48" t="n">
        <v>0</v>
      </c>
      <c r="V12" s="48" t="n">
        <v>0</v>
      </c>
      <c r="W12" s="48" t="n">
        <v>0</v>
      </c>
    </row>
    <row r="13" customFormat="false" ht="14.25" hidden="false" customHeight="false" outlineLevel="0" collapsed="false">
      <c r="A13" s="61" t="n">
        <v>1853</v>
      </c>
      <c r="B13" s="48" t="n">
        <v>0</v>
      </c>
      <c r="C13" s="48" t="n">
        <v>0</v>
      </c>
      <c r="D13" s="48" t="n">
        <v>0</v>
      </c>
      <c r="E13" s="48" t="n">
        <v>0</v>
      </c>
      <c r="F13" s="48" t="n">
        <v>0</v>
      </c>
      <c r="G13" s="48" t="n">
        <v>0</v>
      </c>
      <c r="H13" s="48" t="n">
        <v>0</v>
      </c>
      <c r="I13" s="48" t="n">
        <v>0</v>
      </c>
      <c r="J13" s="48" t="n">
        <v>0</v>
      </c>
      <c r="K13" s="71" t="n">
        <v>0</v>
      </c>
      <c r="L13" s="71" t="n">
        <v>0.43</v>
      </c>
      <c r="M13" s="71" t="n">
        <v>0</v>
      </c>
      <c r="N13" s="71" t="n">
        <v>0</v>
      </c>
      <c r="O13" s="71" t="n">
        <v>0</v>
      </c>
      <c r="P13" s="71" t="n">
        <v>0</v>
      </c>
      <c r="Q13" s="71" t="n">
        <v>0</v>
      </c>
      <c r="R13" s="71" t="n">
        <v>0</v>
      </c>
      <c r="S13" s="71" t="n">
        <v>0</v>
      </c>
      <c r="T13" s="48" t="n">
        <v>0</v>
      </c>
      <c r="U13" s="48" t="n">
        <v>0</v>
      </c>
      <c r="V13" s="48" t="n">
        <v>0</v>
      </c>
      <c r="W13" s="48" t="n">
        <v>0</v>
      </c>
    </row>
    <row r="14" customFormat="false" ht="14.25" hidden="false" customHeight="false" outlineLevel="0" collapsed="false">
      <c r="A14" s="61" t="n">
        <v>1854</v>
      </c>
      <c r="B14" s="48" t="n">
        <v>0</v>
      </c>
      <c r="C14" s="48" t="n">
        <v>0</v>
      </c>
      <c r="D14" s="48" t="n">
        <v>0</v>
      </c>
      <c r="E14" s="48" t="n">
        <v>0</v>
      </c>
      <c r="F14" s="48" t="n">
        <v>0</v>
      </c>
      <c r="G14" s="48" t="n">
        <v>0</v>
      </c>
      <c r="H14" s="48" t="n">
        <v>0</v>
      </c>
      <c r="I14" s="48" t="n">
        <v>0</v>
      </c>
      <c r="J14" s="48" t="n">
        <v>0</v>
      </c>
      <c r="K14" s="71" t="n">
        <v>0</v>
      </c>
      <c r="L14" s="71" t="n">
        <v>0.44</v>
      </c>
      <c r="M14" s="71" t="n">
        <v>0</v>
      </c>
      <c r="N14" s="71" t="n">
        <v>0</v>
      </c>
      <c r="O14" s="71" t="n">
        <v>0</v>
      </c>
      <c r="P14" s="71" t="n">
        <v>0</v>
      </c>
      <c r="Q14" s="71" t="n">
        <v>0</v>
      </c>
      <c r="R14" s="71" t="n">
        <v>0</v>
      </c>
      <c r="S14" s="71" t="n">
        <v>0</v>
      </c>
      <c r="T14" s="48" t="n">
        <v>0</v>
      </c>
      <c r="U14" s="48" t="n">
        <v>0</v>
      </c>
      <c r="V14" s="48" t="n">
        <v>0</v>
      </c>
      <c r="W14" s="48" t="n">
        <v>0</v>
      </c>
    </row>
    <row r="15" customFormat="false" ht="14.25" hidden="false" customHeight="false" outlineLevel="0" collapsed="false">
      <c r="A15" s="61" t="n">
        <v>1855</v>
      </c>
      <c r="B15" s="48" t="n">
        <v>0</v>
      </c>
      <c r="C15" s="48" t="n">
        <v>1</v>
      </c>
      <c r="D15" s="48" t="n">
        <v>0</v>
      </c>
      <c r="E15" s="48" t="n">
        <v>0</v>
      </c>
      <c r="F15" s="48" t="n">
        <v>0</v>
      </c>
      <c r="G15" s="48" t="n">
        <v>0</v>
      </c>
      <c r="H15" s="48" t="n">
        <v>0</v>
      </c>
      <c r="I15" s="48" t="n">
        <v>0</v>
      </c>
      <c r="J15" s="48" t="n">
        <v>0</v>
      </c>
      <c r="K15" s="71" t="n">
        <v>0.8</v>
      </c>
      <c r="L15" s="71" t="n">
        <v>0.45</v>
      </c>
      <c r="M15" s="71" t="n">
        <v>0</v>
      </c>
      <c r="N15" s="71" t="n">
        <v>0</v>
      </c>
      <c r="O15" s="71" t="n">
        <v>0</v>
      </c>
      <c r="P15" s="71" t="n">
        <v>0</v>
      </c>
      <c r="Q15" s="71" t="n">
        <v>0</v>
      </c>
      <c r="R15" s="71" t="n">
        <v>0</v>
      </c>
      <c r="S15" s="71" t="n">
        <v>0</v>
      </c>
      <c r="T15" s="48" t="n">
        <v>0</v>
      </c>
      <c r="U15" s="48" t="n">
        <v>0</v>
      </c>
      <c r="V15" s="48" t="n">
        <v>0</v>
      </c>
      <c r="W15" s="48" t="n">
        <v>0</v>
      </c>
    </row>
    <row r="16" customFormat="false" ht="14.25" hidden="false" customHeight="false" outlineLevel="0" collapsed="false">
      <c r="A16" s="61" t="n">
        <v>1856</v>
      </c>
      <c r="B16" s="48" t="n">
        <v>0</v>
      </c>
      <c r="C16" s="48" t="n">
        <v>0</v>
      </c>
      <c r="D16" s="48" t="n">
        <v>0</v>
      </c>
      <c r="E16" s="48" t="n">
        <v>0</v>
      </c>
      <c r="F16" s="48" t="n">
        <v>0</v>
      </c>
      <c r="G16" s="48" t="n">
        <v>0</v>
      </c>
      <c r="H16" s="48" t="n">
        <v>0</v>
      </c>
      <c r="I16" s="48" t="n">
        <v>0</v>
      </c>
      <c r="J16" s="48" t="n">
        <v>0</v>
      </c>
      <c r="K16" s="71" t="n">
        <v>0.829</v>
      </c>
      <c r="L16" s="71" t="n">
        <v>0.46</v>
      </c>
      <c r="M16" s="71" t="n">
        <v>0</v>
      </c>
      <c r="N16" s="71" t="n">
        <v>0</v>
      </c>
      <c r="O16" s="71" t="n">
        <v>0</v>
      </c>
      <c r="P16" s="71" t="n">
        <v>0</v>
      </c>
      <c r="Q16" s="71" t="n">
        <v>0</v>
      </c>
      <c r="R16" s="71" t="n">
        <v>0</v>
      </c>
      <c r="S16" s="71" t="n">
        <v>0</v>
      </c>
      <c r="T16" s="48" t="n">
        <v>0</v>
      </c>
      <c r="U16" s="48" t="n">
        <v>0</v>
      </c>
      <c r="V16" s="48" t="n">
        <v>0</v>
      </c>
      <c r="W16" s="48" t="n">
        <v>0</v>
      </c>
    </row>
    <row r="17" customFormat="false" ht="14.25" hidden="false" customHeight="false" outlineLevel="0" collapsed="false">
      <c r="A17" s="61" t="n">
        <v>1857</v>
      </c>
      <c r="B17" s="48" t="n">
        <v>0</v>
      </c>
      <c r="C17" s="48" t="n">
        <v>0</v>
      </c>
      <c r="D17" s="48" t="n">
        <v>0</v>
      </c>
      <c r="E17" s="48" t="n">
        <v>0</v>
      </c>
      <c r="F17" s="48" t="n">
        <v>0</v>
      </c>
      <c r="G17" s="48" t="n">
        <v>0</v>
      </c>
      <c r="H17" s="48" t="n">
        <v>0</v>
      </c>
      <c r="I17" s="48" t="n">
        <v>0</v>
      </c>
      <c r="J17" s="48" t="n">
        <v>0</v>
      </c>
      <c r="K17" s="71" t="n">
        <v>0.857</v>
      </c>
      <c r="L17" s="71" t="n">
        <v>0.47</v>
      </c>
      <c r="M17" s="71" t="n">
        <v>0</v>
      </c>
      <c r="N17" s="71" t="n">
        <v>0</v>
      </c>
      <c r="O17" s="71" t="n">
        <v>0</v>
      </c>
      <c r="P17" s="71" t="n">
        <v>0</v>
      </c>
      <c r="Q17" s="71" t="n">
        <v>0</v>
      </c>
      <c r="R17" s="71" t="n">
        <v>0</v>
      </c>
      <c r="S17" s="71" t="n">
        <v>0</v>
      </c>
      <c r="T17" s="48" t="n">
        <v>0</v>
      </c>
      <c r="U17" s="48" t="n">
        <v>0</v>
      </c>
      <c r="V17" s="48" t="n">
        <v>0</v>
      </c>
      <c r="W17" s="48" t="n">
        <v>0</v>
      </c>
    </row>
    <row r="18" customFormat="false" ht="14.25" hidden="false" customHeight="false" outlineLevel="0" collapsed="false">
      <c r="A18" s="61" t="n">
        <v>1858</v>
      </c>
      <c r="B18" s="48" t="n">
        <v>0</v>
      </c>
      <c r="C18" s="48" t="n">
        <v>1</v>
      </c>
      <c r="D18" s="48" t="n">
        <v>0</v>
      </c>
      <c r="E18" s="48" t="n">
        <v>0</v>
      </c>
      <c r="F18" s="48" t="n">
        <v>0</v>
      </c>
      <c r="G18" s="48" t="n">
        <v>0</v>
      </c>
      <c r="H18" s="48" t="n">
        <v>0</v>
      </c>
      <c r="I18" s="48" t="n">
        <v>0</v>
      </c>
      <c r="J18" s="48" t="n">
        <v>0</v>
      </c>
      <c r="K18" s="71" t="n">
        <v>0.886</v>
      </c>
      <c r="L18" s="71" t="n">
        <v>0.48</v>
      </c>
      <c r="M18" s="71" t="n">
        <v>0</v>
      </c>
      <c r="N18" s="71" t="n">
        <v>0</v>
      </c>
      <c r="O18" s="71" t="n">
        <v>0</v>
      </c>
      <c r="P18" s="71" t="n">
        <v>0</v>
      </c>
      <c r="Q18" s="71" t="n">
        <v>0</v>
      </c>
      <c r="R18" s="71" t="n">
        <v>0</v>
      </c>
      <c r="S18" s="71" t="n">
        <v>0</v>
      </c>
      <c r="T18" s="48" t="n">
        <v>0</v>
      </c>
      <c r="U18" s="48" t="n">
        <v>0</v>
      </c>
      <c r="V18" s="48" t="n">
        <v>0</v>
      </c>
      <c r="W18" s="48" t="n">
        <v>0</v>
      </c>
    </row>
    <row r="19" customFormat="false" ht="14.25" hidden="false" customHeight="false" outlineLevel="0" collapsed="false">
      <c r="A19" s="61" t="n">
        <v>1859</v>
      </c>
      <c r="B19" s="48" t="n">
        <v>0</v>
      </c>
      <c r="C19" s="48" t="n">
        <v>0</v>
      </c>
      <c r="D19" s="48" t="n">
        <v>0</v>
      </c>
      <c r="E19" s="48" t="n">
        <v>0</v>
      </c>
      <c r="F19" s="48" t="n">
        <v>0</v>
      </c>
      <c r="G19" s="48" t="n">
        <v>0</v>
      </c>
      <c r="H19" s="48" t="n">
        <v>0</v>
      </c>
      <c r="I19" s="48" t="n">
        <v>0</v>
      </c>
      <c r="J19" s="48" t="n">
        <v>0</v>
      </c>
      <c r="K19" s="71" t="n">
        <v>0.914</v>
      </c>
      <c r="L19" s="71" t="n">
        <v>0.49</v>
      </c>
      <c r="M19" s="71" t="n">
        <v>0</v>
      </c>
      <c r="N19" s="71" t="n">
        <v>0</v>
      </c>
      <c r="O19" s="71" t="n">
        <v>0</v>
      </c>
      <c r="P19" s="71" t="n">
        <v>0</v>
      </c>
      <c r="Q19" s="71" t="n">
        <v>0</v>
      </c>
      <c r="R19" s="71" t="n">
        <v>0</v>
      </c>
      <c r="S19" s="71" t="n">
        <v>0</v>
      </c>
      <c r="T19" s="48" t="n">
        <v>0</v>
      </c>
      <c r="U19" s="48" t="n">
        <v>0</v>
      </c>
      <c r="V19" s="48" t="n">
        <v>0</v>
      </c>
      <c r="W19" s="48" t="n">
        <v>0</v>
      </c>
    </row>
    <row r="20" customFormat="false" ht="14.25" hidden="false" customHeight="false" outlineLevel="0" collapsed="false">
      <c r="A20" s="61" t="n">
        <v>1860</v>
      </c>
      <c r="B20" s="48" t="n">
        <v>0</v>
      </c>
      <c r="C20" s="48" t="n">
        <v>0</v>
      </c>
      <c r="D20" s="48" t="n">
        <v>0</v>
      </c>
      <c r="E20" s="48" t="n">
        <v>0</v>
      </c>
      <c r="F20" s="48" t="n">
        <v>0</v>
      </c>
      <c r="G20" s="48" t="n">
        <v>0</v>
      </c>
      <c r="H20" s="48" t="n">
        <v>0</v>
      </c>
      <c r="I20" s="48" t="n">
        <v>0</v>
      </c>
      <c r="J20" s="48" t="n">
        <v>0</v>
      </c>
      <c r="K20" s="71" t="n">
        <v>0.943</v>
      </c>
      <c r="L20" s="71" t="n">
        <v>0.5</v>
      </c>
      <c r="M20" s="71" t="n">
        <v>0</v>
      </c>
      <c r="N20" s="71" t="n">
        <v>0</v>
      </c>
      <c r="O20" s="71" t="n">
        <v>0</v>
      </c>
      <c r="P20" s="71" t="n">
        <v>0</v>
      </c>
      <c r="Q20" s="71" t="n">
        <v>0</v>
      </c>
      <c r="R20" s="71" t="n">
        <v>0</v>
      </c>
      <c r="S20" s="71" t="n">
        <v>0</v>
      </c>
      <c r="T20" s="48" t="n">
        <v>0</v>
      </c>
      <c r="U20" s="48" t="n">
        <v>0</v>
      </c>
      <c r="V20" s="48" t="n">
        <v>0</v>
      </c>
      <c r="W20" s="48" t="n">
        <v>0</v>
      </c>
    </row>
    <row r="21" customFormat="false" ht="14.25" hidden="false" customHeight="false" outlineLevel="0" collapsed="false">
      <c r="A21" s="61" t="n">
        <v>1861</v>
      </c>
      <c r="B21" s="48" t="n">
        <v>0</v>
      </c>
      <c r="C21" s="48" t="n">
        <v>2</v>
      </c>
      <c r="D21" s="48" t="n">
        <v>0</v>
      </c>
      <c r="E21" s="48" t="n">
        <v>0</v>
      </c>
      <c r="F21" s="48" t="n">
        <v>0</v>
      </c>
      <c r="G21" s="48" t="n">
        <v>0</v>
      </c>
      <c r="H21" s="48" t="n">
        <v>0</v>
      </c>
      <c r="I21" s="48" t="n">
        <v>0</v>
      </c>
      <c r="J21" s="48" t="n">
        <v>0</v>
      </c>
      <c r="K21" s="71" t="n">
        <v>0.971</v>
      </c>
      <c r="L21" s="71" t="n">
        <v>0.53</v>
      </c>
      <c r="M21" s="71" t="n">
        <v>0</v>
      </c>
      <c r="N21" s="71" t="n">
        <v>0</v>
      </c>
      <c r="O21" s="71" t="n">
        <v>0</v>
      </c>
      <c r="P21" s="71" t="n">
        <v>0</v>
      </c>
      <c r="Q21" s="71" t="n">
        <v>0</v>
      </c>
      <c r="R21" s="71" t="n">
        <v>0</v>
      </c>
      <c r="S21" s="71" t="n">
        <v>0</v>
      </c>
      <c r="T21" s="48" t="n">
        <v>0</v>
      </c>
      <c r="U21" s="48" t="n">
        <v>0</v>
      </c>
      <c r="V21" s="48" t="n">
        <v>0</v>
      </c>
      <c r="W21" s="48" t="n">
        <v>0</v>
      </c>
    </row>
    <row r="22" customFormat="false" ht="14.25" hidden="false" customHeight="false" outlineLevel="0" collapsed="false">
      <c r="A22" s="61" t="n">
        <v>1862</v>
      </c>
      <c r="B22" s="48" t="n">
        <v>1</v>
      </c>
      <c r="C22" s="48" t="n">
        <v>0</v>
      </c>
      <c r="D22" s="48" t="n">
        <v>0</v>
      </c>
      <c r="E22" s="48" t="n">
        <v>0</v>
      </c>
      <c r="F22" s="48" t="n">
        <v>0</v>
      </c>
      <c r="G22" s="48" t="n">
        <v>0</v>
      </c>
      <c r="H22" s="48" t="n">
        <v>0</v>
      </c>
      <c r="I22" s="48" t="n">
        <v>0</v>
      </c>
      <c r="J22" s="48" t="n">
        <v>0</v>
      </c>
      <c r="K22" s="71" t="n">
        <v>1</v>
      </c>
      <c r="L22" s="71" t="n">
        <v>0.56</v>
      </c>
      <c r="M22" s="71" t="n">
        <v>0</v>
      </c>
      <c r="N22" s="71" t="n">
        <v>0</v>
      </c>
      <c r="O22" s="71" t="n">
        <v>0</v>
      </c>
      <c r="P22" s="71" t="n">
        <v>0</v>
      </c>
      <c r="Q22" s="71" t="n">
        <v>0</v>
      </c>
      <c r="R22" s="71" t="n">
        <v>0</v>
      </c>
      <c r="S22" s="71" t="n">
        <v>0</v>
      </c>
      <c r="T22" s="48" t="n">
        <v>0</v>
      </c>
      <c r="U22" s="48" t="n">
        <v>0</v>
      </c>
      <c r="V22" s="48" t="n">
        <v>0</v>
      </c>
      <c r="W22" s="48" t="n">
        <v>0</v>
      </c>
    </row>
    <row r="23" customFormat="false" ht="14.25" hidden="false" customHeight="false" outlineLevel="0" collapsed="false">
      <c r="A23" s="61" t="n">
        <v>1863</v>
      </c>
      <c r="B23" s="48" t="n">
        <v>2</v>
      </c>
      <c r="C23" s="48" t="n">
        <v>0</v>
      </c>
      <c r="D23" s="48" t="n">
        <v>0</v>
      </c>
      <c r="E23" s="48" t="n">
        <v>0</v>
      </c>
      <c r="F23" s="48" t="n">
        <v>0</v>
      </c>
      <c r="G23" s="48" t="n">
        <v>0</v>
      </c>
      <c r="H23" s="48" t="n">
        <v>0</v>
      </c>
      <c r="I23" s="48" t="n">
        <v>0</v>
      </c>
      <c r="J23" s="48" t="n">
        <v>0</v>
      </c>
      <c r="K23" s="71" t="n">
        <v>1.025</v>
      </c>
      <c r="L23" s="71" t="n">
        <v>0.59</v>
      </c>
      <c r="M23" s="71" t="n">
        <v>0</v>
      </c>
      <c r="N23" s="71" t="n">
        <v>0</v>
      </c>
      <c r="O23" s="71" t="n">
        <v>0</v>
      </c>
      <c r="P23" s="71" t="n">
        <v>0</v>
      </c>
      <c r="Q23" s="71" t="n">
        <v>0</v>
      </c>
      <c r="R23" s="71" t="n">
        <v>0</v>
      </c>
      <c r="S23" s="71" t="n">
        <v>0</v>
      </c>
      <c r="T23" s="48" t="n">
        <v>0</v>
      </c>
      <c r="U23" s="48" t="n">
        <v>0</v>
      </c>
      <c r="V23" s="48" t="n">
        <v>0</v>
      </c>
      <c r="W23" s="48" t="n">
        <v>0</v>
      </c>
    </row>
    <row r="24" customFormat="false" ht="14.25" hidden="false" customHeight="false" outlineLevel="0" collapsed="false">
      <c r="A24" s="61" t="n">
        <v>1864</v>
      </c>
      <c r="B24" s="48" t="n">
        <v>2</v>
      </c>
      <c r="C24" s="48" t="n">
        <v>1</v>
      </c>
      <c r="D24" s="48" t="n">
        <v>0</v>
      </c>
      <c r="E24" s="48" t="n">
        <v>0</v>
      </c>
      <c r="F24" s="48" t="n">
        <v>0</v>
      </c>
      <c r="G24" s="48" t="n">
        <v>0</v>
      </c>
      <c r="H24" s="48" t="n">
        <v>0</v>
      </c>
      <c r="I24" s="48" t="n">
        <v>0</v>
      </c>
      <c r="J24" s="48" t="n">
        <v>0</v>
      </c>
      <c r="K24" s="71" t="n">
        <v>1.05</v>
      </c>
      <c r="L24" s="71" t="n">
        <v>0.62</v>
      </c>
      <c r="M24" s="71" t="n">
        <v>0</v>
      </c>
      <c r="N24" s="71" t="n">
        <v>0</v>
      </c>
      <c r="O24" s="71" t="n">
        <v>0</v>
      </c>
      <c r="P24" s="71" t="n">
        <v>0</v>
      </c>
      <c r="Q24" s="71" t="n">
        <v>0</v>
      </c>
      <c r="R24" s="71" t="n">
        <v>0</v>
      </c>
      <c r="S24" s="71" t="n">
        <v>0</v>
      </c>
      <c r="T24" s="48" t="n">
        <v>0</v>
      </c>
      <c r="U24" s="48" t="n">
        <v>0</v>
      </c>
      <c r="V24" s="48" t="n">
        <v>0</v>
      </c>
      <c r="W24" s="48" t="n">
        <v>0</v>
      </c>
    </row>
    <row r="25" customFormat="false" ht="14.25" hidden="false" customHeight="false" outlineLevel="0" collapsed="false">
      <c r="A25" s="61" t="n">
        <v>1865</v>
      </c>
      <c r="B25" s="48" t="n">
        <v>1</v>
      </c>
      <c r="C25" s="48" t="n">
        <v>0</v>
      </c>
      <c r="D25" s="48" t="n">
        <v>0</v>
      </c>
      <c r="E25" s="48" t="n">
        <v>0</v>
      </c>
      <c r="F25" s="48" t="n">
        <v>0</v>
      </c>
      <c r="G25" s="48" t="n">
        <v>0</v>
      </c>
      <c r="H25" s="48" t="n">
        <v>0</v>
      </c>
      <c r="I25" s="48" t="n">
        <v>0</v>
      </c>
      <c r="J25" s="48" t="n">
        <v>0</v>
      </c>
      <c r="K25" s="71" t="n">
        <v>1.075</v>
      </c>
      <c r="L25" s="71" t="n">
        <v>0.65</v>
      </c>
      <c r="M25" s="71" t="n">
        <v>0</v>
      </c>
      <c r="N25" s="71" t="n">
        <v>0</v>
      </c>
      <c r="O25" s="71" t="n">
        <v>0</v>
      </c>
      <c r="P25" s="71" t="n">
        <v>0</v>
      </c>
      <c r="Q25" s="71" t="n">
        <v>0</v>
      </c>
      <c r="R25" s="71" t="n">
        <v>0</v>
      </c>
      <c r="S25" s="71" t="n">
        <v>0</v>
      </c>
      <c r="T25" s="48" t="n">
        <v>0</v>
      </c>
      <c r="U25" s="48" t="n">
        <v>0</v>
      </c>
      <c r="V25" s="48" t="n">
        <v>0</v>
      </c>
      <c r="W25" s="48" t="n">
        <v>0</v>
      </c>
    </row>
    <row r="26" customFormat="false" ht="14.25" hidden="false" customHeight="false" outlineLevel="0" collapsed="false">
      <c r="A26" s="61" t="n">
        <v>1866</v>
      </c>
      <c r="B26" s="48" t="n">
        <v>0</v>
      </c>
      <c r="C26" s="48" t="n">
        <v>0</v>
      </c>
      <c r="D26" s="48" t="n">
        <v>0</v>
      </c>
      <c r="E26" s="48" t="n">
        <v>0</v>
      </c>
      <c r="F26" s="48" t="n">
        <v>0</v>
      </c>
      <c r="G26" s="48" t="n">
        <v>0</v>
      </c>
      <c r="H26" s="48" t="n">
        <v>0</v>
      </c>
      <c r="I26" s="48" t="n">
        <v>0</v>
      </c>
      <c r="J26" s="48" t="n">
        <v>0</v>
      </c>
      <c r="K26" s="71" t="n">
        <v>1.1</v>
      </c>
      <c r="L26" s="71" t="n">
        <v>0.68</v>
      </c>
      <c r="M26" s="71" t="n">
        <v>0</v>
      </c>
      <c r="N26" s="71" t="n">
        <v>0</v>
      </c>
      <c r="O26" s="71" t="n">
        <v>0</v>
      </c>
      <c r="P26" s="71" t="n">
        <v>0</v>
      </c>
      <c r="Q26" s="71" t="n">
        <v>0</v>
      </c>
      <c r="R26" s="71" t="n">
        <v>0</v>
      </c>
      <c r="S26" s="71" t="n">
        <v>0</v>
      </c>
      <c r="T26" s="48" t="n">
        <v>0</v>
      </c>
      <c r="U26" s="48" t="n">
        <v>0</v>
      </c>
      <c r="V26" s="48" t="n">
        <v>0</v>
      </c>
      <c r="W26" s="48" t="n">
        <v>0</v>
      </c>
    </row>
    <row r="27" customFormat="false" ht="14.25" hidden="false" customHeight="false" outlineLevel="0" collapsed="false">
      <c r="A27" s="61" t="n">
        <v>1867</v>
      </c>
      <c r="B27" s="48" t="n">
        <v>1</v>
      </c>
      <c r="C27" s="48" t="n">
        <v>0</v>
      </c>
      <c r="D27" s="48" t="n">
        <v>0</v>
      </c>
      <c r="E27" s="48" t="n">
        <v>0</v>
      </c>
      <c r="F27" s="48" t="n">
        <v>0</v>
      </c>
      <c r="G27" s="48" t="n">
        <v>0</v>
      </c>
      <c r="H27" s="48" t="n">
        <v>0</v>
      </c>
      <c r="I27" s="48" t="n">
        <v>0</v>
      </c>
      <c r="J27" s="48" t="n">
        <v>0</v>
      </c>
      <c r="K27" s="71" t="n">
        <v>1.125</v>
      </c>
      <c r="L27" s="71" t="n">
        <v>0.71</v>
      </c>
      <c r="M27" s="71" t="n">
        <v>0</v>
      </c>
      <c r="N27" s="71" t="n">
        <v>0</v>
      </c>
      <c r="O27" s="71" t="n">
        <v>0</v>
      </c>
      <c r="P27" s="71" t="n">
        <v>0</v>
      </c>
      <c r="Q27" s="71" t="n">
        <v>0</v>
      </c>
      <c r="R27" s="71" t="n">
        <v>0</v>
      </c>
      <c r="S27" s="71" t="n">
        <v>0</v>
      </c>
      <c r="T27" s="48" t="n">
        <v>0</v>
      </c>
      <c r="U27" s="48" t="n">
        <v>0</v>
      </c>
      <c r="V27" s="48" t="n">
        <v>0</v>
      </c>
      <c r="W27" s="48" t="n">
        <v>0</v>
      </c>
    </row>
    <row r="28" customFormat="false" ht="14.25" hidden="false" customHeight="false" outlineLevel="0" collapsed="false">
      <c r="A28" s="61" t="n">
        <v>1868</v>
      </c>
      <c r="B28" s="48" t="n">
        <v>0</v>
      </c>
      <c r="C28" s="48" t="n">
        <v>2</v>
      </c>
      <c r="D28" s="48" t="n">
        <v>0</v>
      </c>
      <c r="E28" s="48" t="n">
        <v>0</v>
      </c>
      <c r="F28" s="48" t="n">
        <v>0</v>
      </c>
      <c r="G28" s="48" t="n">
        <v>0</v>
      </c>
      <c r="H28" s="48" t="n">
        <v>0</v>
      </c>
      <c r="I28" s="48" t="n">
        <v>0</v>
      </c>
      <c r="J28" s="48" t="n">
        <v>0</v>
      </c>
      <c r="K28" s="71" t="n">
        <v>1.15</v>
      </c>
      <c r="L28" s="71" t="n">
        <v>0.74</v>
      </c>
      <c r="M28" s="71" t="n">
        <v>0</v>
      </c>
      <c r="N28" s="71" t="n">
        <v>0</v>
      </c>
      <c r="O28" s="71" t="n">
        <v>0</v>
      </c>
      <c r="P28" s="71" t="n">
        <v>0</v>
      </c>
      <c r="Q28" s="71" t="n">
        <v>0</v>
      </c>
      <c r="R28" s="71" t="n">
        <v>0</v>
      </c>
      <c r="S28" s="71" t="n">
        <v>0</v>
      </c>
      <c r="T28" s="48" t="n">
        <v>0</v>
      </c>
      <c r="U28" s="48" t="n">
        <v>0</v>
      </c>
      <c r="V28" s="48" t="n">
        <v>0</v>
      </c>
      <c r="W28" s="48" t="n">
        <v>0</v>
      </c>
    </row>
    <row r="29" customFormat="false" ht="14.25" hidden="false" customHeight="false" outlineLevel="0" collapsed="false">
      <c r="A29" s="61" t="n">
        <v>1869</v>
      </c>
      <c r="B29" s="48" t="n">
        <v>2</v>
      </c>
      <c r="C29" s="48" t="n">
        <v>0</v>
      </c>
      <c r="D29" s="48" t="n">
        <v>0</v>
      </c>
      <c r="E29" s="48" t="n">
        <v>0</v>
      </c>
      <c r="F29" s="48" t="n">
        <v>0</v>
      </c>
      <c r="G29" s="48" t="n">
        <v>0</v>
      </c>
      <c r="H29" s="48" t="n">
        <v>0</v>
      </c>
      <c r="I29" s="48" t="n">
        <v>0</v>
      </c>
      <c r="J29" s="48" t="n">
        <v>0</v>
      </c>
      <c r="K29" s="71" t="n">
        <v>1.175</v>
      </c>
      <c r="L29" s="71" t="n">
        <v>0.77</v>
      </c>
      <c r="M29" s="71" t="n">
        <v>0</v>
      </c>
      <c r="N29" s="71" t="n">
        <v>0</v>
      </c>
      <c r="O29" s="71" t="n">
        <v>0</v>
      </c>
      <c r="P29" s="71" t="n">
        <v>0</v>
      </c>
      <c r="Q29" s="71" t="n">
        <v>0</v>
      </c>
      <c r="R29" s="71" t="n">
        <v>0</v>
      </c>
      <c r="S29" s="71" t="n">
        <v>0</v>
      </c>
      <c r="T29" s="48" t="n">
        <v>0</v>
      </c>
      <c r="U29" s="48" t="n">
        <v>0</v>
      </c>
      <c r="V29" s="48" t="n">
        <v>0</v>
      </c>
      <c r="W29" s="48" t="n">
        <v>0</v>
      </c>
    </row>
    <row r="30" customFormat="false" ht="14.25" hidden="false" customHeight="false" outlineLevel="0" collapsed="false">
      <c r="A30" s="61" t="n">
        <v>1870</v>
      </c>
      <c r="B30" s="48" t="n">
        <v>2</v>
      </c>
      <c r="C30" s="48" t="n">
        <v>0</v>
      </c>
      <c r="D30" s="48" t="n">
        <v>0</v>
      </c>
      <c r="E30" s="48" t="n">
        <v>0</v>
      </c>
      <c r="F30" s="48" t="n">
        <v>0</v>
      </c>
      <c r="G30" s="48" t="n">
        <v>0</v>
      </c>
      <c r="H30" s="48" t="n">
        <v>0</v>
      </c>
      <c r="I30" s="48" t="n">
        <v>0</v>
      </c>
      <c r="J30" s="48" t="n">
        <v>0</v>
      </c>
      <c r="K30" s="71" t="n">
        <v>1.2</v>
      </c>
      <c r="L30" s="71" t="n">
        <v>0.8</v>
      </c>
      <c r="M30" s="71" t="n">
        <v>0</v>
      </c>
      <c r="N30" s="71" t="n">
        <v>0</v>
      </c>
      <c r="O30" s="71" t="n">
        <v>0</v>
      </c>
      <c r="P30" s="71" t="n">
        <v>0</v>
      </c>
      <c r="Q30" s="71" t="n">
        <v>0</v>
      </c>
      <c r="R30" s="71" t="n">
        <v>0</v>
      </c>
      <c r="S30" s="71" t="n">
        <v>0</v>
      </c>
      <c r="T30" s="48" t="n">
        <v>0</v>
      </c>
      <c r="U30" s="48" t="n">
        <v>0</v>
      </c>
      <c r="V30" s="48" t="n">
        <v>0</v>
      </c>
      <c r="W30" s="48" t="n">
        <v>0</v>
      </c>
    </row>
    <row r="31" customFormat="false" ht="14.25" hidden="false" customHeight="false" outlineLevel="0" collapsed="false">
      <c r="A31" s="61" t="n">
        <v>1871</v>
      </c>
      <c r="B31" s="48" t="n">
        <v>0</v>
      </c>
      <c r="C31" s="48" t="n">
        <v>0</v>
      </c>
      <c r="D31" s="48" t="n">
        <v>0</v>
      </c>
      <c r="E31" s="48" t="n">
        <v>0</v>
      </c>
      <c r="F31" s="48" t="n">
        <v>0</v>
      </c>
      <c r="G31" s="48" t="n">
        <v>0</v>
      </c>
      <c r="H31" s="48" t="n">
        <v>0</v>
      </c>
      <c r="I31" s="48" t="n">
        <v>0</v>
      </c>
      <c r="J31" s="48" t="n">
        <v>0</v>
      </c>
      <c r="K31" s="71" t="n">
        <v>1.21</v>
      </c>
      <c r="L31" s="71" t="n">
        <v>0.82</v>
      </c>
      <c r="M31" s="71" t="n">
        <v>0</v>
      </c>
      <c r="N31" s="71" t="n">
        <v>0</v>
      </c>
      <c r="O31" s="71" t="n">
        <v>0</v>
      </c>
      <c r="P31" s="71" t="n">
        <v>0</v>
      </c>
      <c r="Q31" s="71" t="n">
        <v>0</v>
      </c>
      <c r="R31" s="71" t="n">
        <v>0</v>
      </c>
      <c r="S31" s="71" t="n">
        <v>0</v>
      </c>
      <c r="T31" s="48" t="n">
        <v>0</v>
      </c>
      <c r="U31" s="48" t="n">
        <v>0</v>
      </c>
      <c r="V31" s="48" t="n">
        <v>0</v>
      </c>
      <c r="W31" s="48" t="n">
        <v>0</v>
      </c>
    </row>
    <row r="32" customFormat="false" ht="14.25" hidden="false" customHeight="false" outlineLevel="0" collapsed="false">
      <c r="A32" s="61" t="n">
        <v>1872</v>
      </c>
      <c r="B32" s="48" t="n">
        <v>1</v>
      </c>
      <c r="C32" s="48" t="n">
        <v>2</v>
      </c>
      <c r="D32" s="48" t="n">
        <v>0</v>
      </c>
      <c r="E32" s="48" t="n">
        <v>0</v>
      </c>
      <c r="F32" s="48" t="n">
        <v>0</v>
      </c>
      <c r="G32" s="48" t="n">
        <v>0</v>
      </c>
      <c r="H32" s="48" t="n">
        <v>0</v>
      </c>
      <c r="I32" s="48" t="n">
        <v>0</v>
      </c>
      <c r="J32" s="48" t="n">
        <v>0</v>
      </c>
      <c r="K32" s="71" t="n">
        <v>1.22</v>
      </c>
      <c r="L32" s="71" t="n">
        <v>0.84</v>
      </c>
      <c r="M32" s="71" t="n">
        <v>0</v>
      </c>
      <c r="N32" s="71" t="n">
        <v>0</v>
      </c>
      <c r="O32" s="71" t="n">
        <v>0</v>
      </c>
      <c r="P32" s="71" t="n">
        <v>0</v>
      </c>
      <c r="Q32" s="71" t="n">
        <v>0</v>
      </c>
      <c r="R32" s="71" t="n">
        <v>0</v>
      </c>
      <c r="S32" s="71" t="n">
        <v>0</v>
      </c>
      <c r="T32" s="48" t="n">
        <v>0</v>
      </c>
      <c r="U32" s="48" t="n">
        <v>0</v>
      </c>
      <c r="V32" s="48" t="n">
        <v>0</v>
      </c>
      <c r="W32" s="48" t="n">
        <v>0</v>
      </c>
    </row>
    <row r="33" customFormat="false" ht="14.25" hidden="false" customHeight="false" outlineLevel="0" collapsed="false">
      <c r="A33" s="61" t="n">
        <v>1873</v>
      </c>
      <c r="B33" s="48" t="n">
        <v>0</v>
      </c>
      <c r="C33" s="48" t="n">
        <v>0</v>
      </c>
      <c r="D33" s="48" t="n">
        <v>0</v>
      </c>
      <c r="E33" s="48" t="n">
        <v>0</v>
      </c>
      <c r="F33" s="48" t="n">
        <v>0</v>
      </c>
      <c r="G33" s="48" t="n">
        <v>0</v>
      </c>
      <c r="H33" s="48" t="n">
        <v>0</v>
      </c>
      <c r="I33" s="48" t="n">
        <v>0</v>
      </c>
      <c r="J33" s="48" t="n">
        <v>0</v>
      </c>
      <c r="K33" s="71" t="n">
        <v>1.23</v>
      </c>
      <c r="L33" s="71" t="n">
        <v>0.86</v>
      </c>
      <c r="M33" s="71" t="n">
        <v>0</v>
      </c>
      <c r="N33" s="71" t="n">
        <v>0</v>
      </c>
      <c r="O33" s="71" t="n">
        <v>0</v>
      </c>
      <c r="P33" s="71" t="n">
        <v>0</v>
      </c>
      <c r="Q33" s="71" t="n">
        <v>0</v>
      </c>
      <c r="R33" s="71" t="n">
        <v>0</v>
      </c>
      <c r="S33" s="71" t="n">
        <v>0</v>
      </c>
      <c r="T33" s="48" t="n">
        <v>0</v>
      </c>
      <c r="U33" s="48" t="n">
        <v>0</v>
      </c>
      <c r="V33" s="48" t="n">
        <v>0</v>
      </c>
      <c r="W33" s="48" t="n">
        <v>0</v>
      </c>
    </row>
    <row r="34" customFormat="false" ht="14.25" hidden="false" customHeight="false" outlineLevel="0" collapsed="false">
      <c r="A34" s="61" t="n">
        <v>1874</v>
      </c>
      <c r="B34" s="48" t="n">
        <v>0</v>
      </c>
      <c r="C34" s="48" t="n">
        <v>0</v>
      </c>
      <c r="D34" s="48" t="n">
        <v>0</v>
      </c>
      <c r="E34" s="48" t="n">
        <v>0</v>
      </c>
      <c r="F34" s="48" t="n">
        <v>0</v>
      </c>
      <c r="G34" s="48" t="n">
        <v>0</v>
      </c>
      <c r="H34" s="48" t="n">
        <v>0</v>
      </c>
      <c r="I34" s="48" t="n">
        <v>0</v>
      </c>
      <c r="J34" s="48" t="n">
        <v>0</v>
      </c>
      <c r="K34" s="71" t="n">
        <v>1.24</v>
      </c>
      <c r="L34" s="71" t="n">
        <v>0.88</v>
      </c>
      <c r="M34" s="71" t="n">
        <v>0</v>
      </c>
      <c r="N34" s="71" t="n">
        <v>0</v>
      </c>
      <c r="O34" s="71" t="n">
        <v>0</v>
      </c>
      <c r="P34" s="71" t="n">
        <v>0</v>
      </c>
      <c r="Q34" s="71" t="n">
        <v>0</v>
      </c>
      <c r="R34" s="71" t="n">
        <v>0</v>
      </c>
      <c r="S34" s="71" t="n">
        <v>0</v>
      </c>
      <c r="T34" s="48" t="n">
        <v>0</v>
      </c>
      <c r="U34" s="48" t="n">
        <v>0</v>
      </c>
      <c r="V34" s="48" t="n">
        <v>0</v>
      </c>
      <c r="W34" s="48" t="n">
        <v>0</v>
      </c>
    </row>
    <row r="35" customFormat="false" ht="14.25" hidden="false" customHeight="false" outlineLevel="0" collapsed="false">
      <c r="A35" s="61" t="n">
        <v>1875</v>
      </c>
      <c r="B35" s="48" t="n">
        <v>1</v>
      </c>
      <c r="C35" s="48" t="n">
        <v>2</v>
      </c>
      <c r="D35" s="48" t="n">
        <v>0</v>
      </c>
      <c r="E35" s="48" t="n">
        <v>0</v>
      </c>
      <c r="F35" s="48" t="n">
        <v>0</v>
      </c>
      <c r="G35" s="48" t="n">
        <v>0</v>
      </c>
      <c r="H35" s="48" t="n">
        <v>0</v>
      </c>
      <c r="I35" s="48" t="n">
        <v>0</v>
      </c>
      <c r="J35" s="48" t="n">
        <v>0</v>
      </c>
      <c r="K35" s="71" t="n">
        <v>1.25</v>
      </c>
      <c r="L35" s="71" t="n">
        <v>0.9</v>
      </c>
      <c r="M35" s="71" t="n">
        <v>0</v>
      </c>
      <c r="N35" s="71" t="n">
        <v>0</v>
      </c>
      <c r="O35" s="71" t="n">
        <v>0</v>
      </c>
      <c r="P35" s="71" t="n">
        <v>0</v>
      </c>
      <c r="Q35" s="71" t="n">
        <v>0</v>
      </c>
      <c r="R35" s="71" t="n">
        <v>0</v>
      </c>
      <c r="S35" s="71" t="n">
        <v>0</v>
      </c>
      <c r="T35" s="48" t="n">
        <v>0</v>
      </c>
      <c r="U35" s="48" t="n">
        <v>0</v>
      </c>
      <c r="V35" s="48" t="n">
        <v>0</v>
      </c>
      <c r="W35" s="48" t="n">
        <v>0</v>
      </c>
    </row>
    <row r="36" customFormat="false" ht="14.25" hidden="false" customHeight="false" outlineLevel="0" collapsed="false">
      <c r="A36" s="61" t="n">
        <v>1876</v>
      </c>
      <c r="B36" s="48" t="n">
        <v>0</v>
      </c>
      <c r="C36" s="48" t="n">
        <v>0</v>
      </c>
      <c r="D36" s="48" t="n">
        <v>0</v>
      </c>
      <c r="E36" s="48" t="n">
        <v>0</v>
      </c>
      <c r="F36" s="48" t="n">
        <v>0</v>
      </c>
      <c r="G36" s="48" t="n">
        <v>0</v>
      </c>
      <c r="H36" s="48" t="n">
        <v>0</v>
      </c>
      <c r="I36" s="48" t="n">
        <v>0</v>
      </c>
      <c r="J36" s="48" t="n">
        <v>0</v>
      </c>
      <c r="K36" s="71" t="n">
        <v>1.26</v>
      </c>
      <c r="L36" s="71" t="n">
        <v>0.92</v>
      </c>
      <c r="M36" s="71" t="n">
        <v>0</v>
      </c>
      <c r="N36" s="71" t="n">
        <v>0</v>
      </c>
      <c r="O36" s="71" t="n">
        <v>0</v>
      </c>
      <c r="P36" s="71" t="n">
        <v>0</v>
      </c>
      <c r="Q36" s="71" t="n">
        <v>0</v>
      </c>
      <c r="R36" s="71" t="n">
        <v>0</v>
      </c>
      <c r="S36" s="71" t="n">
        <v>0</v>
      </c>
      <c r="T36" s="48" t="n">
        <v>0</v>
      </c>
      <c r="U36" s="48" t="n">
        <v>0</v>
      </c>
      <c r="V36" s="48" t="n">
        <v>0</v>
      </c>
      <c r="W36" s="48" t="n">
        <v>0</v>
      </c>
    </row>
    <row r="37" customFormat="false" ht="14.25" hidden="false" customHeight="false" outlineLevel="0" collapsed="false">
      <c r="A37" s="61" t="n">
        <v>1877</v>
      </c>
      <c r="B37" s="48" t="n">
        <v>0</v>
      </c>
      <c r="C37" s="48" t="n">
        <v>0</v>
      </c>
      <c r="D37" s="48" t="n">
        <v>0</v>
      </c>
      <c r="E37" s="48" t="n">
        <v>0</v>
      </c>
      <c r="F37" s="48" t="n">
        <v>0</v>
      </c>
      <c r="G37" s="48" t="n">
        <v>0</v>
      </c>
      <c r="H37" s="48" t="n">
        <v>0</v>
      </c>
      <c r="I37" s="48" t="n">
        <v>0</v>
      </c>
      <c r="J37" s="48" t="n">
        <v>0</v>
      </c>
      <c r="K37" s="71" t="n">
        <v>1.27</v>
      </c>
      <c r="L37" s="71" t="n">
        <v>0.94</v>
      </c>
      <c r="M37" s="71" t="n">
        <v>0</v>
      </c>
      <c r="N37" s="71" t="n">
        <v>0</v>
      </c>
      <c r="O37" s="71" t="n">
        <v>0</v>
      </c>
      <c r="P37" s="71" t="n">
        <v>0</v>
      </c>
      <c r="Q37" s="71" t="n">
        <v>0</v>
      </c>
      <c r="R37" s="71" t="n">
        <v>0</v>
      </c>
      <c r="S37" s="71" t="n">
        <v>0</v>
      </c>
      <c r="T37" s="48" t="n">
        <v>0</v>
      </c>
      <c r="U37" s="48" t="n">
        <v>0</v>
      </c>
      <c r="V37" s="48" t="n">
        <v>0</v>
      </c>
      <c r="W37" s="48" t="n">
        <v>0</v>
      </c>
    </row>
    <row r="38" customFormat="false" ht="14.25" hidden="false" customHeight="false" outlineLevel="0" collapsed="false">
      <c r="A38" s="61" t="n">
        <v>1878</v>
      </c>
      <c r="B38" s="48" t="n">
        <v>1</v>
      </c>
      <c r="C38" s="48" t="n">
        <v>2</v>
      </c>
      <c r="D38" s="48" t="n">
        <v>0</v>
      </c>
      <c r="E38" s="48" t="n">
        <v>0</v>
      </c>
      <c r="F38" s="48" t="n">
        <v>0</v>
      </c>
      <c r="G38" s="48" t="n">
        <v>0</v>
      </c>
      <c r="H38" s="48" t="n">
        <v>0</v>
      </c>
      <c r="I38" s="48" t="n">
        <v>0</v>
      </c>
      <c r="J38" s="48" t="n">
        <v>0</v>
      </c>
      <c r="K38" s="71" t="n">
        <v>1.28</v>
      </c>
      <c r="L38" s="71" t="n">
        <v>0.96</v>
      </c>
      <c r="M38" s="71" t="n">
        <v>0</v>
      </c>
      <c r="N38" s="71" t="n">
        <v>0</v>
      </c>
      <c r="O38" s="71" t="n">
        <v>0</v>
      </c>
      <c r="P38" s="71" t="n">
        <v>0</v>
      </c>
      <c r="Q38" s="71" t="n">
        <v>0</v>
      </c>
      <c r="R38" s="71" t="n">
        <v>0</v>
      </c>
      <c r="S38" s="71" t="n">
        <v>0</v>
      </c>
      <c r="T38" s="48" t="n">
        <v>0</v>
      </c>
      <c r="U38" s="48" t="n">
        <v>0</v>
      </c>
      <c r="V38" s="48" t="n">
        <v>0</v>
      </c>
      <c r="W38" s="48" t="n">
        <v>0</v>
      </c>
    </row>
    <row r="39" customFormat="false" ht="14.25" hidden="false" customHeight="false" outlineLevel="0" collapsed="false">
      <c r="A39" s="61" t="n">
        <v>1879</v>
      </c>
      <c r="B39" s="48" t="n">
        <v>0</v>
      </c>
      <c r="C39" s="48" t="n">
        <v>0</v>
      </c>
      <c r="D39" s="48" t="n">
        <v>0</v>
      </c>
      <c r="E39" s="48" t="n">
        <v>0</v>
      </c>
      <c r="F39" s="48" t="n">
        <v>0</v>
      </c>
      <c r="G39" s="48" t="n">
        <v>0</v>
      </c>
      <c r="H39" s="48" t="n">
        <v>0</v>
      </c>
      <c r="I39" s="48" t="n">
        <v>0</v>
      </c>
      <c r="J39" s="48" t="n">
        <v>0</v>
      </c>
      <c r="K39" s="71" t="n">
        <v>1.29</v>
      </c>
      <c r="L39" s="71" t="n">
        <v>0.98</v>
      </c>
      <c r="M39" s="71" t="n">
        <v>0</v>
      </c>
      <c r="N39" s="71" t="n">
        <v>0</v>
      </c>
      <c r="O39" s="71" t="n">
        <v>0</v>
      </c>
      <c r="P39" s="71" t="n">
        <v>0</v>
      </c>
      <c r="Q39" s="71" t="n">
        <v>0</v>
      </c>
      <c r="R39" s="71" t="n">
        <v>0</v>
      </c>
      <c r="S39" s="71" t="n">
        <v>0</v>
      </c>
      <c r="T39" s="48" t="n">
        <v>0</v>
      </c>
      <c r="U39" s="48" t="n">
        <v>0</v>
      </c>
      <c r="V39" s="48" t="n">
        <v>0</v>
      </c>
      <c r="W39" s="48" t="n">
        <v>0</v>
      </c>
    </row>
    <row r="40" customFormat="false" ht="14.25" hidden="false" customHeight="false" outlineLevel="0" collapsed="false">
      <c r="A40" s="61" t="n">
        <v>1880</v>
      </c>
      <c r="B40" s="48" t="n">
        <v>0</v>
      </c>
      <c r="C40" s="48" t="n">
        <v>0</v>
      </c>
      <c r="D40" s="48" t="n">
        <v>0</v>
      </c>
      <c r="E40" s="48" t="n">
        <v>0</v>
      </c>
      <c r="F40" s="48" t="n">
        <v>0</v>
      </c>
      <c r="G40" s="48" t="n">
        <v>0</v>
      </c>
      <c r="H40" s="48" t="n">
        <v>0</v>
      </c>
      <c r="I40" s="48" t="n">
        <v>0</v>
      </c>
      <c r="J40" s="48" t="n">
        <v>0</v>
      </c>
      <c r="K40" s="71" t="n">
        <v>1.3</v>
      </c>
      <c r="L40" s="71" t="n">
        <v>1</v>
      </c>
      <c r="M40" s="71" t="n">
        <v>0.07</v>
      </c>
      <c r="N40" s="71" t="n">
        <v>0</v>
      </c>
      <c r="O40" s="71" t="n">
        <v>0</v>
      </c>
      <c r="P40" s="71" t="n">
        <v>0</v>
      </c>
      <c r="Q40" s="71" t="n">
        <v>0</v>
      </c>
      <c r="R40" s="71" t="n">
        <v>0</v>
      </c>
      <c r="S40" s="71" t="n">
        <v>0</v>
      </c>
      <c r="T40" s="48" t="n">
        <v>0</v>
      </c>
      <c r="U40" s="48" t="n">
        <v>0</v>
      </c>
      <c r="V40" s="48" t="n">
        <v>0</v>
      </c>
      <c r="W40" s="48" t="n">
        <v>0</v>
      </c>
    </row>
    <row r="41" customFormat="false" ht="14.25" hidden="false" customHeight="false" outlineLevel="0" collapsed="false">
      <c r="A41" s="61" t="n">
        <v>1881</v>
      </c>
      <c r="B41" s="48" t="n">
        <v>1</v>
      </c>
      <c r="C41" s="48" t="n">
        <v>2</v>
      </c>
      <c r="D41" s="48" t="n">
        <v>0</v>
      </c>
      <c r="E41" s="48" t="n">
        <v>0</v>
      </c>
      <c r="F41" s="48" t="n">
        <v>0</v>
      </c>
      <c r="G41" s="48" t="n">
        <v>0</v>
      </c>
      <c r="H41" s="48" t="n">
        <v>0</v>
      </c>
      <c r="I41" s="48" t="n">
        <v>0</v>
      </c>
      <c r="J41" s="48" t="n">
        <v>0</v>
      </c>
      <c r="K41" s="71" t="n">
        <v>1.3</v>
      </c>
      <c r="L41" s="71" t="n">
        <v>1</v>
      </c>
      <c r="M41" s="71" t="n">
        <v>0.071</v>
      </c>
      <c r="N41" s="71" t="n">
        <v>0</v>
      </c>
      <c r="O41" s="71" t="n">
        <v>0</v>
      </c>
      <c r="P41" s="71" t="n">
        <v>0</v>
      </c>
      <c r="Q41" s="71" t="n">
        <v>0</v>
      </c>
      <c r="R41" s="71" t="n">
        <v>0</v>
      </c>
      <c r="S41" s="71" t="n">
        <v>0</v>
      </c>
      <c r="T41" s="48" t="n">
        <v>0</v>
      </c>
      <c r="U41" s="48" t="n">
        <v>0</v>
      </c>
      <c r="V41" s="48" t="n">
        <v>0</v>
      </c>
      <c r="W41" s="48" t="n">
        <v>0</v>
      </c>
    </row>
    <row r="42" customFormat="false" ht="14.25" hidden="false" customHeight="false" outlineLevel="0" collapsed="false">
      <c r="A42" s="61" t="n">
        <v>1882</v>
      </c>
      <c r="B42" s="48" t="n">
        <v>0</v>
      </c>
      <c r="C42" s="48" t="n">
        <v>0</v>
      </c>
      <c r="D42" s="48" t="n">
        <v>2</v>
      </c>
      <c r="E42" s="48" t="n">
        <v>0</v>
      </c>
      <c r="F42" s="48" t="n">
        <v>0</v>
      </c>
      <c r="G42" s="48" t="n">
        <v>0</v>
      </c>
      <c r="H42" s="48" t="n">
        <v>0</v>
      </c>
      <c r="I42" s="48" t="n">
        <v>0</v>
      </c>
      <c r="J42" s="48" t="n">
        <v>0</v>
      </c>
      <c r="K42" s="71" t="n">
        <v>1.3</v>
      </c>
      <c r="L42" s="71" t="n">
        <v>1</v>
      </c>
      <c r="M42" s="71" t="n">
        <v>0.072</v>
      </c>
      <c r="N42" s="71" t="n">
        <v>0</v>
      </c>
      <c r="O42" s="71" t="n">
        <v>0</v>
      </c>
      <c r="P42" s="71" t="n">
        <v>0</v>
      </c>
      <c r="Q42" s="71" t="n">
        <v>0</v>
      </c>
      <c r="R42" s="71" t="n">
        <v>0</v>
      </c>
      <c r="S42" s="71" t="n">
        <v>0</v>
      </c>
      <c r="T42" s="48" t="n">
        <v>0</v>
      </c>
      <c r="U42" s="48" t="n">
        <v>0</v>
      </c>
      <c r="V42" s="48" t="n">
        <v>0</v>
      </c>
      <c r="W42" s="48" t="n">
        <v>0</v>
      </c>
    </row>
    <row r="43" customFormat="false" ht="14.25" hidden="false" customHeight="false" outlineLevel="0" collapsed="false">
      <c r="A43" s="61" t="n">
        <v>1883</v>
      </c>
      <c r="B43" s="48" t="n">
        <v>0</v>
      </c>
      <c r="C43" s="48" t="n">
        <v>0</v>
      </c>
      <c r="D43" s="48" t="n">
        <v>0</v>
      </c>
      <c r="E43" s="48" t="n">
        <v>0</v>
      </c>
      <c r="F43" s="48" t="n">
        <v>0</v>
      </c>
      <c r="G43" s="48" t="n">
        <v>0</v>
      </c>
      <c r="H43" s="48" t="n">
        <v>0</v>
      </c>
      <c r="I43" s="48" t="n">
        <v>0</v>
      </c>
      <c r="J43" s="48" t="n">
        <v>0</v>
      </c>
      <c r="K43" s="71" t="n">
        <v>1.3</v>
      </c>
      <c r="L43" s="71" t="n">
        <v>1</v>
      </c>
      <c r="M43" s="71" t="n">
        <v>0.073</v>
      </c>
      <c r="N43" s="71" t="n">
        <v>0</v>
      </c>
      <c r="O43" s="71" t="n">
        <v>0</v>
      </c>
      <c r="P43" s="71" t="n">
        <v>0</v>
      </c>
      <c r="Q43" s="71" t="n">
        <v>0</v>
      </c>
      <c r="R43" s="71" t="n">
        <v>0</v>
      </c>
      <c r="S43" s="71" t="n">
        <v>0</v>
      </c>
      <c r="T43" s="48" t="n">
        <v>0</v>
      </c>
      <c r="U43" s="48" t="n">
        <v>0</v>
      </c>
      <c r="V43" s="48" t="n">
        <v>0</v>
      </c>
      <c r="W43" s="48" t="n">
        <v>0</v>
      </c>
    </row>
    <row r="44" customFormat="false" ht="14.25" hidden="false" customHeight="false" outlineLevel="0" collapsed="false">
      <c r="A44" s="61" t="n">
        <v>1884</v>
      </c>
      <c r="B44" s="48" t="n">
        <v>1</v>
      </c>
      <c r="C44" s="48" t="n">
        <v>2</v>
      </c>
      <c r="D44" s="48" t="n">
        <v>4</v>
      </c>
      <c r="E44" s="48" t="n">
        <v>0</v>
      </c>
      <c r="F44" s="48" t="n">
        <v>0</v>
      </c>
      <c r="G44" s="48" t="n">
        <v>0</v>
      </c>
      <c r="H44" s="48" t="n">
        <v>0</v>
      </c>
      <c r="I44" s="48" t="n">
        <v>0</v>
      </c>
      <c r="J44" s="48" t="n">
        <v>0</v>
      </c>
      <c r="K44" s="71" t="n">
        <v>1.3</v>
      </c>
      <c r="L44" s="71" t="n">
        <v>1</v>
      </c>
      <c r="M44" s="71" t="n">
        <v>0.074</v>
      </c>
      <c r="N44" s="71" t="n">
        <v>0</v>
      </c>
      <c r="O44" s="71" t="n">
        <v>0</v>
      </c>
      <c r="P44" s="71" t="n">
        <v>0</v>
      </c>
      <c r="Q44" s="71" t="n">
        <v>0</v>
      </c>
      <c r="R44" s="71" t="n">
        <v>0</v>
      </c>
      <c r="S44" s="71" t="n">
        <v>0</v>
      </c>
      <c r="T44" s="48" t="n">
        <v>0</v>
      </c>
      <c r="U44" s="48" t="n">
        <v>0</v>
      </c>
      <c r="V44" s="48" t="n">
        <v>0</v>
      </c>
      <c r="W44" s="48" t="n">
        <v>0</v>
      </c>
    </row>
    <row r="45" customFormat="false" ht="14.25" hidden="false" customHeight="false" outlineLevel="0" collapsed="false">
      <c r="A45" s="61" t="n">
        <v>1885</v>
      </c>
      <c r="B45" s="48" t="n">
        <v>0</v>
      </c>
      <c r="C45" s="48" t="n">
        <v>0</v>
      </c>
      <c r="D45" s="48" t="n">
        <v>0</v>
      </c>
      <c r="E45" s="48" t="n">
        <v>0</v>
      </c>
      <c r="F45" s="48" t="n">
        <v>0</v>
      </c>
      <c r="G45" s="48" t="n">
        <v>0</v>
      </c>
      <c r="H45" s="48" t="n">
        <v>0</v>
      </c>
      <c r="I45" s="48" t="n">
        <v>0</v>
      </c>
      <c r="J45" s="48" t="n">
        <v>0</v>
      </c>
      <c r="K45" s="71" t="n">
        <v>1.3</v>
      </c>
      <c r="L45" s="71" t="n">
        <v>1</v>
      </c>
      <c r="M45" s="71" t="n">
        <v>0.075</v>
      </c>
      <c r="N45" s="71" t="n">
        <v>0</v>
      </c>
      <c r="O45" s="71" t="n">
        <v>0</v>
      </c>
      <c r="P45" s="71" t="n">
        <v>0</v>
      </c>
      <c r="Q45" s="71" t="n">
        <v>0</v>
      </c>
      <c r="R45" s="71" t="n">
        <v>0</v>
      </c>
      <c r="S45" s="71" t="n">
        <v>0</v>
      </c>
      <c r="T45" s="48" t="n">
        <v>0</v>
      </c>
      <c r="U45" s="48" t="n">
        <v>0</v>
      </c>
      <c r="V45" s="48" t="n">
        <v>0</v>
      </c>
      <c r="W45" s="48" t="n">
        <v>0</v>
      </c>
    </row>
    <row r="46" customFormat="false" ht="14.25" hidden="false" customHeight="false" outlineLevel="0" collapsed="false">
      <c r="A46" s="61" t="n">
        <v>1886</v>
      </c>
      <c r="B46" s="48" t="n">
        <v>0</v>
      </c>
      <c r="C46" s="48" t="n">
        <v>0</v>
      </c>
      <c r="D46" s="48" t="n">
        <v>6</v>
      </c>
      <c r="E46" s="48" t="n">
        <v>0</v>
      </c>
      <c r="F46" s="48" t="n">
        <v>0</v>
      </c>
      <c r="G46" s="48" t="n">
        <v>0</v>
      </c>
      <c r="H46" s="48" t="n">
        <v>0</v>
      </c>
      <c r="I46" s="48" t="n">
        <v>0</v>
      </c>
      <c r="J46" s="48" t="n">
        <v>0</v>
      </c>
      <c r="K46" s="71" t="n">
        <v>1.3</v>
      </c>
      <c r="L46" s="71" t="n">
        <v>1</v>
      </c>
      <c r="M46" s="71" t="n">
        <v>0.076</v>
      </c>
      <c r="N46" s="71" t="n">
        <v>0</v>
      </c>
      <c r="O46" s="71" t="n">
        <v>0</v>
      </c>
      <c r="P46" s="71" t="n">
        <v>0</v>
      </c>
      <c r="Q46" s="71" t="n">
        <v>0</v>
      </c>
      <c r="R46" s="71" t="n">
        <v>0</v>
      </c>
      <c r="S46" s="71" t="n">
        <v>0</v>
      </c>
      <c r="T46" s="48" t="n">
        <v>0</v>
      </c>
      <c r="U46" s="48" t="n">
        <v>0</v>
      </c>
      <c r="V46" s="48" t="n">
        <v>0</v>
      </c>
      <c r="W46" s="48" t="n">
        <v>0</v>
      </c>
    </row>
    <row r="47" customFormat="false" ht="14.25" hidden="false" customHeight="false" outlineLevel="0" collapsed="false">
      <c r="A47" s="61" t="n">
        <v>1887</v>
      </c>
      <c r="B47" s="48" t="n">
        <v>0</v>
      </c>
      <c r="C47" s="48" t="n">
        <v>1</v>
      </c>
      <c r="D47" s="48" t="n">
        <v>0</v>
      </c>
      <c r="E47" s="48" t="n">
        <v>0</v>
      </c>
      <c r="F47" s="48" t="n">
        <v>0</v>
      </c>
      <c r="G47" s="48" t="n">
        <v>0</v>
      </c>
      <c r="H47" s="48" t="n">
        <v>0</v>
      </c>
      <c r="I47" s="48" t="n">
        <v>0</v>
      </c>
      <c r="J47" s="48" t="n">
        <v>0</v>
      </c>
      <c r="K47" s="71" t="n">
        <v>1.3</v>
      </c>
      <c r="L47" s="71" t="n">
        <v>1</v>
      </c>
      <c r="M47" s="71" t="n">
        <v>0.077</v>
      </c>
      <c r="N47" s="71" t="n">
        <v>0</v>
      </c>
      <c r="O47" s="71" t="n">
        <v>0</v>
      </c>
      <c r="P47" s="71" t="n">
        <v>0</v>
      </c>
      <c r="Q47" s="71" t="n">
        <v>0</v>
      </c>
      <c r="R47" s="71" t="n">
        <v>0</v>
      </c>
      <c r="S47" s="71" t="n">
        <v>0</v>
      </c>
      <c r="T47" s="48" t="n">
        <v>0</v>
      </c>
      <c r="U47" s="48" t="n">
        <v>0</v>
      </c>
      <c r="V47" s="48" t="n">
        <v>0</v>
      </c>
      <c r="W47" s="48" t="n">
        <v>0</v>
      </c>
    </row>
    <row r="48" customFormat="false" ht="14.25" hidden="false" customHeight="false" outlineLevel="0" collapsed="false">
      <c r="A48" s="61" t="n">
        <v>1888</v>
      </c>
      <c r="B48" s="48" t="n">
        <v>0</v>
      </c>
      <c r="C48" s="48" t="n">
        <v>0</v>
      </c>
      <c r="D48" s="48" t="n">
        <v>6</v>
      </c>
      <c r="E48" s="48" t="n">
        <v>0</v>
      </c>
      <c r="F48" s="48" t="n">
        <v>0</v>
      </c>
      <c r="G48" s="48" t="n">
        <v>0</v>
      </c>
      <c r="H48" s="48" t="n">
        <v>0</v>
      </c>
      <c r="I48" s="48" t="n">
        <v>0</v>
      </c>
      <c r="J48" s="48" t="n">
        <v>0</v>
      </c>
      <c r="K48" s="71" t="n">
        <v>1.3</v>
      </c>
      <c r="L48" s="71" t="n">
        <v>1</v>
      </c>
      <c r="M48" s="71" t="n">
        <v>0.078</v>
      </c>
      <c r="N48" s="71" t="n">
        <v>1.6</v>
      </c>
      <c r="O48" s="71" t="n">
        <v>0</v>
      </c>
      <c r="P48" s="71" t="n">
        <v>0</v>
      </c>
      <c r="Q48" s="71" t="n">
        <v>0</v>
      </c>
      <c r="R48" s="71" t="n">
        <v>0</v>
      </c>
      <c r="S48" s="71" t="n">
        <v>0</v>
      </c>
      <c r="T48" s="48" t="n">
        <v>0</v>
      </c>
      <c r="U48" s="48" t="n">
        <v>0</v>
      </c>
      <c r="V48" s="48" t="n">
        <v>0</v>
      </c>
      <c r="W48" s="48" t="n">
        <v>0</v>
      </c>
    </row>
    <row r="49" customFormat="false" ht="14.25" hidden="false" customHeight="false" outlineLevel="0" collapsed="false">
      <c r="A49" s="61" t="n">
        <v>1889</v>
      </c>
      <c r="B49" s="48" t="n">
        <v>0</v>
      </c>
      <c r="C49" s="48" t="n">
        <v>0</v>
      </c>
      <c r="D49" s="48" t="n">
        <v>0</v>
      </c>
      <c r="E49" s="48" t="n">
        <v>0</v>
      </c>
      <c r="F49" s="48" t="n">
        <v>0</v>
      </c>
      <c r="G49" s="48" t="n">
        <v>0</v>
      </c>
      <c r="H49" s="48" t="n">
        <v>0</v>
      </c>
      <c r="I49" s="48" t="n">
        <v>0</v>
      </c>
      <c r="J49" s="48" t="n">
        <v>0</v>
      </c>
      <c r="K49" s="71" t="n">
        <v>1.3</v>
      </c>
      <c r="L49" s="71" t="n">
        <v>1</v>
      </c>
      <c r="M49" s="71" t="n">
        <v>0.079</v>
      </c>
      <c r="N49" s="71" t="n">
        <v>1.7</v>
      </c>
      <c r="O49" s="71" t="n">
        <v>0</v>
      </c>
      <c r="P49" s="71" t="n">
        <v>0</v>
      </c>
      <c r="Q49" s="71" t="n">
        <v>0</v>
      </c>
      <c r="R49" s="71" t="n">
        <v>0</v>
      </c>
      <c r="S49" s="71" t="n">
        <v>0</v>
      </c>
      <c r="T49" s="48" t="n">
        <v>0</v>
      </c>
      <c r="U49" s="48" t="n">
        <v>0</v>
      </c>
      <c r="V49" s="48" t="n">
        <v>0</v>
      </c>
      <c r="W49" s="48" t="n">
        <v>0</v>
      </c>
    </row>
    <row r="50" customFormat="false" ht="14.25" hidden="false" customHeight="false" outlineLevel="0" collapsed="false">
      <c r="A50" s="61" t="n">
        <v>1890</v>
      </c>
      <c r="B50" s="48" t="n">
        <v>0</v>
      </c>
      <c r="C50" s="48" t="n">
        <v>0</v>
      </c>
      <c r="D50" s="48" t="n">
        <v>4</v>
      </c>
      <c r="E50" s="48" t="n">
        <v>2</v>
      </c>
      <c r="F50" s="48" t="n">
        <v>0</v>
      </c>
      <c r="G50" s="48" t="n">
        <v>0</v>
      </c>
      <c r="H50" s="48" t="n">
        <v>0</v>
      </c>
      <c r="I50" s="48" t="n">
        <v>0</v>
      </c>
      <c r="J50" s="48" t="n">
        <v>0</v>
      </c>
      <c r="K50" s="71" t="n">
        <v>1.3</v>
      </c>
      <c r="L50" s="71" t="n">
        <v>1</v>
      </c>
      <c r="M50" s="71" t="n">
        <v>0.08</v>
      </c>
      <c r="N50" s="71" t="n">
        <v>1.8</v>
      </c>
      <c r="O50" s="71" t="n">
        <v>0</v>
      </c>
      <c r="P50" s="71" t="n">
        <v>0</v>
      </c>
      <c r="Q50" s="71" t="n">
        <v>0</v>
      </c>
      <c r="R50" s="71" t="n">
        <v>0</v>
      </c>
      <c r="S50" s="71" t="n">
        <v>0</v>
      </c>
      <c r="T50" s="48" t="n">
        <v>0</v>
      </c>
      <c r="U50" s="48" t="n">
        <v>0</v>
      </c>
      <c r="V50" s="48" t="n">
        <v>0</v>
      </c>
      <c r="W50" s="48" t="n">
        <v>0</v>
      </c>
    </row>
    <row r="51" customFormat="false" ht="14.25" hidden="false" customHeight="false" outlineLevel="0" collapsed="false">
      <c r="A51" s="61" t="n">
        <v>1891</v>
      </c>
      <c r="B51" s="48" t="n">
        <v>0</v>
      </c>
      <c r="C51" s="48" t="n">
        <v>0</v>
      </c>
      <c r="D51" s="48" t="n">
        <v>0</v>
      </c>
      <c r="E51" s="48" t="n">
        <v>0</v>
      </c>
      <c r="F51" s="48" t="n">
        <v>0</v>
      </c>
      <c r="G51" s="48" t="n">
        <v>0</v>
      </c>
      <c r="H51" s="48" t="n">
        <v>0</v>
      </c>
      <c r="I51" s="48" t="n">
        <v>0</v>
      </c>
      <c r="J51" s="48" t="n">
        <v>0</v>
      </c>
      <c r="K51" s="71" t="n">
        <v>1.3</v>
      </c>
      <c r="L51" s="71" t="n">
        <v>1</v>
      </c>
      <c r="M51" s="71" t="n">
        <v>0.08</v>
      </c>
      <c r="N51" s="71" t="n">
        <v>1.81</v>
      </c>
      <c r="O51" s="71" t="n">
        <v>0</v>
      </c>
      <c r="P51" s="71" t="n">
        <v>0</v>
      </c>
      <c r="Q51" s="71" t="n">
        <v>0</v>
      </c>
      <c r="R51" s="71" t="n">
        <v>0</v>
      </c>
      <c r="S51" s="71" t="n">
        <v>0</v>
      </c>
      <c r="T51" s="48" t="n">
        <v>0</v>
      </c>
      <c r="U51" s="48" t="n">
        <v>0</v>
      </c>
      <c r="V51" s="48" t="n">
        <v>0</v>
      </c>
      <c r="W51" s="48" t="n">
        <v>0</v>
      </c>
    </row>
    <row r="52" customFormat="false" ht="14.25" hidden="false" customHeight="false" outlineLevel="0" collapsed="false">
      <c r="A52" s="61" t="n">
        <v>1892</v>
      </c>
      <c r="B52" s="48" t="n">
        <v>0</v>
      </c>
      <c r="C52" s="48" t="n">
        <v>0</v>
      </c>
      <c r="D52" s="48" t="n">
        <v>4</v>
      </c>
      <c r="E52" s="48" t="n">
        <v>2</v>
      </c>
      <c r="F52" s="48" t="n">
        <v>0</v>
      </c>
      <c r="G52" s="48" t="n">
        <v>0</v>
      </c>
      <c r="H52" s="48" t="n">
        <v>0</v>
      </c>
      <c r="I52" s="48" t="n">
        <v>0</v>
      </c>
      <c r="J52" s="48" t="n">
        <v>0</v>
      </c>
      <c r="K52" s="71" t="n">
        <v>1.3</v>
      </c>
      <c r="L52" s="71" t="n">
        <v>1</v>
      </c>
      <c r="M52" s="71" t="n">
        <v>0.08</v>
      </c>
      <c r="N52" s="71" t="n">
        <v>1.82</v>
      </c>
      <c r="O52" s="71" t="n">
        <v>0</v>
      </c>
      <c r="P52" s="71" t="n">
        <v>0</v>
      </c>
      <c r="Q52" s="71" t="n">
        <v>0</v>
      </c>
      <c r="R52" s="71" t="n">
        <v>0</v>
      </c>
      <c r="S52" s="71" t="n">
        <v>0</v>
      </c>
      <c r="T52" s="48" t="n">
        <v>0</v>
      </c>
      <c r="U52" s="48" t="n">
        <v>0</v>
      </c>
      <c r="V52" s="48" t="n">
        <v>0</v>
      </c>
      <c r="W52" s="48" t="n">
        <v>0</v>
      </c>
    </row>
    <row r="53" customFormat="false" ht="14.25" hidden="false" customHeight="false" outlineLevel="0" collapsed="false">
      <c r="A53" s="61" t="n">
        <v>1893</v>
      </c>
      <c r="B53" s="48" t="n">
        <v>0</v>
      </c>
      <c r="C53" s="48" t="n">
        <v>0</v>
      </c>
      <c r="D53" s="48" t="n">
        <v>0</v>
      </c>
      <c r="E53" s="48" t="n">
        <v>0</v>
      </c>
      <c r="F53" s="48" t="n">
        <v>0</v>
      </c>
      <c r="G53" s="48" t="n">
        <v>0</v>
      </c>
      <c r="H53" s="48" t="n">
        <v>0</v>
      </c>
      <c r="I53" s="48" t="n">
        <v>0</v>
      </c>
      <c r="J53" s="48" t="n">
        <v>0</v>
      </c>
      <c r="K53" s="71" t="n">
        <v>1.3</v>
      </c>
      <c r="L53" s="71" t="n">
        <v>1</v>
      </c>
      <c r="M53" s="71" t="n">
        <v>0.08</v>
      </c>
      <c r="N53" s="71" t="n">
        <v>1.83</v>
      </c>
      <c r="O53" s="71" t="n">
        <v>0.3</v>
      </c>
      <c r="P53" s="71" t="n">
        <v>0</v>
      </c>
      <c r="Q53" s="71" t="n">
        <v>0</v>
      </c>
      <c r="R53" s="71" t="n">
        <v>0</v>
      </c>
      <c r="S53" s="71" t="n">
        <v>0</v>
      </c>
      <c r="T53" s="48" t="n">
        <v>0</v>
      </c>
      <c r="U53" s="48" t="n">
        <v>0</v>
      </c>
      <c r="V53" s="48" t="n">
        <v>0</v>
      </c>
      <c r="W53" s="48" t="n">
        <v>0</v>
      </c>
    </row>
    <row r="54" customFormat="false" ht="14.25" hidden="false" customHeight="false" outlineLevel="0" collapsed="false">
      <c r="A54" s="61" t="n">
        <v>1894</v>
      </c>
      <c r="B54" s="48" t="n">
        <v>0</v>
      </c>
      <c r="C54" s="48" t="n">
        <v>0</v>
      </c>
      <c r="D54" s="48" t="n">
        <v>0</v>
      </c>
      <c r="E54" s="48" t="n">
        <v>2</v>
      </c>
      <c r="F54" s="48" t="n">
        <v>2</v>
      </c>
      <c r="G54" s="48" t="n">
        <v>0</v>
      </c>
      <c r="H54" s="48" t="n">
        <v>0</v>
      </c>
      <c r="I54" s="48" t="n">
        <v>0</v>
      </c>
      <c r="J54" s="48" t="n">
        <v>0</v>
      </c>
      <c r="K54" s="71" t="n">
        <v>1.3</v>
      </c>
      <c r="L54" s="71" t="n">
        <v>1</v>
      </c>
      <c r="M54" s="71" t="n">
        <v>0.08</v>
      </c>
      <c r="N54" s="71" t="n">
        <v>1.84</v>
      </c>
      <c r="O54" s="71" t="n">
        <v>0.307</v>
      </c>
      <c r="P54" s="71" t="n">
        <v>0</v>
      </c>
      <c r="Q54" s="71" t="n">
        <v>0</v>
      </c>
      <c r="R54" s="71" t="n">
        <v>0</v>
      </c>
      <c r="S54" s="71" t="n">
        <v>0</v>
      </c>
      <c r="T54" s="48" t="n">
        <v>0</v>
      </c>
      <c r="U54" s="48" t="n">
        <v>0</v>
      </c>
      <c r="V54" s="48" t="n">
        <v>0</v>
      </c>
      <c r="W54" s="48" t="n">
        <v>0</v>
      </c>
    </row>
    <row r="55" customFormat="false" ht="14.25" hidden="false" customHeight="false" outlineLevel="0" collapsed="false">
      <c r="A55" s="61" t="n">
        <v>1895</v>
      </c>
      <c r="B55" s="48" t="n">
        <v>0</v>
      </c>
      <c r="C55" s="48" t="n">
        <v>0</v>
      </c>
      <c r="D55" s="48" t="n">
        <v>0</v>
      </c>
      <c r="E55" s="48" t="n">
        <v>0</v>
      </c>
      <c r="F55" s="48" t="n">
        <v>3</v>
      </c>
      <c r="G55" s="48" t="n">
        <v>0</v>
      </c>
      <c r="H55" s="48" t="n">
        <v>0</v>
      </c>
      <c r="I55" s="48" t="n">
        <v>0</v>
      </c>
      <c r="J55" s="48" t="n">
        <v>0</v>
      </c>
      <c r="K55" s="71" t="n">
        <v>1.3</v>
      </c>
      <c r="L55" s="71" t="n">
        <v>1</v>
      </c>
      <c r="M55" s="71" t="n">
        <v>0.08</v>
      </c>
      <c r="N55" s="71" t="n">
        <v>1.85</v>
      </c>
      <c r="O55" s="71" t="n">
        <v>0.314</v>
      </c>
      <c r="P55" s="71" t="n">
        <v>0</v>
      </c>
      <c r="Q55" s="71" t="n">
        <v>0</v>
      </c>
      <c r="R55" s="71" t="n">
        <v>0</v>
      </c>
      <c r="S55" s="71" t="n">
        <v>0</v>
      </c>
      <c r="T55" s="48" t="n">
        <v>0</v>
      </c>
      <c r="U55" s="48" t="n">
        <v>0</v>
      </c>
      <c r="V55" s="48" t="n">
        <v>0</v>
      </c>
      <c r="W55" s="48" t="n">
        <v>0</v>
      </c>
    </row>
    <row r="56" customFormat="false" ht="14.25" hidden="false" customHeight="false" outlineLevel="0" collapsed="false">
      <c r="A56" s="61" t="n">
        <v>1896</v>
      </c>
      <c r="B56" s="48" t="n">
        <v>0</v>
      </c>
      <c r="C56" s="48" t="n">
        <v>0</v>
      </c>
      <c r="D56" s="48" t="n">
        <v>0</v>
      </c>
      <c r="E56" s="48" t="n">
        <v>2</v>
      </c>
      <c r="F56" s="48" t="n">
        <v>3</v>
      </c>
      <c r="G56" s="48" t="n">
        <v>0</v>
      </c>
      <c r="H56" s="48" t="n">
        <v>0</v>
      </c>
      <c r="I56" s="48" t="n">
        <v>0</v>
      </c>
      <c r="J56" s="48" t="n">
        <v>0</v>
      </c>
      <c r="K56" s="71" t="n">
        <v>1.3</v>
      </c>
      <c r="L56" s="71" t="n">
        <v>1</v>
      </c>
      <c r="M56" s="71" t="n">
        <v>0.08</v>
      </c>
      <c r="N56" s="71" t="n">
        <v>1.86</v>
      </c>
      <c r="O56" s="71" t="n">
        <v>0.321</v>
      </c>
      <c r="P56" s="71" t="n">
        <v>0</v>
      </c>
      <c r="Q56" s="71" t="n">
        <v>0</v>
      </c>
      <c r="R56" s="71" t="n">
        <v>0</v>
      </c>
      <c r="S56" s="71" t="n">
        <v>0</v>
      </c>
      <c r="T56" s="48" t="n">
        <v>0</v>
      </c>
      <c r="U56" s="48" t="n">
        <v>0</v>
      </c>
      <c r="V56" s="48" t="n">
        <v>0</v>
      </c>
      <c r="W56" s="48" t="n">
        <v>0</v>
      </c>
    </row>
    <row r="57" customFormat="false" ht="14.25" hidden="false" customHeight="false" outlineLevel="0" collapsed="false">
      <c r="A57" s="61" t="n">
        <v>1897</v>
      </c>
      <c r="B57" s="48" t="n">
        <v>0</v>
      </c>
      <c r="C57" s="48" t="n">
        <v>0</v>
      </c>
      <c r="D57" s="48" t="n">
        <v>0</v>
      </c>
      <c r="E57" s="48" t="n">
        <v>0</v>
      </c>
      <c r="F57" s="48" t="n">
        <v>3</v>
      </c>
      <c r="G57" s="48" t="n">
        <v>0</v>
      </c>
      <c r="H57" s="48" t="n">
        <v>0</v>
      </c>
      <c r="I57" s="48" t="n">
        <v>0</v>
      </c>
      <c r="J57" s="48" t="n">
        <v>0</v>
      </c>
      <c r="K57" s="71" t="n">
        <v>1.3</v>
      </c>
      <c r="L57" s="71" t="n">
        <v>1</v>
      </c>
      <c r="M57" s="71" t="n">
        <v>0.08</v>
      </c>
      <c r="N57" s="71" t="n">
        <v>1.87</v>
      </c>
      <c r="O57" s="71" t="n">
        <v>0.329</v>
      </c>
      <c r="P57" s="71" t="n">
        <v>2.5</v>
      </c>
      <c r="Q57" s="71" t="n">
        <v>0</v>
      </c>
      <c r="R57" s="71" t="n">
        <v>0</v>
      </c>
      <c r="S57" s="71" t="n">
        <v>0</v>
      </c>
      <c r="T57" s="48" t="n">
        <v>0</v>
      </c>
      <c r="U57" s="48" t="n">
        <v>0</v>
      </c>
      <c r="V57" s="48" t="n">
        <v>0</v>
      </c>
      <c r="W57" s="48" t="n">
        <v>0</v>
      </c>
    </row>
    <row r="58" customFormat="false" ht="14.25" hidden="false" customHeight="false" outlineLevel="0" collapsed="false">
      <c r="A58" s="61" t="n">
        <v>1898</v>
      </c>
      <c r="B58" s="48" t="n">
        <v>0</v>
      </c>
      <c r="C58" s="48" t="n">
        <v>0</v>
      </c>
      <c r="D58" s="48" t="n">
        <v>0</v>
      </c>
      <c r="E58" s="48" t="n">
        <v>0</v>
      </c>
      <c r="F58" s="48" t="n">
        <v>4</v>
      </c>
      <c r="G58" s="48" t="n">
        <v>2</v>
      </c>
      <c r="H58" s="48" t="n">
        <v>0</v>
      </c>
      <c r="I58" s="48" t="n">
        <v>0</v>
      </c>
      <c r="J58" s="48" t="n">
        <v>0</v>
      </c>
      <c r="K58" s="71" t="n">
        <v>1.3</v>
      </c>
      <c r="L58" s="71" t="n">
        <v>1</v>
      </c>
      <c r="M58" s="71" t="n">
        <v>0.08</v>
      </c>
      <c r="N58" s="71" t="n">
        <v>1.88</v>
      </c>
      <c r="O58" s="71" t="n">
        <v>0.336</v>
      </c>
      <c r="P58" s="71" t="n">
        <v>2.625</v>
      </c>
      <c r="Q58" s="71" t="n">
        <v>0</v>
      </c>
      <c r="R58" s="71" t="n">
        <v>0</v>
      </c>
      <c r="S58" s="71" t="n">
        <v>0</v>
      </c>
      <c r="T58" s="48" t="n">
        <v>0</v>
      </c>
      <c r="U58" s="48" t="n">
        <v>0</v>
      </c>
      <c r="V58" s="48" t="n">
        <v>0</v>
      </c>
      <c r="W58" s="48" t="n">
        <v>0</v>
      </c>
    </row>
    <row r="59" customFormat="false" ht="14.25" hidden="false" customHeight="false" outlineLevel="0" collapsed="false">
      <c r="A59" s="61" t="n">
        <v>1899</v>
      </c>
      <c r="B59" s="48" t="n">
        <v>0</v>
      </c>
      <c r="C59" s="48" t="n">
        <v>0</v>
      </c>
      <c r="D59" s="48" t="n">
        <v>0</v>
      </c>
      <c r="E59" s="48" t="n">
        <v>0</v>
      </c>
      <c r="F59" s="48" t="n">
        <v>4</v>
      </c>
      <c r="G59" s="48" t="n">
        <v>2</v>
      </c>
      <c r="H59" s="48" t="n">
        <v>0</v>
      </c>
      <c r="I59" s="48" t="n">
        <v>0</v>
      </c>
      <c r="J59" s="48" t="n">
        <v>0</v>
      </c>
      <c r="K59" s="71" t="n">
        <v>1.3</v>
      </c>
      <c r="L59" s="71" t="n">
        <v>1</v>
      </c>
      <c r="M59" s="71" t="n">
        <v>0.08</v>
      </c>
      <c r="N59" s="71" t="n">
        <v>1.89</v>
      </c>
      <c r="O59" s="71" t="n">
        <v>0.343</v>
      </c>
      <c r="P59" s="71" t="n">
        <v>2.75</v>
      </c>
      <c r="Q59" s="71" t="n">
        <v>0</v>
      </c>
      <c r="R59" s="71" t="n">
        <v>0.2</v>
      </c>
      <c r="S59" s="71" t="n">
        <v>0</v>
      </c>
      <c r="T59" s="48" t="n">
        <v>0</v>
      </c>
      <c r="U59" s="48" t="n">
        <v>0</v>
      </c>
      <c r="V59" s="48" t="n">
        <v>0</v>
      </c>
      <c r="W59" s="48" t="n">
        <v>0</v>
      </c>
    </row>
    <row r="60" customFormat="false" ht="14.25" hidden="false" customHeight="false" outlineLevel="0" collapsed="false">
      <c r="A60" s="61" t="n">
        <v>1900</v>
      </c>
      <c r="B60" s="48" t="n">
        <v>0</v>
      </c>
      <c r="C60" s="48" t="n">
        <v>0</v>
      </c>
      <c r="D60" s="48" t="n">
        <v>0</v>
      </c>
      <c r="E60" s="48" t="n">
        <v>0</v>
      </c>
      <c r="F60" s="48" t="n">
        <v>3</v>
      </c>
      <c r="G60" s="48" t="n">
        <v>0</v>
      </c>
      <c r="H60" s="48" t="n">
        <v>0</v>
      </c>
      <c r="I60" s="48" t="n">
        <v>2</v>
      </c>
      <c r="J60" s="48" t="n">
        <v>0</v>
      </c>
      <c r="K60" s="71" t="n">
        <v>1.3</v>
      </c>
      <c r="L60" s="71" t="n">
        <v>1</v>
      </c>
      <c r="M60" s="71" t="n">
        <v>0.08</v>
      </c>
      <c r="N60" s="71" t="n">
        <v>1.9</v>
      </c>
      <c r="O60" s="71" t="n">
        <v>0.35</v>
      </c>
      <c r="P60" s="71" t="n">
        <v>2.875</v>
      </c>
      <c r="Q60" s="71" t="n">
        <v>0</v>
      </c>
      <c r="R60" s="71" t="n">
        <v>0.218</v>
      </c>
      <c r="S60" s="71" t="n">
        <v>0</v>
      </c>
      <c r="T60" s="48" t="n">
        <v>0</v>
      </c>
      <c r="U60" s="48" t="n">
        <v>0</v>
      </c>
      <c r="V60" s="48" t="n">
        <v>0</v>
      </c>
      <c r="W60" s="48" t="n">
        <v>0</v>
      </c>
    </row>
    <row r="61" customFormat="false" ht="14.25" hidden="false" customHeight="false" outlineLevel="0" collapsed="false">
      <c r="A61" s="61" t="n">
        <v>1901</v>
      </c>
      <c r="B61" s="48" t="n">
        <v>0</v>
      </c>
      <c r="C61" s="48" t="n">
        <v>0</v>
      </c>
      <c r="D61" s="48" t="n">
        <v>0</v>
      </c>
      <c r="E61" s="48" t="n">
        <v>0</v>
      </c>
      <c r="F61" s="48" t="n">
        <v>3</v>
      </c>
      <c r="G61" s="48" t="n">
        <v>2</v>
      </c>
      <c r="H61" s="48" t="n">
        <v>0</v>
      </c>
      <c r="I61" s="48" t="n">
        <v>0</v>
      </c>
      <c r="J61" s="48" t="n">
        <v>0</v>
      </c>
      <c r="K61" s="71" t="n">
        <v>1.3</v>
      </c>
      <c r="L61" s="71" t="n">
        <v>1</v>
      </c>
      <c r="M61" s="71" t="n">
        <v>0.08</v>
      </c>
      <c r="N61" s="71" t="n">
        <v>1.938</v>
      </c>
      <c r="O61" s="71" t="n">
        <v>0.37</v>
      </c>
      <c r="P61" s="71" t="n">
        <v>3</v>
      </c>
      <c r="Q61" s="71" t="n">
        <v>0</v>
      </c>
      <c r="R61" s="71" t="n">
        <v>0.236</v>
      </c>
      <c r="S61" s="71" t="n">
        <v>0</v>
      </c>
      <c r="T61" s="48" t="n">
        <v>0</v>
      </c>
      <c r="U61" s="48" t="n">
        <v>0</v>
      </c>
      <c r="V61" s="48" t="n">
        <v>0</v>
      </c>
      <c r="W61" s="48" t="n">
        <v>0</v>
      </c>
    </row>
    <row r="62" customFormat="false" ht="14.25" hidden="false" customHeight="false" outlineLevel="0" collapsed="false">
      <c r="A62" s="61" t="n">
        <v>1902</v>
      </c>
      <c r="B62" s="48" t="n">
        <v>0</v>
      </c>
      <c r="C62" s="48" t="n">
        <v>0</v>
      </c>
      <c r="D62" s="48" t="n">
        <v>0</v>
      </c>
      <c r="E62" s="48" t="n">
        <v>0</v>
      </c>
      <c r="F62" s="48" t="n">
        <v>3</v>
      </c>
      <c r="G62" s="48" t="n">
        <v>0</v>
      </c>
      <c r="H62" s="48" t="n">
        <v>0</v>
      </c>
      <c r="I62" s="48" t="n">
        <v>2</v>
      </c>
      <c r="J62" s="48" t="n">
        <v>0</v>
      </c>
      <c r="K62" s="71" t="n">
        <v>1.3</v>
      </c>
      <c r="L62" s="71" t="n">
        <v>1</v>
      </c>
      <c r="M62" s="71" t="n">
        <v>0.08</v>
      </c>
      <c r="N62" s="71" t="n">
        <v>1.977</v>
      </c>
      <c r="O62" s="71" t="n">
        <v>0.39</v>
      </c>
      <c r="P62" s="71" t="n">
        <v>3.125</v>
      </c>
      <c r="Q62" s="71" t="n">
        <v>6</v>
      </c>
      <c r="R62" s="71" t="n">
        <v>0.255</v>
      </c>
      <c r="S62" s="71" t="n">
        <v>0</v>
      </c>
      <c r="T62" s="48" t="n">
        <v>0</v>
      </c>
      <c r="U62" s="48" t="n">
        <v>0</v>
      </c>
      <c r="V62" s="48" t="n">
        <v>0</v>
      </c>
      <c r="W62" s="48" t="n">
        <v>0</v>
      </c>
    </row>
    <row r="63" customFormat="false" ht="14.25" hidden="false" customHeight="false" outlineLevel="0" collapsed="false">
      <c r="A63" s="61" t="n">
        <v>1903</v>
      </c>
      <c r="B63" s="48" t="n">
        <v>0</v>
      </c>
      <c r="C63" s="48" t="n">
        <v>0</v>
      </c>
      <c r="D63" s="48" t="n">
        <v>0</v>
      </c>
      <c r="E63" s="48" t="n">
        <v>0</v>
      </c>
      <c r="F63" s="48" t="n">
        <v>3</v>
      </c>
      <c r="G63" s="48" t="n">
        <v>1</v>
      </c>
      <c r="H63" s="48" t="n">
        <v>1</v>
      </c>
      <c r="I63" s="48" t="n">
        <v>0</v>
      </c>
      <c r="J63" s="48" t="n">
        <v>0</v>
      </c>
      <c r="K63" s="71" t="n">
        <v>1.3</v>
      </c>
      <c r="L63" s="71" t="n">
        <v>1</v>
      </c>
      <c r="M63" s="71" t="n">
        <v>0.08</v>
      </c>
      <c r="N63" s="71" t="n">
        <v>2.015</v>
      </c>
      <c r="O63" s="71" t="n">
        <v>0.41</v>
      </c>
      <c r="P63" s="71" t="n">
        <v>3.25</v>
      </c>
      <c r="Q63" s="71" t="n">
        <v>6.5</v>
      </c>
      <c r="R63" s="71" t="n">
        <v>0.273</v>
      </c>
      <c r="S63" s="71" t="n">
        <v>0</v>
      </c>
      <c r="T63" s="48" t="n">
        <v>0</v>
      </c>
      <c r="U63" s="48" t="n">
        <v>0</v>
      </c>
      <c r="V63" s="48" t="n">
        <v>0</v>
      </c>
      <c r="W63" s="48" t="n">
        <v>0</v>
      </c>
    </row>
    <row r="64" customFormat="false" ht="14.25" hidden="false" customHeight="false" outlineLevel="0" collapsed="false">
      <c r="A64" s="61" t="n">
        <v>1904</v>
      </c>
      <c r="B64" s="48" t="n">
        <v>0</v>
      </c>
      <c r="C64" s="48" t="n">
        <v>0</v>
      </c>
      <c r="D64" s="48" t="n">
        <v>0</v>
      </c>
      <c r="E64" s="48" t="n">
        <v>0</v>
      </c>
      <c r="F64" s="48" t="n">
        <v>3</v>
      </c>
      <c r="G64" s="48" t="n">
        <v>0</v>
      </c>
      <c r="H64" s="48" t="n">
        <v>0</v>
      </c>
      <c r="I64" s="48" t="n">
        <v>2</v>
      </c>
      <c r="J64" s="48" t="n">
        <v>0</v>
      </c>
      <c r="K64" s="71" t="n">
        <v>1.3</v>
      </c>
      <c r="L64" s="71" t="n">
        <v>1</v>
      </c>
      <c r="M64" s="71" t="n">
        <v>0.08</v>
      </c>
      <c r="N64" s="71" t="n">
        <v>2.054</v>
      </c>
      <c r="O64" s="71" t="n">
        <v>0.43</v>
      </c>
      <c r="P64" s="71" t="n">
        <v>3.375</v>
      </c>
      <c r="Q64" s="71" t="n">
        <v>7</v>
      </c>
      <c r="R64" s="71" t="n">
        <v>0.291</v>
      </c>
      <c r="S64" s="71" t="n">
        <v>0</v>
      </c>
      <c r="T64" s="48" t="n">
        <v>0</v>
      </c>
      <c r="U64" s="48" t="n">
        <v>0</v>
      </c>
      <c r="V64" s="48" t="n">
        <v>0</v>
      </c>
      <c r="W64" s="48" t="n">
        <v>0</v>
      </c>
    </row>
    <row r="65" customFormat="false" ht="14.25" hidden="false" customHeight="false" outlineLevel="0" collapsed="false">
      <c r="A65" s="61" t="n">
        <v>1905</v>
      </c>
      <c r="B65" s="48" t="n">
        <v>0</v>
      </c>
      <c r="C65" s="48" t="n">
        <v>0</v>
      </c>
      <c r="D65" s="48" t="n">
        <v>0</v>
      </c>
      <c r="E65" s="48" t="n">
        <v>0</v>
      </c>
      <c r="F65" s="48" t="n">
        <v>3</v>
      </c>
      <c r="G65" s="48" t="n">
        <v>1</v>
      </c>
      <c r="H65" s="48" t="n">
        <v>1</v>
      </c>
      <c r="I65" s="48" t="n">
        <v>0</v>
      </c>
      <c r="J65" s="48" t="n">
        <v>0</v>
      </c>
      <c r="K65" s="71" t="n">
        <v>1.3</v>
      </c>
      <c r="L65" s="71" t="n">
        <v>1</v>
      </c>
      <c r="M65" s="71" t="n">
        <v>0.08</v>
      </c>
      <c r="N65" s="71" t="n">
        <v>2.092</v>
      </c>
      <c r="O65" s="71" t="n">
        <v>0.45</v>
      </c>
      <c r="P65" s="71" t="n">
        <v>3.5</v>
      </c>
      <c r="Q65" s="71" t="n">
        <v>7.5</v>
      </c>
      <c r="R65" s="71" t="n">
        <v>0.309</v>
      </c>
      <c r="S65" s="71" t="n">
        <v>0</v>
      </c>
      <c r="T65" s="48" t="n">
        <v>0</v>
      </c>
      <c r="U65" s="48" t="n">
        <v>0</v>
      </c>
      <c r="V65" s="48" t="n">
        <v>0</v>
      </c>
      <c r="W65" s="48" t="n">
        <v>0</v>
      </c>
    </row>
    <row r="66" customFormat="false" ht="14.25" hidden="false" customHeight="false" outlineLevel="0" collapsed="false">
      <c r="A66" s="61" t="n">
        <v>1906</v>
      </c>
      <c r="B66" s="48" t="n">
        <v>0</v>
      </c>
      <c r="C66" s="48" t="n">
        <v>0</v>
      </c>
      <c r="D66" s="48" t="n">
        <v>0</v>
      </c>
      <c r="E66" s="48" t="n">
        <v>0</v>
      </c>
      <c r="F66" s="48" t="n">
        <v>4</v>
      </c>
      <c r="G66" s="48" t="n">
        <v>0</v>
      </c>
      <c r="H66" s="48" t="n">
        <v>1</v>
      </c>
      <c r="I66" s="48" t="n">
        <v>3</v>
      </c>
      <c r="J66" s="48" t="n">
        <v>0</v>
      </c>
      <c r="K66" s="71" t="n">
        <v>1.3</v>
      </c>
      <c r="L66" s="71" t="n">
        <v>1</v>
      </c>
      <c r="M66" s="71" t="n">
        <v>0.08</v>
      </c>
      <c r="N66" s="71" t="n">
        <v>2.131</v>
      </c>
      <c r="O66" s="71" t="n">
        <v>0.49</v>
      </c>
      <c r="P66" s="71" t="n">
        <v>3.688</v>
      </c>
      <c r="Q66" s="71" t="n">
        <v>8</v>
      </c>
      <c r="R66" s="71" t="n">
        <v>0.327</v>
      </c>
      <c r="S66" s="71" t="n">
        <v>0</v>
      </c>
      <c r="T66" s="48" t="n">
        <v>0</v>
      </c>
      <c r="U66" s="48" t="n">
        <v>1</v>
      </c>
      <c r="V66" s="48" t="n">
        <v>0</v>
      </c>
      <c r="W66" s="48" t="n">
        <v>0</v>
      </c>
    </row>
    <row r="67" customFormat="false" ht="14.25" hidden="false" customHeight="false" outlineLevel="0" collapsed="false">
      <c r="A67" s="61" t="n">
        <v>1907</v>
      </c>
      <c r="B67" s="48" t="n">
        <v>0</v>
      </c>
      <c r="C67" s="48" t="n">
        <v>0</v>
      </c>
      <c r="D67" s="48" t="n">
        <v>0</v>
      </c>
      <c r="E67" s="48" t="n">
        <v>0</v>
      </c>
      <c r="F67" s="48" t="n">
        <v>4</v>
      </c>
      <c r="G67" s="48" t="n">
        <v>2</v>
      </c>
      <c r="H67" s="48" t="n">
        <v>1</v>
      </c>
      <c r="I67" s="48" t="n">
        <v>0</v>
      </c>
      <c r="J67" s="48" t="n">
        <v>0</v>
      </c>
      <c r="K67" s="71" t="n">
        <v>1.3</v>
      </c>
      <c r="L67" s="71" t="n">
        <v>1</v>
      </c>
      <c r="M67" s="71" t="n">
        <v>0.08</v>
      </c>
      <c r="N67" s="71" t="n">
        <v>2.169</v>
      </c>
      <c r="O67" s="71" t="n">
        <v>0.53</v>
      </c>
      <c r="P67" s="71" t="n">
        <v>3.875</v>
      </c>
      <c r="Q67" s="71" t="n">
        <v>8.75</v>
      </c>
      <c r="R67" s="71" t="n">
        <v>0.345</v>
      </c>
      <c r="S67" s="71" t="n">
        <v>0</v>
      </c>
      <c r="T67" s="48" t="n">
        <v>0</v>
      </c>
      <c r="U67" s="48" t="n">
        <v>3</v>
      </c>
      <c r="V67" s="48" t="n">
        <v>0</v>
      </c>
      <c r="W67" s="48" t="n">
        <v>0</v>
      </c>
    </row>
    <row r="68" customFormat="false" ht="14.25" hidden="false" customHeight="false" outlineLevel="0" collapsed="false">
      <c r="A68" s="61" t="n">
        <v>1908</v>
      </c>
      <c r="B68" s="48" t="n">
        <v>0</v>
      </c>
      <c r="C68" s="48" t="n">
        <v>0</v>
      </c>
      <c r="D68" s="48" t="n">
        <v>0</v>
      </c>
      <c r="E68" s="48" t="n">
        <v>0</v>
      </c>
      <c r="F68" s="48" t="n">
        <v>4</v>
      </c>
      <c r="G68" s="48" t="n">
        <v>0</v>
      </c>
      <c r="H68" s="48" t="n">
        <v>0</v>
      </c>
      <c r="I68" s="48" t="n">
        <v>3</v>
      </c>
      <c r="J68" s="48" t="n">
        <v>0</v>
      </c>
      <c r="K68" s="71" t="n">
        <v>1.3</v>
      </c>
      <c r="L68" s="71" t="n">
        <v>1</v>
      </c>
      <c r="M68" s="71" t="n">
        <v>0.08</v>
      </c>
      <c r="N68" s="71" t="n">
        <v>2.208</v>
      </c>
      <c r="O68" s="71" t="n">
        <v>0.57</v>
      </c>
      <c r="P68" s="71" t="n">
        <v>4.062</v>
      </c>
      <c r="Q68" s="71" t="n">
        <v>9.5</v>
      </c>
      <c r="R68" s="71" t="n">
        <v>0.364</v>
      </c>
      <c r="S68" s="71" t="n">
        <v>0</v>
      </c>
      <c r="T68" s="48" t="n">
        <v>0</v>
      </c>
      <c r="U68" s="48" t="n">
        <v>5</v>
      </c>
      <c r="V68" s="48" t="n">
        <v>0</v>
      </c>
      <c r="W68" s="48" t="n">
        <v>0</v>
      </c>
    </row>
    <row r="69" customFormat="false" ht="14.25" hidden="false" customHeight="false" outlineLevel="0" collapsed="false">
      <c r="A69" s="61" t="n">
        <v>1909</v>
      </c>
      <c r="B69" s="48" t="n">
        <v>0</v>
      </c>
      <c r="C69" s="48" t="n">
        <v>0</v>
      </c>
      <c r="D69" s="48" t="n">
        <v>0</v>
      </c>
      <c r="E69" s="48" t="n">
        <v>0</v>
      </c>
      <c r="F69" s="48" t="n">
        <v>4</v>
      </c>
      <c r="G69" s="48" t="n">
        <v>2</v>
      </c>
      <c r="H69" s="48" t="n">
        <v>1</v>
      </c>
      <c r="I69" s="48" t="n">
        <v>0</v>
      </c>
      <c r="J69" s="48" t="n">
        <v>0</v>
      </c>
      <c r="K69" s="71" t="n">
        <v>1.3</v>
      </c>
      <c r="L69" s="71" t="n">
        <v>1</v>
      </c>
      <c r="M69" s="71" t="n">
        <v>0.08</v>
      </c>
      <c r="N69" s="71" t="n">
        <v>2.246</v>
      </c>
      <c r="O69" s="71" t="n">
        <v>0.61</v>
      </c>
      <c r="P69" s="71" t="n">
        <v>4.25</v>
      </c>
      <c r="Q69" s="71" t="n">
        <v>10.25</v>
      </c>
      <c r="R69" s="71" t="n">
        <v>0.382</v>
      </c>
      <c r="S69" s="71" t="n">
        <v>0</v>
      </c>
      <c r="T69" s="48" t="n">
        <v>0</v>
      </c>
      <c r="U69" s="48" t="n">
        <v>8</v>
      </c>
      <c r="V69" s="48" t="n">
        <v>0</v>
      </c>
      <c r="W69" s="48" t="n">
        <v>4</v>
      </c>
    </row>
    <row r="70" customFormat="false" ht="14.25" hidden="false" customHeight="false" outlineLevel="0" collapsed="false">
      <c r="A70" s="61" t="n">
        <v>1910</v>
      </c>
      <c r="B70" s="48" t="n">
        <v>0</v>
      </c>
      <c r="C70" s="48" t="n">
        <v>0</v>
      </c>
      <c r="D70" s="48" t="n">
        <v>0</v>
      </c>
      <c r="E70" s="48" t="n">
        <v>0</v>
      </c>
      <c r="F70" s="48" t="n">
        <v>4</v>
      </c>
      <c r="G70" s="48" t="n">
        <v>0</v>
      </c>
      <c r="H70" s="48" t="n">
        <v>1</v>
      </c>
      <c r="I70" s="48" t="n">
        <v>4</v>
      </c>
      <c r="J70" s="48" t="n">
        <v>0</v>
      </c>
      <c r="K70" s="71" t="n">
        <v>1.3</v>
      </c>
      <c r="L70" s="71" t="n">
        <v>1</v>
      </c>
      <c r="M70" s="71" t="n">
        <v>0.08</v>
      </c>
      <c r="N70" s="71" t="n">
        <v>2.285</v>
      </c>
      <c r="O70" s="71" t="n">
        <v>0.65</v>
      </c>
      <c r="P70" s="71" t="n">
        <v>4.438</v>
      </c>
      <c r="Q70" s="71" t="n">
        <v>11</v>
      </c>
      <c r="R70" s="71" t="n">
        <v>0.4</v>
      </c>
      <c r="S70" s="71" t="n">
        <v>0</v>
      </c>
      <c r="T70" s="48" t="n">
        <v>2</v>
      </c>
      <c r="U70" s="48" t="n">
        <v>10</v>
      </c>
      <c r="V70" s="48" t="n">
        <v>4</v>
      </c>
      <c r="W70" s="48" t="n">
        <v>8</v>
      </c>
    </row>
    <row r="71" customFormat="false" ht="14.25" hidden="false" customHeight="false" outlineLevel="0" collapsed="false">
      <c r="A71" s="61" t="n">
        <v>1911</v>
      </c>
      <c r="B71" s="48" t="n">
        <v>0</v>
      </c>
      <c r="C71" s="48" t="n">
        <v>0</v>
      </c>
      <c r="D71" s="48" t="n">
        <v>0</v>
      </c>
      <c r="E71" s="48" t="n">
        <v>0</v>
      </c>
      <c r="F71" s="48" t="n">
        <v>4</v>
      </c>
      <c r="G71" s="48" t="n">
        <v>2</v>
      </c>
      <c r="H71" s="48" t="n">
        <v>1</v>
      </c>
      <c r="I71" s="48" t="n">
        <v>0</v>
      </c>
      <c r="J71" s="48" t="n">
        <v>0</v>
      </c>
      <c r="K71" s="71" t="n">
        <v>1.3</v>
      </c>
      <c r="L71" s="71" t="n">
        <v>1</v>
      </c>
      <c r="M71" s="71" t="n">
        <v>0.08</v>
      </c>
      <c r="N71" s="71" t="n">
        <v>2.323</v>
      </c>
      <c r="O71" s="71" t="n">
        <v>0.717</v>
      </c>
      <c r="P71" s="71" t="n">
        <v>4.625</v>
      </c>
      <c r="Q71" s="71" t="n">
        <v>12</v>
      </c>
      <c r="R71" s="71" t="n">
        <v>0.514</v>
      </c>
      <c r="S71" s="71" t="n">
        <v>0</v>
      </c>
      <c r="T71" s="48" t="n">
        <v>2</v>
      </c>
      <c r="U71" s="48" t="n">
        <v>14</v>
      </c>
      <c r="V71" s="48" t="n">
        <v>4</v>
      </c>
      <c r="W71" s="48" t="n">
        <v>8</v>
      </c>
    </row>
    <row r="72" customFormat="false" ht="14.25" hidden="false" customHeight="false" outlineLevel="0" collapsed="false">
      <c r="A72" s="61" t="n">
        <v>1912</v>
      </c>
      <c r="B72" s="48" t="n">
        <v>0</v>
      </c>
      <c r="C72" s="48" t="n">
        <v>0</v>
      </c>
      <c r="D72" s="48" t="n">
        <v>0</v>
      </c>
      <c r="E72" s="48" t="n">
        <v>0</v>
      </c>
      <c r="F72" s="48" t="n">
        <v>4</v>
      </c>
      <c r="G72" s="48" t="n">
        <v>0</v>
      </c>
      <c r="H72" s="48" t="n">
        <v>1</v>
      </c>
      <c r="I72" s="48" t="n">
        <v>4</v>
      </c>
      <c r="J72" s="48" t="n">
        <v>0</v>
      </c>
      <c r="K72" s="71" t="n">
        <v>1.3</v>
      </c>
      <c r="L72" s="71" t="n">
        <v>1</v>
      </c>
      <c r="M72" s="71" t="n">
        <v>0.08</v>
      </c>
      <c r="N72" s="71" t="n">
        <v>2.362</v>
      </c>
      <c r="O72" s="71" t="n">
        <v>0.783</v>
      </c>
      <c r="P72" s="71" t="n">
        <v>4.812</v>
      </c>
      <c r="Q72" s="71" t="n">
        <v>13</v>
      </c>
      <c r="R72" s="71" t="n">
        <v>0.629</v>
      </c>
      <c r="S72" s="71" t="n">
        <v>0</v>
      </c>
      <c r="T72" s="48" t="n">
        <v>3</v>
      </c>
      <c r="U72" s="48" t="n">
        <v>18</v>
      </c>
      <c r="V72" s="48" t="n">
        <v>6</v>
      </c>
      <c r="W72" s="48" t="n">
        <v>12</v>
      </c>
    </row>
    <row r="73" customFormat="false" ht="14.25" hidden="false" customHeight="false" outlineLevel="0" collapsed="false">
      <c r="A73" s="61" t="n">
        <v>1913</v>
      </c>
      <c r="B73" s="48" t="n">
        <v>0</v>
      </c>
      <c r="C73" s="48" t="n">
        <v>0</v>
      </c>
      <c r="D73" s="48" t="n">
        <v>0</v>
      </c>
      <c r="E73" s="48" t="n">
        <v>0</v>
      </c>
      <c r="F73" s="48" t="n">
        <v>4</v>
      </c>
      <c r="G73" s="48" t="n">
        <v>2</v>
      </c>
      <c r="H73" s="48" t="n">
        <v>1</v>
      </c>
      <c r="I73" s="48" t="n">
        <v>0</v>
      </c>
      <c r="J73" s="48" t="n">
        <v>0</v>
      </c>
      <c r="K73" s="71" t="n">
        <v>1.3</v>
      </c>
      <c r="L73" s="71" t="n">
        <v>1</v>
      </c>
      <c r="M73" s="71" t="n">
        <v>0.08</v>
      </c>
      <c r="N73" s="71" t="n">
        <v>2.4</v>
      </c>
      <c r="O73" s="71" t="n">
        <v>0.85</v>
      </c>
      <c r="P73" s="71" t="n">
        <v>5</v>
      </c>
      <c r="Q73" s="71" t="n">
        <v>14</v>
      </c>
      <c r="R73" s="71" t="n">
        <v>0.743</v>
      </c>
      <c r="S73" s="71" t="n">
        <v>0</v>
      </c>
      <c r="T73" s="48" t="n">
        <v>4</v>
      </c>
      <c r="U73" s="48" t="n">
        <v>22</v>
      </c>
      <c r="V73" s="48" t="n">
        <v>6</v>
      </c>
      <c r="W73" s="48" t="n">
        <v>12</v>
      </c>
    </row>
    <row r="74" customFormat="false" ht="14.25" hidden="false" customHeight="false" outlineLevel="0" collapsed="false">
      <c r="A74" s="61" t="n">
        <v>1914</v>
      </c>
      <c r="B74" s="48" t="n">
        <v>0</v>
      </c>
      <c r="C74" s="48" t="n">
        <v>0</v>
      </c>
      <c r="D74" s="48" t="n">
        <v>0</v>
      </c>
      <c r="E74" s="48" t="n">
        <v>0</v>
      </c>
      <c r="F74" s="48" t="n">
        <v>6</v>
      </c>
      <c r="G74" s="48" t="n">
        <v>0</v>
      </c>
      <c r="H74" s="48" t="n">
        <v>1</v>
      </c>
      <c r="I74" s="48" t="n">
        <v>6</v>
      </c>
      <c r="J74" s="48" t="n">
        <v>0</v>
      </c>
      <c r="K74" s="71" t="n">
        <v>1.3</v>
      </c>
      <c r="L74" s="71" t="n">
        <v>1</v>
      </c>
      <c r="M74" s="71" t="n">
        <v>0.08</v>
      </c>
      <c r="N74" s="71" t="n">
        <v>2.7</v>
      </c>
      <c r="O74" s="71" t="n">
        <v>1.038</v>
      </c>
      <c r="P74" s="71" t="n">
        <v>5.8</v>
      </c>
      <c r="Q74" s="71" t="n">
        <v>15.5</v>
      </c>
      <c r="R74" s="71" t="n">
        <v>0.857</v>
      </c>
      <c r="S74" s="71" t="n">
        <v>0</v>
      </c>
      <c r="T74" s="48" t="n">
        <v>4</v>
      </c>
      <c r="U74" s="48" t="n">
        <v>29</v>
      </c>
      <c r="V74" s="48" t="n">
        <v>8</v>
      </c>
      <c r="W74" s="48" t="n">
        <v>17</v>
      </c>
    </row>
    <row r="75" customFormat="false" ht="14.25" hidden="false" customHeight="false" outlineLevel="0" collapsed="false">
      <c r="A75" s="61" t="n">
        <v>1915</v>
      </c>
      <c r="B75" s="48" t="n">
        <v>0</v>
      </c>
      <c r="C75" s="48" t="n">
        <v>0</v>
      </c>
      <c r="D75" s="48" t="n">
        <v>0</v>
      </c>
      <c r="E75" s="48" t="n">
        <v>0</v>
      </c>
      <c r="F75" s="48" t="n">
        <v>10</v>
      </c>
      <c r="G75" s="48" t="n">
        <v>2</v>
      </c>
      <c r="H75" s="48" t="n">
        <v>1</v>
      </c>
      <c r="I75" s="48" t="n">
        <v>8</v>
      </c>
      <c r="J75" s="48" t="n">
        <v>0</v>
      </c>
      <c r="K75" s="71" t="n">
        <v>1.3</v>
      </c>
      <c r="L75" s="71" t="n">
        <v>1</v>
      </c>
      <c r="M75" s="71" t="n">
        <v>0.08</v>
      </c>
      <c r="N75" s="71" t="n">
        <v>3</v>
      </c>
      <c r="O75" s="71" t="n">
        <v>1.225</v>
      </c>
      <c r="P75" s="71" t="n">
        <v>6.6</v>
      </c>
      <c r="Q75" s="71" t="n">
        <v>17</v>
      </c>
      <c r="R75" s="71" t="n">
        <v>0.971</v>
      </c>
      <c r="S75" s="71" t="n">
        <v>0</v>
      </c>
      <c r="T75" s="48" t="n">
        <v>6</v>
      </c>
      <c r="U75" s="48" t="n">
        <v>33</v>
      </c>
      <c r="V75" s="48" t="n">
        <v>8</v>
      </c>
      <c r="W75" s="48" t="n">
        <v>17</v>
      </c>
    </row>
    <row r="76" customFormat="false" ht="14.25" hidden="false" customHeight="false" outlineLevel="0" collapsed="false">
      <c r="A76" s="61" t="n">
        <v>1916</v>
      </c>
      <c r="B76" s="48" t="n">
        <v>0</v>
      </c>
      <c r="C76" s="48" t="n">
        <v>0</v>
      </c>
      <c r="D76" s="48" t="n">
        <v>0</v>
      </c>
      <c r="E76" s="48" t="n">
        <v>0</v>
      </c>
      <c r="F76" s="48" t="n">
        <v>10</v>
      </c>
      <c r="G76" s="48" t="n">
        <v>3</v>
      </c>
      <c r="H76" s="48" t="n">
        <v>1</v>
      </c>
      <c r="I76" s="48" t="n">
        <v>8</v>
      </c>
      <c r="J76" s="48" t="n">
        <v>0</v>
      </c>
      <c r="K76" s="71" t="n">
        <v>1.3</v>
      </c>
      <c r="L76" s="71" t="n">
        <v>1</v>
      </c>
      <c r="M76" s="71" t="n">
        <v>0.08</v>
      </c>
      <c r="N76" s="71" t="n">
        <v>3.3</v>
      </c>
      <c r="O76" s="71" t="n">
        <v>1.413</v>
      </c>
      <c r="P76" s="71" t="n">
        <v>7.4</v>
      </c>
      <c r="Q76" s="71" t="n">
        <v>18.5</v>
      </c>
      <c r="R76" s="71" t="n">
        <v>1.086</v>
      </c>
      <c r="S76" s="71" t="n">
        <v>0</v>
      </c>
      <c r="T76" s="48" t="n">
        <v>6</v>
      </c>
      <c r="U76" s="48" t="n">
        <v>37</v>
      </c>
      <c r="V76" s="48" t="n">
        <v>10</v>
      </c>
      <c r="W76" s="48" t="n">
        <v>21</v>
      </c>
    </row>
    <row r="77" customFormat="false" ht="14.25" hidden="false" customHeight="false" outlineLevel="0" collapsed="false">
      <c r="A77" s="61" t="n">
        <v>1917</v>
      </c>
      <c r="B77" s="48" t="n">
        <v>0</v>
      </c>
      <c r="C77" s="48" t="n">
        <v>0</v>
      </c>
      <c r="D77" s="48" t="n">
        <v>0</v>
      </c>
      <c r="E77" s="48" t="n">
        <v>0</v>
      </c>
      <c r="F77" s="48" t="n">
        <v>10</v>
      </c>
      <c r="G77" s="48" t="n">
        <v>3</v>
      </c>
      <c r="H77" s="48" t="n">
        <v>1</v>
      </c>
      <c r="I77" s="48" t="n">
        <v>8</v>
      </c>
      <c r="J77" s="48" t="n">
        <v>0</v>
      </c>
      <c r="K77" s="71" t="n">
        <v>1.3</v>
      </c>
      <c r="L77" s="71" t="n">
        <v>1</v>
      </c>
      <c r="M77" s="71" t="n">
        <v>0.08</v>
      </c>
      <c r="N77" s="71" t="n">
        <v>3.6</v>
      </c>
      <c r="O77" s="71" t="n">
        <v>1.6</v>
      </c>
      <c r="P77" s="71" t="n">
        <v>8.2</v>
      </c>
      <c r="Q77" s="71" t="n">
        <v>20</v>
      </c>
      <c r="R77" s="71" t="n">
        <v>1.2</v>
      </c>
      <c r="S77" s="71" t="n">
        <v>0</v>
      </c>
      <c r="T77" s="48" t="n">
        <v>8</v>
      </c>
      <c r="U77" s="48" t="n">
        <v>40</v>
      </c>
      <c r="V77" s="48" t="n">
        <v>10</v>
      </c>
      <c r="W77" s="48" t="n">
        <v>21</v>
      </c>
    </row>
    <row r="78" customFormat="false" ht="14.25" hidden="false" customHeight="false" outlineLevel="0" collapsed="false">
      <c r="A78" s="61" t="n">
        <v>1918</v>
      </c>
      <c r="B78" s="48" t="n">
        <v>0</v>
      </c>
      <c r="C78" s="48" t="n">
        <v>0</v>
      </c>
      <c r="D78" s="48" t="n">
        <v>0</v>
      </c>
      <c r="E78" s="48" t="n">
        <v>0</v>
      </c>
      <c r="F78" s="48" t="n">
        <v>8</v>
      </c>
      <c r="G78" s="48" t="n">
        <v>2</v>
      </c>
      <c r="H78" s="48" t="n">
        <v>1</v>
      </c>
      <c r="I78" s="48" t="n">
        <v>6</v>
      </c>
      <c r="J78" s="48" t="n">
        <v>0</v>
      </c>
      <c r="K78" s="71" t="n">
        <v>1.3</v>
      </c>
      <c r="L78" s="71" t="n">
        <v>1</v>
      </c>
      <c r="M78" s="71" t="n">
        <v>0.08</v>
      </c>
      <c r="N78" s="71" t="n">
        <v>3.9</v>
      </c>
      <c r="O78" s="71" t="n">
        <v>1.733</v>
      </c>
      <c r="P78" s="71" t="n">
        <v>9</v>
      </c>
      <c r="Q78" s="71" t="n">
        <v>23.333</v>
      </c>
      <c r="R78" s="71" t="n">
        <v>1.238</v>
      </c>
      <c r="S78" s="71" t="n">
        <v>0</v>
      </c>
      <c r="T78" s="48" t="n">
        <v>8</v>
      </c>
      <c r="U78" s="48" t="n">
        <v>42</v>
      </c>
      <c r="V78" s="48" t="n">
        <v>12</v>
      </c>
      <c r="W78" s="48" t="n">
        <v>24</v>
      </c>
    </row>
    <row r="79" customFormat="false" ht="14.25" hidden="false" customHeight="false" outlineLevel="0" collapsed="false">
      <c r="A79" s="61" t="n">
        <v>1919</v>
      </c>
      <c r="B79" s="48" t="n">
        <v>0</v>
      </c>
      <c r="C79" s="48" t="n">
        <v>0</v>
      </c>
      <c r="D79" s="48" t="n">
        <v>0</v>
      </c>
      <c r="E79" s="48" t="n">
        <v>0</v>
      </c>
      <c r="F79" s="48" t="n">
        <v>2</v>
      </c>
      <c r="G79" s="48" t="n">
        <v>0</v>
      </c>
      <c r="H79" s="48" t="n">
        <v>0</v>
      </c>
      <c r="I79" s="48" t="n">
        <v>0</v>
      </c>
      <c r="J79" s="48" t="n">
        <v>0</v>
      </c>
      <c r="K79" s="71" t="n">
        <v>1.3</v>
      </c>
      <c r="L79" s="71" t="n">
        <v>1</v>
      </c>
      <c r="M79" s="71" t="n">
        <v>0.08</v>
      </c>
      <c r="N79" s="71" t="n">
        <v>4.2</v>
      </c>
      <c r="O79" s="71" t="n">
        <v>1.867</v>
      </c>
      <c r="P79" s="71" t="n">
        <v>9.143</v>
      </c>
      <c r="Q79" s="71" t="n">
        <v>26.667</v>
      </c>
      <c r="R79" s="71" t="n">
        <v>1.275</v>
      </c>
      <c r="S79" s="71" t="n">
        <v>0</v>
      </c>
      <c r="T79" s="48" t="n">
        <v>10</v>
      </c>
      <c r="U79" s="48" t="n">
        <v>42</v>
      </c>
      <c r="V79" s="48" t="n">
        <v>12</v>
      </c>
      <c r="W79" s="48" t="n">
        <v>24</v>
      </c>
    </row>
    <row r="80" customFormat="false" ht="14.25" hidden="false" customHeight="false" outlineLevel="0" collapsed="false">
      <c r="A80" s="61" t="n">
        <v>1920</v>
      </c>
      <c r="B80" s="48" t="n">
        <v>0</v>
      </c>
      <c r="C80" s="48" t="n">
        <v>0</v>
      </c>
      <c r="D80" s="48" t="n">
        <v>0</v>
      </c>
      <c r="E80" s="48" t="n">
        <v>0</v>
      </c>
      <c r="F80" s="48" t="n">
        <v>3</v>
      </c>
      <c r="G80" s="48" t="n">
        <v>0</v>
      </c>
      <c r="H80" s="48" t="n">
        <v>0</v>
      </c>
      <c r="I80" s="48" t="n">
        <v>2</v>
      </c>
      <c r="J80" s="48" t="n">
        <v>0</v>
      </c>
      <c r="K80" s="71" t="n">
        <v>1.3</v>
      </c>
      <c r="L80" s="71" t="n">
        <v>1</v>
      </c>
      <c r="M80" s="71" t="n">
        <v>0.08</v>
      </c>
      <c r="N80" s="71" t="n">
        <v>4.5</v>
      </c>
      <c r="O80" s="71" t="n">
        <v>2</v>
      </c>
      <c r="P80" s="71" t="n">
        <v>9.286</v>
      </c>
      <c r="Q80" s="71" t="n">
        <v>30</v>
      </c>
      <c r="R80" s="71" t="n">
        <v>1.312</v>
      </c>
      <c r="S80" s="71" t="n">
        <v>0</v>
      </c>
      <c r="T80" s="48" t="n">
        <v>10</v>
      </c>
      <c r="U80" s="48" t="n">
        <v>36</v>
      </c>
      <c r="V80" s="48" t="n">
        <v>15</v>
      </c>
      <c r="W80" s="48" t="n">
        <v>21</v>
      </c>
    </row>
    <row r="81" customFormat="false" ht="14.25" hidden="false" customHeight="false" outlineLevel="0" collapsed="false">
      <c r="A81" s="61" t="n">
        <v>1921</v>
      </c>
      <c r="B81" s="48" t="n">
        <v>0</v>
      </c>
      <c r="C81" s="48" t="n">
        <v>0</v>
      </c>
      <c r="D81" s="48" t="n">
        <v>0</v>
      </c>
      <c r="E81" s="48" t="n">
        <v>0</v>
      </c>
      <c r="F81" s="48" t="n">
        <v>3</v>
      </c>
      <c r="G81" s="48" t="n">
        <v>1</v>
      </c>
      <c r="H81" s="48" t="n">
        <v>0</v>
      </c>
      <c r="I81" s="48" t="n">
        <v>0</v>
      </c>
      <c r="J81" s="48" t="n">
        <v>0</v>
      </c>
      <c r="K81" s="71" t="n">
        <v>1.3</v>
      </c>
      <c r="L81" s="71" t="n">
        <v>1</v>
      </c>
      <c r="M81" s="71" t="n">
        <v>0.08</v>
      </c>
      <c r="N81" s="71" t="n">
        <v>4.417</v>
      </c>
      <c r="O81" s="71" t="n">
        <v>1.96</v>
      </c>
      <c r="P81" s="71" t="n">
        <v>9.429</v>
      </c>
      <c r="Q81" s="71" t="n">
        <v>29.6</v>
      </c>
      <c r="R81" s="71" t="n">
        <v>1.35</v>
      </c>
      <c r="S81" s="71" t="n">
        <v>15</v>
      </c>
      <c r="T81" s="48" t="n">
        <v>10</v>
      </c>
      <c r="U81" s="48" t="n">
        <v>30</v>
      </c>
      <c r="V81" s="48" t="n">
        <v>15</v>
      </c>
      <c r="W81" s="48" t="n">
        <v>18</v>
      </c>
    </row>
    <row r="82" customFormat="false" ht="14.25" hidden="false" customHeight="false" outlineLevel="0" collapsed="false">
      <c r="A82" s="61" t="n">
        <v>1922</v>
      </c>
      <c r="B82" s="48" t="n">
        <v>0</v>
      </c>
      <c r="C82" s="48" t="n">
        <v>0</v>
      </c>
      <c r="D82" s="48" t="n">
        <v>0</v>
      </c>
      <c r="E82" s="48" t="n">
        <v>0</v>
      </c>
      <c r="F82" s="48" t="n">
        <v>3</v>
      </c>
      <c r="G82" s="48" t="n">
        <v>0</v>
      </c>
      <c r="H82" s="48" t="n">
        <v>0</v>
      </c>
      <c r="I82" s="48" t="n">
        <v>3</v>
      </c>
      <c r="J82" s="48" t="n">
        <v>1</v>
      </c>
      <c r="K82" s="71" t="n">
        <v>1.3</v>
      </c>
      <c r="L82" s="71" t="n">
        <v>1</v>
      </c>
      <c r="M82" s="71" t="n">
        <v>0.08</v>
      </c>
      <c r="N82" s="71" t="n">
        <v>4.333</v>
      </c>
      <c r="O82" s="71" t="n">
        <v>1.92</v>
      </c>
      <c r="P82" s="71" t="n">
        <v>9.571</v>
      </c>
      <c r="Q82" s="71" t="n">
        <v>29.2</v>
      </c>
      <c r="R82" s="71" t="n">
        <v>1.387</v>
      </c>
      <c r="S82" s="71" t="n">
        <v>16.75</v>
      </c>
      <c r="T82" s="48" t="n">
        <v>10</v>
      </c>
      <c r="U82" s="48" t="n">
        <v>24</v>
      </c>
      <c r="V82" s="48" t="n">
        <v>16</v>
      </c>
      <c r="W82" s="48" t="n">
        <v>16</v>
      </c>
    </row>
    <row r="83" customFormat="false" ht="14.25" hidden="false" customHeight="false" outlineLevel="0" collapsed="false">
      <c r="A83" s="61" t="n">
        <v>1923</v>
      </c>
      <c r="B83" s="48" t="n">
        <v>0</v>
      </c>
      <c r="C83" s="48" t="n">
        <v>0</v>
      </c>
      <c r="D83" s="48" t="n">
        <v>0</v>
      </c>
      <c r="E83" s="48" t="n">
        <v>0</v>
      </c>
      <c r="F83" s="48" t="n">
        <v>3</v>
      </c>
      <c r="G83" s="48" t="n">
        <v>1</v>
      </c>
      <c r="H83" s="48" t="n">
        <v>0</v>
      </c>
      <c r="I83" s="48" t="n">
        <v>3</v>
      </c>
      <c r="J83" s="48" t="n">
        <v>0</v>
      </c>
      <c r="K83" s="71" t="n">
        <v>1.3</v>
      </c>
      <c r="L83" s="71" t="n">
        <v>1</v>
      </c>
      <c r="M83" s="71" t="n">
        <v>0.08</v>
      </c>
      <c r="N83" s="71" t="n">
        <v>4.25</v>
      </c>
      <c r="O83" s="71" t="n">
        <v>1.88</v>
      </c>
      <c r="P83" s="71" t="n">
        <v>9.714</v>
      </c>
      <c r="Q83" s="71" t="n">
        <v>28.8</v>
      </c>
      <c r="R83" s="71" t="n">
        <v>1.425</v>
      </c>
      <c r="S83" s="71" t="n">
        <v>18.5</v>
      </c>
      <c r="T83" s="48" t="n">
        <v>10</v>
      </c>
      <c r="U83" s="48" t="n">
        <v>24</v>
      </c>
      <c r="V83" s="48" t="n">
        <v>16</v>
      </c>
      <c r="W83" s="48" t="n">
        <v>16</v>
      </c>
    </row>
    <row r="84" customFormat="false" ht="14.25" hidden="false" customHeight="false" outlineLevel="0" collapsed="false">
      <c r="A84" s="61" t="n">
        <v>1924</v>
      </c>
      <c r="B84" s="48" t="n">
        <v>0</v>
      </c>
      <c r="C84" s="48" t="n">
        <v>0</v>
      </c>
      <c r="D84" s="48" t="n">
        <v>0</v>
      </c>
      <c r="E84" s="48" t="n">
        <v>0</v>
      </c>
      <c r="F84" s="48" t="n">
        <v>3</v>
      </c>
      <c r="G84" s="48" t="n">
        <v>0</v>
      </c>
      <c r="H84" s="48" t="n">
        <v>0</v>
      </c>
      <c r="I84" s="48" t="n">
        <v>3</v>
      </c>
      <c r="J84" s="48" t="n">
        <v>0</v>
      </c>
      <c r="K84" s="71" t="n">
        <v>1.3</v>
      </c>
      <c r="L84" s="71" t="n">
        <v>1</v>
      </c>
      <c r="M84" s="71" t="n">
        <v>0.08</v>
      </c>
      <c r="N84" s="71" t="n">
        <v>4.167</v>
      </c>
      <c r="O84" s="71" t="n">
        <v>1.84</v>
      </c>
      <c r="P84" s="71" t="n">
        <v>9.857</v>
      </c>
      <c r="Q84" s="71" t="n">
        <v>28.4</v>
      </c>
      <c r="R84" s="71" t="n">
        <v>1.462</v>
      </c>
      <c r="S84" s="71" t="n">
        <v>20.25</v>
      </c>
      <c r="T84" s="48" t="n">
        <v>10</v>
      </c>
      <c r="U84" s="48" t="n">
        <v>24</v>
      </c>
      <c r="V84" s="48" t="n">
        <v>16</v>
      </c>
      <c r="W84" s="48" t="n">
        <v>16</v>
      </c>
    </row>
    <row r="85" customFormat="false" ht="14.25" hidden="false" customHeight="false" outlineLevel="0" collapsed="false">
      <c r="A85" s="61" t="n">
        <v>1925</v>
      </c>
      <c r="B85" s="48" t="n">
        <v>0</v>
      </c>
      <c r="C85" s="48" t="n">
        <v>0</v>
      </c>
      <c r="D85" s="48" t="n">
        <v>0</v>
      </c>
      <c r="E85" s="48" t="n">
        <v>0</v>
      </c>
      <c r="F85" s="48" t="n">
        <v>3</v>
      </c>
      <c r="G85" s="48" t="n">
        <v>1</v>
      </c>
      <c r="H85" s="48" t="n">
        <v>1</v>
      </c>
      <c r="I85" s="48" t="n">
        <v>3</v>
      </c>
      <c r="J85" s="48" t="n">
        <v>1</v>
      </c>
      <c r="K85" s="71" t="n">
        <v>1.3</v>
      </c>
      <c r="L85" s="71" t="n">
        <v>1</v>
      </c>
      <c r="M85" s="71" t="n">
        <v>0.08</v>
      </c>
      <c r="N85" s="71" t="n">
        <v>4.083</v>
      </c>
      <c r="O85" s="71" t="n">
        <v>1.8</v>
      </c>
      <c r="P85" s="71" t="n">
        <v>10</v>
      </c>
      <c r="Q85" s="71" t="n">
        <v>28</v>
      </c>
      <c r="R85" s="71" t="n">
        <v>1.5</v>
      </c>
      <c r="S85" s="71" t="n">
        <v>22</v>
      </c>
      <c r="T85" s="48" t="n">
        <v>10</v>
      </c>
      <c r="U85" s="48" t="n">
        <v>24</v>
      </c>
      <c r="V85" s="48" t="n">
        <v>18</v>
      </c>
      <c r="W85" s="48" t="n">
        <v>16</v>
      </c>
    </row>
    <row r="86" customFormat="false" ht="14.25" hidden="false" customHeight="false" outlineLevel="0" collapsed="false">
      <c r="A86" s="61" t="n">
        <v>1926</v>
      </c>
      <c r="B86" s="48" t="n">
        <v>0</v>
      </c>
      <c r="C86" s="48" t="n">
        <v>0</v>
      </c>
      <c r="D86" s="48" t="n">
        <v>0</v>
      </c>
      <c r="E86" s="48" t="n">
        <v>0</v>
      </c>
      <c r="F86" s="48" t="n">
        <v>3</v>
      </c>
      <c r="G86" s="48" t="n">
        <v>0</v>
      </c>
      <c r="H86" s="48" t="n">
        <v>0</v>
      </c>
      <c r="I86" s="48" t="n">
        <v>3</v>
      </c>
      <c r="J86" s="48" t="n">
        <v>0</v>
      </c>
      <c r="K86" s="71" t="n">
        <v>1.3</v>
      </c>
      <c r="L86" s="71" t="n">
        <v>1</v>
      </c>
      <c r="M86" s="71" t="n">
        <v>0.08</v>
      </c>
      <c r="N86" s="71" t="n">
        <v>4</v>
      </c>
      <c r="O86" s="71" t="n">
        <v>1.771</v>
      </c>
      <c r="P86" s="71" t="n">
        <v>9.857</v>
      </c>
      <c r="Q86" s="71" t="n">
        <v>27.571</v>
      </c>
      <c r="R86" s="71" t="n">
        <v>1.486</v>
      </c>
      <c r="S86" s="71" t="n">
        <v>23</v>
      </c>
      <c r="T86" s="48" t="n">
        <v>10</v>
      </c>
      <c r="U86" s="48" t="n">
        <v>24</v>
      </c>
      <c r="V86" s="48" t="n">
        <v>18</v>
      </c>
      <c r="W86" s="48" t="n">
        <v>16</v>
      </c>
    </row>
    <row r="87" customFormat="false" ht="14.25" hidden="false" customHeight="false" outlineLevel="0" collapsed="false">
      <c r="A87" s="61" t="n">
        <v>1927</v>
      </c>
      <c r="B87" s="48" t="n">
        <v>0</v>
      </c>
      <c r="C87" s="48" t="n">
        <v>0</v>
      </c>
      <c r="D87" s="48" t="n">
        <v>0</v>
      </c>
      <c r="E87" s="48" t="n">
        <v>0</v>
      </c>
      <c r="F87" s="48" t="n">
        <v>3</v>
      </c>
      <c r="G87" s="48" t="n">
        <v>1</v>
      </c>
      <c r="H87" s="48" t="n">
        <v>1</v>
      </c>
      <c r="I87" s="48" t="n">
        <v>3</v>
      </c>
      <c r="J87" s="48" t="n">
        <v>0</v>
      </c>
      <c r="K87" s="71" t="n">
        <v>1.3</v>
      </c>
      <c r="L87" s="71" t="n">
        <v>1</v>
      </c>
      <c r="M87" s="71" t="n">
        <v>0.08</v>
      </c>
      <c r="N87" s="71" t="n">
        <v>3.917</v>
      </c>
      <c r="O87" s="71" t="n">
        <v>1.743</v>
      </c>
      <c r="P87" s="71" t="n">
        <v>9.714</v>
      </c>
      <c r="Q87" s="71" t="n">
        <v>27.143</v>
      </c>
      <c r="R87" s="71" t="n">
        <v>1.471</v>
      </c>
      <c r="S87" s="71" t="n">
        <v>24</v>
      </c>
      <c r="T87" s="48" t="n">
        <v>10</v>
      </c>
      <c r="U87" s="48" t="n">
        <v>24</v>
      </c>
      <c r="V87" s="48" t="n">
        <v>19</v>
      </c>
      <c r="W87" s="48" t="n">
        <v>16</v>
      </c>
    </row>
    <row r="88" customFormat="false" ht="14.25" hidden="false" customHeight="false" outlineLevel="0" collapsed="false">
      <c r="A88" s="61" t="n">
        <v>1928</v>
      </c>
      <c r="B88" s="48" t="n">
        <v>0</v>
      </c>
      <c r="C88" s="48" t="n">
        <v>0</v>
      </c>
      <c r="D88" s="48" t="n">
        <v>0</v>
      </c>
      <c r="E88" s="48" t="n">
        <v>0</v>
      </c>
      <c r="F88" s="48" t="n">
        <v>3</v>
      </c>
      <c r="G88" s="48" t="n">
        <v>0</v>
      </c>
      <c r="H88" s="48" t="n">
        <v>1</v>
      </c>
      <c r="I88" s="48" t="n">
        <v>3</v>
      </c>
      <c r="J88" s="48" t="n">
        <v>1</v>
      </c>
      <c r="K88" s="71" t="n">
        <v>1.3</v>
      </c>
      <c r="L88" s="71" t="n">
        <v>1</v>
      </c>
      <c r="M88" s="71" t="n">
        <v>0.08</v>
      </c>
      <c r="N88" s="71" t="n">
        <v>3.833</v>
      </c>
      <c r="O88" s="71" t="n">
        <v>1.714</v>
      </c>
      <c r="P88" s="71" t="n">
        <v>9.571</v>
      </c>
      <c r="Q88" s="71" t="n">
        <v>26.714</v>
      </c>
      <c r="R88" s="71" t="n">
        <v>1.457</v>
      </c>
      <c r="S88" s="71" t="n">
        <v>25</v>
      </c>
      <c r="T88" s="48" t="n">
        <v>10</v>
      </c>
      <c r="U88" s="48" t="n">
        <v>24</v>
      </c>
      <c r="V88" s="48" t="n">
        <v>20</v>
      </c>
      <c r="W88" s="48" t="n">
        <v>16</v>
      </c>
    </row>
    <row r="89" customFormat="false" ht="14.25" hidden="false" customHeight="false" outlineLevel="0" collapsed="false">
      <c r="A89" s="61" t="n">
        <v>1929</v>
      </c>
      <c r="B89" s="48" t="n">
        <v>0</v>
      </c>
      <c r="C89" s="48" t="n">
        <v>0</v>
      </c>
      <c r="D89" s="48" t="n">
        <v>0</v>
      </c>
      <c r="E89" s="48" t="n">
        <v>0</v>
      </c>
      <c r="F89" s="48" t="n">
        <v>3</v>
      </c>
      <c r="G89" s="48" t="n">
        <v>1</v>
      </c>
      <c r="H89" s="48" t="n">
        <v>1</v>
      </c>
      <c r="I89" s="48" t="n">
        <v>3</v>
      </c>
      <c r="J89" s="48" t="n">
        <v>0</v>
      </c>
      <c r="K89" s="71" t="n">
        <v>1.3</v>
      </c>
      <c r="L89" s="71" t="n">
        <v>1</v>
      </c>
      <c r="M89" s="71" t="n">
        <v>0.08</v>
      </c>
      <c r="N89" s="71" t="n">
        <v>3.75</v>
      </c>
      <c r="O89" s="71" t="n">
        <v>1.686</v>
      </c>
      <c r="P89" s="71" t="n">
        <v>9.429</v>
      </c>
      <c r="Q89" s="71" t="n">
        <v>26.286</v>
      </c>
      <c r="R89" s="71" t="n">
        <v>1.443</v>
      </c>
      <c r="S89" s="71" t="n">
        <v>25</v>
      </c>
      <c r="T89" s="48" t="n">
        <v>10</v>
      </c>
      <c r="U89" s="48" t="n">
        <v>24</v>
      </c>
      <c r="V89" s="48" t="n">
        <v>21</v>
      </c>
      <c r="W89" s="48" t="n">
        <v>16</v>
      </c>
    </row>
    <row r="90" customFormat="false" ht="14.25" hidden="false" customHeight="false" outlineLevel="0" collapsed="false">
      <c r="A90" s="61" t="n">
        <v>1930</v>
      </c>
      <c r="B90" s="48" t="n">
        <v>0</v>
      </c>
      <c r="C90" s="48" t="n">
        <v>0</v>
      </c>
      <c r="D90" s="48" t="n">
        <v>0</v>
      </c>
      <c r="E90" s="48" t="n">
        <v>0</v>
      </c>
      <c r="F90" s="48" t="n">
        <v>4</v>
      </c>
      <c r="G90" s="48" t="n">
        <v>2</v>
      </c>
      <c r="H90" s="48" t="n">
        <v>0</v>
      </c>
      <c r="I90" s="48" t="n">
        <v>3</v>
      </c>
      <c r="J90" s="48" t="n">
        <v>0</v>
      </c>
      <c r="K90" s="71" t="n">
        <v>1.3</v>
      </c>
      <c r="L90" s="71" t="n">
        <v>1</v>
      </c>
      <c r="M90" s="71" t="n">
        <v>0.08</v>
      </c>
      <c r="N90" s="71" t="n">
        <v>3.667</v>
      </c>
      <c r="O90" s="71" t="n">
        <v>1.657</v>
      </c>
      <c r="P90" s="71" t="n">
        <v>9.286</v>
      </c>
      <c r="Q90" s="71" t="n">
        <v>25.857</v>
      </c>
      <c r="R90" s="71" t="n">
        <v>1.429</v>
      </c>
      <c r="S90" s="71" t="n">
        <v>25</v>
      </c>
      <c r="T90" s="48" t="n">
        <v>10</v>
      </c>
      <c r="U90" s="48" t="n">
        <v>24</v>
      </c>
      <c r="V90" s="48" t="n">
        <v>21</v>
      </c>
      <c r="W90" s="48" t="n">
        <v>16</v>
      </c>
    </row>
    <row r="91" customFormat="false" ht="14.25" hidden="false" customHeight="false" outlineLevel="0" collapsed="false">
      <c r="A91" s="61" t="n">
        <v>1931</v>
      </c>
      <c r="B91" s="48" t="n">
        <v>0</v>
      </c>
      <c r="C91" s="48" t="n">
        <v>0</v>
      </c>
      <c r="D91" s="48" t="n">
        <v>0</v>
      </c>
      <c r="E91" s="48" t="n">
        <v>0</v>
      </c>
      <c r="F91" s="48" t="n">
        <v>4</v>
      </c>
      <c r="G91" s="48" t="n">
        <v>0</v>
      </c>
      <c r="H91" s="48" t="n">
        <v>1</v>
      </c>
      <c r="I91" s="48" t="n">
        <v>3</v>
      </c>
      <c r="J91" s="48" t="n">
        <v>1</v>
      </c>
      <c r="K91" s="71" t="n">
        <v>1.3</v>
      </c>
      <c r="L91" s="71" t="n">
        <v>1</v>
      </c>
      <c r="M91" s="71" t="n">
        <v>0.08</v>
      </c>
      <c r="N91" s="71" t="n">
        <v>3.583</v>
      </c>
      <c r="O91" s="71" t="n">
        <v>1.629</v>
      </c>
      <c r="P91" s="71" t="n">
        <v>9.143</v>
      </c>
      <c r="Q91" s="71" t="n">
        <v>25.429</v>
      </c>
      <c r="R91" s="71" t="n">
        <v>1.414</v>
      </c>
      <c r="S91" s="71" t="n">
        <v>25</v>
      </c>
      <c r="T91" s="48" t="n">
        <v>10</v>
      </c>
      <c r="U91" s="48" t="n">
        <v>24</v>
      </c>
      <c r="V91" s="48" t="n">
        <v>21</v>
      </c>
      <c r="W91" s="48" t="n">
        <v>16</v>
      </c>
    </row>
    <row r="92" customFormat="false" ht="14.25" hidden="false" customHeight="false" outlineLevel="0" collapsed="false">
      <c r="A92" s="61" t="n">
        <v>1932</v>
      </c>
      <c r="B92" s="48" t="n">
        <v>0</v>
      </c>
      <c r="C92" s="48" t="n">
        <v>0</v>
      </c>
      <c r="D92" s="48" t="n">
        <v>0</v>
      </c>
      <c r="E92" s="48" t="n">
        <v>0</v>
      </c>
      <c r="F92" s="48" t="n">
        <v>4</v>
      </c>
      <c r="G92" s="48" t="n">
        <v>0</v>
      </c>
      <c r="H92" s="48" t="n">
        <v>1</v>
      </c>
      <c r="I92" s="48" t="n">
        <v>3</v>
      </c>
      <c r="J92" s="48" t="n">
        <v>0</v>
      </c>
      <c r="K92" s="71" t="n">
        <v>1.3</v>
      </c>
      <c r="L92" s="71" t="n">
        <v>1</v>
      </c>
      <c r="M92" s="71" t="n">
        <v>0.08</v>
      </c>
      <c r="N92" s="71" t="n">
        <v>3.5</v>
      </c>
      <c r="O92" s="71" t="n">
        <v>1.6</v>
      </c>
      <c r="P92" s="71" t="n">
        <v>9</v>
      </c>
      <c r="Q92" s="71" t="n">
        <v>25</v>
      </c>
      <c r="R92" s="71" t="n">
        <v>1.4</v>
      </c>
      <c r="S92" s="71" t="n">
        <v>25</v>
      </c>
      <c r="T92" s="48" t="n">
        <v>10</v>
      </c>
      <c r="U92" s="48" t="n">
        <v>24</v>
      </c>
      <c r="V92" s="48" t="n">
        <v>21</v>
      </c>
      <c r="W92" s="48"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55" hidden="false" customHeight="false" outlineLevel="0" collapsed="false">
      <c r="A1" s="19" t="s">
        <v>1558</v>
      </c>
    </row>
    <row r="2" customFormat="false" ht="14.25" hidden="false" customHeight="false" outlineLevel="0" collapsed="false">
      <c r="A2" s="3" t="s">
        <v>1559</v>
      </c>
    </row>
    <row r="3" customFormat="false" ht="14.25" hidden="false" customHeight="false" outlineLevel="0" collapsed="false">
      <c r="A3" s="20" t="s">
        <v>1166</v>
      </c>
    </row>
    <row r="4" customFormat="false" ht="14.25" hidden="false" customHeight="false" outlineLevel="0" collapsed="false">
      <c r="B4" s="58" t="s">
        <v>37</v>
      </c>
      <c r="C4" s="58"/>
      <c r="D4" s="58"/>
      <c r="E4" s="58"/>
      <c r="F4" s="58"/>
      <c r="G4" s="58"/>
      <c r="H4" s="58"/>
      <c r="I4" s="58"/>
      <c r="J4" s="58"/>
      <c r="K4" s="59" t="s">
        <v>123</v>
      </c>
      <c r="L4" s="59" t="s">
        <v>1560</v>
      </c>
      <c r="M4" s="59" t="s">
        <v>123</v>
      </c>
      <c r="N4" s="58" t="s">
        <v>1561</v>
      </c>
      <c r="O4" s="58"/>
      <c r="P4" s="58" t="s">
        <v>1560</v>
      </c>
      <c r="Q4" s="58"/>
      <c r="R4" s="58"/>
      <c r="S4" s="58" t="s">
        <v>1561</v>
      </c>
      <c r="T4" s="58"/>
      <c r="U4" s="58" t="s">
        <v>1560</v>
      </c>
      <c r="V4" s="58"/>
      <c r="W4" s="58" t="s">
        <v>1562</v>
      </c>
      <c r="X4" s="58"/>
      <c r="Y4" s="58"/>
      <c r="Z4" s="59" t="s">
        <v>123</v>
      </c>
      <c r="AA4" s="58" t="s">
        <v>1563</v>
      </c>
      <c r="AB4" s="58"/>
      <c r="AC4" s="58"/>
      <c r="AD4" s="58"/>
      <c r="AE4" s="58"/>
    </row>
    <row r="5" customFormat="false" ht="54" hidden="false" customHeight="true" outlineLevel="0" collapsed="false">
      <c r="A5" s="60" t="s">
        <v>103</v>
      </c>
      <c r="B5" s="7" t="s">
        <v>1564</v>
      </c>
      <c r="C5" s="7" t="s">
        <v>1565</v>
      </c>
      <c r="D5" s="7" t="s">
        <v>1566</v>
      </c>
      <c r="E5" s="7" t="s">
        <v>1567</v>
      </c>
      <c r="F5" s="7" t="s">
        <v>1568</v>
      </c>
      <c r="G5" s="7" t="s">
        <v>1569</v>
      </c>
      <c r="H5" s="7" t="s">
        <v>1570</v>
      </c>
      <c r="I5" s="7" t="s">
        <v>1571</v>
      </c>
      <c r="J5" s="7" t="s">
        <v>1572</v>
      </c>
      <c r="K5" s="7" t="s">
        <v>37</v>
      </c>
      <c r="L5" s="7" t="s">
        <v>1573</v>
      </c>
      <c r="M5" s="7" t="s">
        <v>1574</v>
      </c>
      <c r="N5" s="7" t="s">
        <v>1575</v>
      </c>
      <c r="O5" s="7" t="s">
        <v>1576</v>
      </c>
      <c r="P5" s="7" t="s">
        <v>1577</v>
      </c>
      <c r="Q5" s="7" t="s">
        <v>1578</v>
      </c>
      <c r="R5" s="7" t="s">
        <v>1579</v>
      </c>
      <c r="S5" s="7" t="s">
        <v>1580</v>
      </c>
      <c r="T5" s="7" t="s">
        <v>1581</v>
      </c>
      <c r="U5" s="7" t="s">
        <v>1582</v>
      </c>
      <c r="V5" s="7" t="s">
        <v>1583</v>
      </c>
      <c r="W5" s="7" t="s">
        <v>1584</v>
      </c>
      <c r="X5" s="7" t="s">
        <v>1585</v>
      </c>
      <c r="Y5" s="7" t="s">
        <v>36</v>
      </c>
      <c r="Z5" s="7" t="s">
        <v>1586</v>
      </c>
      <c r="AA5" s="7" t="s">
        <v>1587</v>
      </c>
      <c r="AB5" s="7" t="s">
        <v>51</v>
      </c>
      <c r="AC5" s="7" t="s">
        <v>54</v>
      </c>
      <c r="AD5" s="7" t="s">
        <v>668</v>
      </c>
      <c r="AE5" s="7" t="s">
        <v>1588</v>
      </c>
    </row>
    <row r="6" customFormat="false" ht="14.25" hidden="false" customHeight="false" outlineLevel="0" collapsed="false">
      <c r="A6" s="61" t="n">
        <v>1846</v>
      </c>
      <c r="B6" s="50" t="n">
        <f aca="false">'Navy plan'!B6</f>
        <v>0</v>
      </c>
      <c r="C6" s="50" t="n">
        <f aca="false">'Navy plan'!C6</f>
        <v>0</v>
      </c>
      <c r="D6" s="50" t="n">
        <f aca="false">'Navy plan'!D6</f>
        <v>0</v>
      </c>
      <c r="E6" s="50" t="n">
        <f aca="false">'Navy plan'!E6</f>
        <v>0</v>
      </c>
      <c r="F6" s="50" t="n">
        <f aca="false">'Navy plan'!F6</f>
        <v>0</v>
      </c>
      <c r="G6" s="50" t="n">
        <f aca="false">'Navy plan'!G6</f>
        <v>0</v>
      </c>
      <c r="H6" s="50" t="n">
        <f aca="false">'Navy plan'!H6</f>
        <v>0</v>
      </c>
      <c r="I6" s="50" t="n">
        <f aca="false">'Navy plan'!I6</f>
        <v>0</v>
      </c>
      <c r="J6" s="50" t="n">
        <f aca="false">'Navy plan'!J6</f>
        <v>0</v>
      </c>
      <c r="K6" s="50" t="n">
        <f aca="false">SUM(B6:J6)</f>
        <v>0</v>
      </c>
      <c r="L6" s="56" t="n">
        <f aca="false">0.5*SUMPRODUCT('Navy plan'!B6:J6,'Navy plan'!K6:S6)+0.5*SUMPRODUCT('Navy plan'!B7:J7,'Navy plan'!K7:S7)</f>
        <v>0</v>
      </c>
      <c r="M6" s="50" t="n">
        <f aca="false">SUMPRODUCT(B6:J6,Levers!$C$192:$K$192)</f>
        <v>0</v>
      </c>
      <c r="N6" s="50" t="n">
        <f aca="false">SUMPRODUCT(B6:J6,Levers!$C$195:$K$195)</f>
        <v>0</v>
      </c>
      <c r="O6" s="50"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50" t="n">
        <f aca="false">AA6+'Navy plan'!T6</f>
        <v>0</v>
      </c>
      <c r="AC6" s="65" t="n">
        <f aca="false">'Navy plan'!U6</f>
        <v>0</v>
      </c>
      <c r="AD6" s="65" t="n">
        <f aca="false">'Navy plan'!V6</f>
        <v>0</v>
      </c>
      <c r="AE6" s="70" t="n">
        <f aca="false">IF(AC6&gt;0,AB6/AC6,0)</f>
        <v>0</v>
      </c>
    </row>
    <row r="7" customFormat="false" ht="14.25" hidden="false" customHeight="false" outlineLevel="0" collapsed="false">
      <c r="A7" s="61" t="n">
        <v>1847</v>
      </c>
      <c r="B7" s="50" t="n">
        <f aca="false">B6+'Navy plan'!B7-IF($A7-Levers!$C$191&gt;=1846,INDEX('Navy plan'!B$6:B$92,$A7-1845-Levers!$C$191),0)</f>
        <v>0</v>
      </c>
      <c r="C7" s="50" t="n">
        <f aca="false">C6+'Navy plan'!C7-IF($A7-Levers!$D$191&gt;=1846,INDEX('Navy plan'!C$6:C$92,$A7-1845-Levers!$D$191),0)</f>
        <v>0</v>
      </c>
      <c r="D7" s="50" t="n">
        <f aca="false">D6+'Navy plan'!D7-IF($A7-Levers!$E$191&gt;=1846,INDEX('Navy plan'!D$6:D$92,$A7-1845-Levers!$E$191),0)</f>
        <v>0</v>
      </c>
      <c r="E7" s="50" t="n">
        <f aca="false">E6+'Navy plan'!E7-IF($A7-Levers!$F$191&gt;=1846,INDEX('Navy plan'!E$6:E$92,$A7-1845-Levers!$F$191),0)</f>
        <v>0</v>
      </c>
      <c r="F7" s="50" t="n">
        <f aca="false">F6+'Navy plan'!F7-IF($A7-Levers!$G$191&gt;=1846,INDEX('Navy plan'!F$6:F$92,$A7-1845-Levers!$G$191),0)</f>
        <v>0</v>
      </c>
      <c r="G7" s="50" t="n">
        <f aca="false">G6+'Navy plan'!G7-IF($A7-Levers!$H$191&gt;=1846,INDEX('Navy plan'!G$6:G$92,$A7-1845-Levers!$H$191),0)</f>
        <v>0</v>
      </c>
      <c r="H7" s="50" t="n">
        <f aca="false">H6+'Navy plan'!H7-IF($A7-Levers!$I$191&gt;=1846,INDEX('Navy plan'!H$6:H$92,$A7-1845-Levers!$I$191),0)</f>
        <v>0</v>
      </c>
      <c r="I7" s="50" t="n">
        <f aca="false">I6+'Navy plan'!I7-IF($A7-Levers!$J$191&gt;=1846,INDEX('Navy plan'!I$6:I$92,$A7-1845-Levers!$J$191),0)</f>
        <v>0</v>
      </c>
      <c r="J7" s="50" t="n">
        <f aca="false">J6+'Navy plan'!J7-IF($A7-Levers!$K$191&gt;=1846,INDEX('Navy plan'!J$6:J$92,$A7-1845-Levers!$K$191),0)</f>
        <v>0</v>
      </c>
      <c r="K7" s="50" t="n">
        <f aca="false">SUM(B7:J7)</f>
        <v>0</v>
      </c>
      <c r="L7" s="56" t="n">
        <f aca="false">0.5*SUMPRODUCT('Navy plan'!B7:J7,'Navy plan'!K7:S7)+0.5*SUMPRODUCT('Navy plan'!B8:J8,'Navy plan'!K8:S8)</f>
        <v>0</v>
      </c>
      <c r="M7" s="50" t="n">
        <f aca="false">SUMPRODUCT(B7:J7,Levers!$C$192:$K$192)</f>
        <v>0</v>
      </c>
      <c r="N7" s="50" t="n">
        <f aca="false">SUMPRODUCT(B7:J7,Levers!$C$195:$K$195)</f>
        <v>0</v>
      </c>
      <c r="O7" s="50"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50" t="n">
        <f aca="false">AA7+'Navy plan'!T7</f>
        <v>0</v>
      </c>
      <c r="AC7" s="65" t="n">
        <f aca="false">'Navy plan'!U7</f>
        <v>0</v>
      </c>
      <c r="AD7" s="65" t="n">
        <f aca="false">'Navy plan'!V7</f>
        <v>0</v>
      </c>
      <c r="AE7" s="70" t="n">
        <f aca="false">IF(AC7&gt;0,AB7/AC7,0)</f>
        <v>0</v>
      </c>
    </row>
    <row r="8" customFormat="false" ht="14.25" hidden="false" customHeight="false" outlineLevel="0" collapsed="false">
      <c r="A8" s="61" t="n">
        <v>1848</v>
      </c>
      <c r="B8" s="50" t="n">
        <f aca="false">B7+'Navy plan'!B8-IF($A8-Levers!$C$191&gt;=1846,INDEX('Navy plan'!B$6:B$92,$A8-1845-Levers!$C$191),0)</f>
        <v>0</v>
      </c>
      <c r="C8" s="50" t="n">
        <f aca="false">C7+'Navy plan'!C8-IF($A8-Levers!$D$191&gt;=1846,INDEX('Navy plan'!C$6:C$92,$A8-1845-Levers!$D$191),0)</f>
        <v>0</v>
      </c>
      <c r="D8" s="50" t="n">
        <f aca="false">D7+'Navy plan'!D8-IF($A8-Levers!$E$191&gt;=1846,INDEX('Navy plan'!D$6:D$92,$A8-1845-Levers!$E$191),0)</f>
        <v>0</v>
      </c>
      <c r="E8" s="50" t="n">
        <f aca="false">E7+'Navy plan'!E8-IF($A8-Levers!$F$191&gt;=1846,INDEX('Navy plan'!E$6:E$92,$A8-1845-Levers!$F$191),0)</f>
        <v>0</v>
      </c>
      <c r="F8" s="50" t="n">
        <f aca="false">F7+'Navy plan'!F8-IF($A8-Levers!$G$191&gt;=1846,INDEX('Navy plan'!F$6:F$92,$A8-1845-Levers!$G$191),0)</f>
        <v>0</v>
      </c>
      <c r="G8" s="50" t="n">
        <f aca="false">G7+'Navy plan'!G8-IF($A8-Levers!$H$191&gt;=1846,INDEX('Navy plan'!G$6:G$92,$A8-1845-Levers!$H$191),0)</f>
        <v>0</v>
      </c>
      <c r="H8" s="50" t="n">
        <f aca="false">H7+'Navy plan'!H8-IF($A8-Levers!$I$191&gt;=1846,INDEX('Navy plan'!H$6:H$92,$A8-1845-Levers!$I$191),0)</f>
        <v>0</v>
      </c>
      <c r="I8" s="50" t="n">
        <f aca="false">I7+'Navy plan'!I8-IF($A8-Levers!$J$191&gt;=1846,INDEX('Navy plan'!I$6:I$92,$A8-1845-Levers!$J$191),0)</f>
        <v>0</v>
      </c>
      <c r="J8" s="50" t="n">
        <f aca="false">J7+'Navy plan'!J8-IF($A8-Levers!$K$191&gt;=1846,INDEX('Navy plan'!J$6:J$92,$A8-1845-Levers!$K$191),0)</f>
        <v>0</v>
      </c>
      <c r="K8" s="50" t="n">
        <f aca="false">SUM(B8:J8)</f>
        <v>0</v>
      </c>
      <c r="L8" s="56" t="n">
        <f aca="false">0.5*SUMPRODUCT('Navy plan'!B8:J8,'Navy plan'!K8:S8)+0.5*SUMPRODUCT('Navy plan'!B9:J9,'Navy plan'!K9:S9)</f>
        <v>0</v>
      </c>
      <c r="M8" s="50" t="n">
        <f aca="false">SUMPRODUCT(B8:J8,Levers!$C$192:$K$192)</f>
        <v>0</v>
      </c>
      <c r="N8" s="50" t="n">
        <f aca="false">SUMPRODUCT(B8:J8,Levers!$C$195:$K$195)</f>
        <v>0</v>
      </c>
      <c r="O8" s="50"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50" t="n">
        <f aca="false">AA8+'Navy plan'!T8</f>
        <v>0</v>
      </c>
      <c r="AC8" s="65" t="n">
        <f aca="false">'Navy plan'!U8</f>
        <v>0</v>
      </c>
      <c r="AD8" s="65" t="n">
        <f aca="false">'Navy plan'!V8</f>
        <v>0</v>
      </c>
      <c r="AE8" s="70" t="n">
        <f aca="false">IF(AC8&gt;0,AB8/AC8,0)</f>
        <v>0</v>
      </c>
    </row>
    <row r="9" customFormat="false" ht="14.25" hidden="false" customHeight="false" outlineLevel="0" collapsed="false">
      <c r="A9" s="61" t="n">
        <v>1849</v>
      </c>
      <c r="B9" s="50" t="n">
        <f aca="false">B8+'Navy plan'!B9-IF($A9-Levers!$C$191&gt;=1846,INDEX('Navy plan'!B$6:B$92,$A9-1845-Levers!$C$191),0)</f>
        <v>0</v>
      </c>
      <c r="C9" s="50" t="n">
        <f aca="false">C8+'Navy plan'!C9-IF($A9-Levers!$D$191&gt;=1846,INDEX('Navy plan'!C$6:C$92,$A9-1845-Levers!$D$191),0)</f>
        <v>0</v>
      </c>
      <c r="D9" s="50" t="n">
        <f aca="false">D8+'Navy plan'!D9-IF($A9-Levers!$E$191&gt;=1846,INDEX('Navy plan'!D$6:D$92,$A9-1845-Levers!$E$191),0)</f>
        <v>0</v>
      </c>
      <c r="E9" s="50" t="n">
        <f aca="false">E8+'Navy plan'!E9-IF($A9-Levers!$F$191&gt;=1846,INDEX('Navy plan'!E$6:E$92,$A9-1845-Levers!$F$191),0)</f>
        <v>0</v>
      </c>
      <c r="F9" s="50" t="n">
        <f aca="false">F8+'Navy plan'!F9-IF($A9-Levers!$G$191&gt;=1846,INDEX('Navy plan'!F$6:F$92,$A9-1845-Levers!$G$191),0)</f>
        <v>0</v>
      </c>
      <c r="G9" s="50" t="n">
        <f aca="false">G8+'Navy plan'!G9-IF($A9-Levers!$H$191&gt;=1846,INDEX('Navy plan'!G$6:G$92,$A9-1845-Levers!$H$191),0)</f>
        <v>0</v>
      </c>
      <c r="H9" s="50" t="n">
        <f aca="false">H8+'Navy plan'!H9-IF($A9-Levers!$I$191&gt;=1846,INDEX('Navy plan'!H$6:H$92,$A9-1845-Levers!$I$191),0)</f>
        <v>0</v>
      </c>
      <c r="I9" s="50" t="n">
        <f aca="false">I8+'Navy plan'!I9-IF($A9-Levers!$J$191&gt;=1846,INDEX('Navy plan'!I$6:I$92,$A9-1845-Levers!$J$191),0)</f>
        <v>0</v>
      </c>
      <c r="J9" s="50" t="n">
        <f aca="false">J8+'Navy plan'!J9-IF($A9-Levers!$K$191&gt;=1846,INDEX('Navy plan'!J$6:J$92,$A9-1845-Levers!$K$191),0)</f>
        <v>0</v>
      </c>
      <c r="K9" s="50" t="n">
        <f aca="false">SUM(B9:J9)</f>
        <v>0</v>
      </c>
      <c r="L9" s="56" t="n">
        <f aca="false">0.5*SUMPRODUCT('Navy plan'!B9:J9,'Navy plan'!K9:S9)+0.5*SUMPRODUCT('Navy plan'!B10:J10,'Navy plan'!K10:S10)</f>
        <v>0</v>
      </c>
      <c r="M9" s="50" t="n">
        <f aca="false">SUMPRODUCT(B9:J9,Levers!$C$192:$K$192)</f>
        <v>0</v>
      </c>
      <c r="N9" s="50" t="n">
        <f aca="false">SUMPRODUCT(B9:J9,Levers!$C$195:$K$195)</f>
        <v>0</v>
      </c>
      <c r="O9" s="50"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50" t="n">
        <f aca="false">AA9+'Navy plan'!T9</f>
        <v>0</v>
      </c>
      <c r="AC9" s="65" t="n">
        <f aca="false">'Navy plan'!U9</f>
        <v>0</v>
      </c>
      <c r="AD9" s="65" t="n">
        <f aca="false">'Navy plan'!V9</f>
        <v>0</v>
      </c>
      <c r="AE9" s="70" t="n">
        <f aca="false">IF(AC9&gt;0,AB9/AC9,0)</f>
        <v>0</v>
      </c>
    </row>
    <row r="10" customFormat="false" ht="14.25" hidden="false" customHeight="false" outlineLevel="0" collapsed="false">
      <c r="A10" s="61" t="n">
        <v>1850</v>
      </c>
      <c r="B10" s="50" t="n">
        <f aca="false">B9+'Navy plan'!B10-IF($A10-Levers!$C$191&gt;=1846,INDEX('Navy plan'!B$6:B$92,$A10-1845-Levers!$C$191),0)</f>
        <v>0</v>
      </c>
      <c r="C10" s="50" t="n">
        <f aca="false">C9+'Navy plan'!C10-IF($A10-Levers!$D$191&gt;=1846,INDEX('Navy plan'!C$6:C$92,$A10-1845-Levers!$D$191),0)</f>
        <v>0</v>
      </c>
      <c r="D10" s="50" t="n">
        <f aca="false">D9+'Navy plan'!D10-IF($A10-Levers!$E$191&gt;=1846,INDEX('Navy plan'!D$6:D$92,$A10-1845-Levers!$E$191),0)</f>
        <v>0</v>
      </c>
      <c r="E10" s="50" t="n">
        <f aca="false">E9+'Navy plan'!E10-IF($A10-Levers!$F$191&gt;=1846,INDEX('Navy plan'!E$6:E$92,$A10-1845-Levers!$F$191),0)</f>
        <v>0</v>
      </c>
      <c r="F10" s="50" t="n">
        <f aca="false">F9+'Navy plan'!F10-IF($A10-Levers!$G$191&gt;=1846,INDEX('Navy plan'!F$6:F$92,$A10-1845-Levers!$G$191),0)</f>
        <v>0</v>
      </c>
      <c r="G10" s="50" t="n">
        <f aca="false">G9+'Navy plan'!G10-IF($A10-Levers!$H$191&gt;=1846,INDEX('Navy plan'!G$6:G$92,$A10-1845-Levers!$H$191),0)</f>
        <v>0</v>
      </c>
      <c r="H10" s="50" t="n">
        <f aca="false">H9+'Navy plan'!H10-IF($A10-Levers!$I$191&gt;=1846,INDEX('Navy plan'!H$6:H$92,$A10-1845-Levers!$I$191),0)</f>
        <v>0</v>
      </c>
      <c r="I10" s="50" t="n">
        <f aca="false">I9+'Navy plan'!I10-IF($A10-Levers!$J$191&gt;=1846,INDEX('Navy plan'!I$6:I$92,$A10-1845-Levers!$J$191),0)</f>
        <v>0</v>
      </c>
      <c r="J10" s="50" t="n">
        <f aca="false">J9+'Navy plan'!J10-IF($A10-Levers!$K$191&gt;=1846,INDEX('Navy plan'!J$6:J$92,$A10-1845-Levers!$K$191),0)</f>
        <v>0</v>
      </c>
      <c r="K10" s="50" t="n">
        <f aca="false">SUM(B10:J10)</f>
        <v>0</v>
      </c>
      <c r="L10" s="56" t="n">
        <f aca="false">0.5*SUMPRODUCT('Navy plan'!B10:J10,'Navy plan'!K10:S10)+0.5*SUMPRODUCT('Navy plan'!B11:J11,'Navy plan'!K11:S11)</f>
        <v>0</v>
      </c>
      <c r="M10" s="50" t="n">
        <f aca="false">SUMPRODUCT(B10:J10,Levers!$C$192:$K$192)</f>
        <v>0</v>
      </c>
      <c r="N10" s="50" t="n">
        <f aca="false">SUMPRODUCT(B10:J10,Levers!$C$195:$K$195)</f>
        <v>0</v>
      </c>
      <c r="O10" s="50"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50" t="n">
        <f aca="false">AA10+'Navy plan'!T10</f>
        <v>0</v>
      </c>
      <c r="AC10" s="65" t="n">
        <f aca="false">'Navy plan'!U10</f>
        <v>0</v>
      </c>
      <c r="AD10" s="65" t="n">
        <f aca="false">'Navy plan'!V10</f>
        <v>0</v>
      </c>
      <c r="AE10" s="70" t="n">
        <f aca="false">IF(AC10&gt;0,AB10/AC10,0)</f>
        <v>0</v>
      </c>
    </row>
    <row r="11" customFormat="false" ht="14.25" hidden="false" customHeight="false" outlineLevel="0" collapsed="false">
      <c r="A11" s="61" t="n">
        <v>1851</v>
      </c>
      <c r="B11" s="50" t="n">
        <f aca="false">B10+'Navy plan'!B11-IF($A11-Levers!$C$191&gt;=1846,INDEX('Navy plan'!B$6:B$92,$A11-1845-Levers!$C$191),0)</f>
        <v>0</v>
      </c>
      <c r="C11" s="50" t="n">
        <f aca="false">C10+'Navy plan'!C11-IF($A11-Levers!$D$191&gt;=1846,INDEX('Navy plan'!C$6:C$92,$A11-1845-Levers!$D$191),0)</f>
        <v>0</v>
      </c>
      <c r="D11" s="50" t="n">
        <f aca="false">D10+'Navy plan'!D11-IF($A11-Levers!$E$191&gt;=1846,INDEX('Navy plan'!D$6:D$92,$A11-1845-Levers!$E$191),0)</f>
        <v>0</v>
      </c>
      <c r="E11" s="50" t="n">
        <f aca="false">E10+'Navy plan'!E11-IF($A11-Levers!$F$191&gt;=1846,INDEX('Navy plan'!E$6:E$92,$A11-1845-Levers!$F$191),0)</f>
        <v>0</v>
      </c>
      <c r="F11" s="50" t="n">
        <f aca="false">F10+'Navy plan'!F11-IF($A11-Levers!$G$191&gt;=1846,INDEX('Navy plan'!F$6:F$92,$A11-1845-Levers!$G$191),0)</f>
        <v>0</v>
      </c>
      <c r="G11" s="50" t="n">
        <f aca="false">G10+'Navy plan'!G11-IF($A11-Levers!$H$191&gt;=1846,INDEX('Navy plan'!G$6:G$92,$A11-1845-Levers!$H$191),0)</f>
        <v>0</v>
      </c>
      <c r="H11" s="50" t="n">
        <f aca="false">H10+'Navy plan'!H11-IF($A11-Levers!$I$191&gt;=1846,INDEX('Navy plan'!H$6:H$92,$A11-1845-Levers!$I$191),0)</f>
        <v>0</v>
      </c>
      <c r="I11" s="50" t="n">
        <f aca="false">I10+'Navy plan'!I11-IF($A11-Levers!$J$191&gt;=1846,INDEX('Navy plan'!I$6:I$92,$A11-1845-Levers!$J$191),0)</f>
        <v>0</v>
      </c>
      <c r="J11" s="50" t="n">
        <f aca="false">J10+'Navy plan'!J11-IF($A11-Levers!$K$191&gt;=1846,INDEX('Navy plan'!J$6:J$92,$A11-1845-Levers!$K$191),0)</f>
        <v>0</v>
      </c>
      <c r="K11" s="50" t="n">
        <f aca="false">SUM(B11:J11)</f>
        <v>0</v>
      </c>
      <c r="L11" s="56" t="n">
        <f aca="false">0.5*SUMPRODUCT('Navy plan'!B11:J11,'Navy plan'!K11:S11)+0.5*SUMPRODUCT('Navy plan'!B12:J12,'Navy plan'!K12:S12)</f>
        <v>0.21</v>
      </c>
      <c r="M11" s="50" t="n">
        <f aca="false">SUMPRODUCT(B11:J11,Levers!$C$192:$K$192)</f>
        <v>0</v>
      </c>
      <c r="N11" s="50" t="n">
        <f aca="false">SUMPRODUCT(B11:J11,Levers!$C$195:$K$195)</f>
        <v>0</v>
      </c>
      <c r="O11" s="50"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50" t="n">
        <f aca="false">AA11+'Navy plan'!T11</f>
        <v>0</v>
      </c>
      <c r="AC11" s="65" t="n">
        <f aca="false">'Navy plan'!U11</f>
        <v>0</v>
      </c>
      <c r="AD11" s="65" t="n">
        <f aca="false">'Navy plan'!V11</f>
        <v>0</v>
      </c>
      <c r="AE11" s="70" t="n">
        <f aca="false">IF(AC11&gt;0,AB11/AC11,0)</f>
        <v>0</v>
      </c>
    </row>
    <row r="12" customFormat="false" ht="14.25" hidden="false" customHeight="false" outlineLevel="0" collapsed="false">
      <c r="A12" s="61" t="n">
        <v>1852</v>
      </c>
      <c r="B12" s="50" t="n">
        <f aca="false">B11+'Navy plan'!B12-IF($A12-Levers!$C$191&gt;=1846,INDEX('Navy plan'!B$6:B$92,$A12-1845-Levers!$C$191),0)</f>
        <v>0</v>
      </c>
      <c r="C12" s="50" t="n">
        <f aca="false">C11+'Navy plan'!C12-IF($A12-Levers!$D$191&gt;=1846,INDEX('Navy plan'!C$6:C$92,$A12-1845-Levers!$D$191),0)</f>
        <v>1</v>
      </c>
      <c r="D12" s="50" t="n">
        <f aca="false">D11+'Navy plan'!D12-IF($A12-Levers!$E$191&gt;=1846,INDEX('Navy plan'!D$6:D$92,$A12-1845-Levers!$E$191),0)</f>
        <v>0</v>
      </c>
      <c r="E12" s="50" t="n">
        <f aca="false">E11+'Navy plan'!E12-IF($A12-Levers!$F$191&gt;=1846,INDEX('Navy plan'!E$6:E$92,$A12-1845-Levers!$F$191),0)</f>
        <v>0</v>
      </c>
      <c r="F12" s="50" t="n">
        <f aca="false">F11+'Navy plan'!F12-IF($A12-Levers!$G$191&gt;=1846,INDEX('Navy plan'!F$6:F$92,$A12-1845-Levers!$G$191),0)</f>
        <v>0</v>
      </c>
      <c r="G12" s="50" t="n">
        <f aca="false">G11+'Navy plan'!G12-IF($A12-Levers!$H$191&gt;=1846,INDEX('Navy plan'!G$6:G$92,$A12-1845-Levers!$H$191),0)</f>
        <v>0</v>
      </c>
      <c r="H12" s="50" t="n">
        <f aca="false">H11+'Navy plan'!H12-IF($A12-Levers!$I$191&gt;=1846,INDEX('Navy plan'!H$6:H$92,$A12-1845-Levers!$I$191),0)</f>
        <v>0</v>
      </c>
      <c r="I12" s="50" t="n">
        <f aca="false">I11+'Navy plan'!I12-IF($A12-Levers!$J$191&gt;=1846,INDEX('Navy plan'!I$6:I$92,$A12-1845-Levers!$J$191),0)</f>
        <v>0</v>
      </c>
      <c r="J12" s="50" t="n">
        <f aca="false">J11+'Navy plan'!J12-IF($A12-Levers!$K$191&gt;=1846,INDEX('Navy plan'!J$6:J$92,$A12-1845-Levers!$K$191),0)</f>
        <v>0</v>
      </c>
      <c r="K12" s="50" t="n">
        <f aca="false">SUM(B12:J12)</f>
        <v>1</v>
      </c>
      <c r="L12" s="56" t="n">
        <f aca="false">0.5*SUMPRODUCT('Navy plan'!B12:J12,'Navy plan'!K12:S12)+0.5*SUMPRODUCT('Navy plan'!B13:J13,'Navy plan'!K13:S13)</f>
        <v>0.21</v>
      </c>
      <c r="M12" s="50" t="n">
        <f aca="false">SUMPRODUCT(B12:J12,Levers!$C$192:$K$192)</f>
        <v>250</v>
      </c>
      <c r="N12" s="50" t="n">
        <f aca="false">SUMPRODUCT(B12:J12,Levers!$C$195:$K$195)</f>
        <v>250</v>
      </c>
      <c r="O12" s="50"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50" t="n">
        <f aca="false">AA12+'Navy plan'!T12</f>
        <v>0</v>
      </c>
      <c r="AC12" s="65" t="n">
        <f aca="false">'Navy plan'!U12</f>
        <v>0</v>
      </c>
      <c r="AD12" s="65" t="n">
        <f aca="false">'Navy plan'!V12</f>
        <v>0</v>
      </c>
      <c r="AE12" s="70" t="n">
        <f aca="false">IF(AC12&gt;0,AB12/AC12,0)</f>
        <v>0</v>
      </c>
    </row>
    <row r="13" customFormat="false" ht="14.25" hidden="false" customHeight="false" outlineLevel="0" collapsed="false">
      <c r="A13" s="61" t="n">
        <v>1853</v>
      </c>
      <c r="B13" s="50" t="n">
        <f aca="false">B12+'Navy plan'!B13-IF($A13-Levers!$C$191&gt;=1846,INDEX('Navy plan'!B$6:B$92,$A13-1845-Levers!$C$191),0)</f>
        <v>0</v>
      </c>
      <c r="C13" s="50" t="n">
        <f aca="false">C12+'Navy plan'!C13-IF($A13-Levers!$D$191&gt;=1846,INDEX('Navy plan'!C$6:C$92,$A13-1845-Levers!$D$191),0)</f>
        <v>1</v>
      </c>
      <c r="D13" s="50" t="n">
        <f aca="false">D12+'Navy plan'!D13-IF($A13-Levers!$E$191&gt;=1846,INDEX('Navy plan'!D$6:D$92,$A13-1845-Levers!$E$191),0)</f>
        <v>0</v>
      </c>
      <c r="E13" s="50" t="n">
        <f aca="false">E12+'Navy plan'!E13-IF($A13-Levers!$F$191&gt;=1846,INDEX('Navy plan'!E$6:E$92,$A13-1845-Levers!$F$191),0)</f>
        <v>0</v>
      </c>
      <c r="F13" s="50" t="n">
        <f aca="false">F12+'Navy plan'!F13-IF($A13-Levers!$G$191&gt;=1846,INDEX('Navy plan'!F$6:F$92,$A13-1845-Levers!$G$191),0)</f>
        <v>0</v>
      </c>
      <c r="G13" s="50" t="n">
        <f aca="false">G12+'Navy plan'!G13-IF($A13-Levers!$H$191&gt;=1846,INDEX('Navy plan'!G$6:G$92,$A13-1845-Levers!$H$191),0)</f>
        <v>0</v>
      </c>
      <c r="H13" s="50" t="n">
        <f aca="false">H12+'Navy plan'!H13-IF($A13-Levers!$I$191&gt;=1846,INDEX('Navy plan'!H$6:H$92,$A13-1845-Levers!$I$191),0)</f>
        <v>0</v>
      </c>
      <c r="I13" s="50" t="n">
        <f aca="false">I12+'Navy plan'!I13-IF($A13-Levers!$J$191&gt;=1846,INDEX('Navy plan'!I$6:I$92,$A13-1845-Levers!$J$191),0)</f>
        <v>0</v>
      </c>
      <c r="J13" s="50" t="n">
        <f aca="false">J12+'Navy plan'!J13-IF($A13-Levers!$K$191&gt;=1846,INDEX('Navy plan'!J$6:J$92,$A13-1845-Levers!$K$191),0)</f>
        <v>0</v>
      </c>
      <c r="K13" s="50" t="n">
        <f aca="false">SUM(B13:J13)</f>
        <v>1</v>
      </c>
      <c r="L13" s="56" t="n">
        <f aca="false">0.5*SUMPRODUCT('Navy plan'!B13:J13,'Navy plan'!K13:S13)+0.5*SUMPRODUCT('Navy plan'!B14:J14,'Navy plan'!K14:S14)</f>
        <v>0</v>
      </c>
      <c r="M13" s="50" t="n">
        <f aca="false">SUMPRODUCT(B13:J13,Levers!$C$192:$K$192)</f>
        <v>250</v>
      </c>
      <c r="N13" s="50" t="n">
        <f aca="false">SUMPRODUCT(B13:J13,Levers!$C$195:$K$195)</f>
        <v>250</v>
      </c>
      <c r="O13" s="50"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50" t="n">
        <f aca="false">AA13+'Navy plan'!T13</f>
        <v>0</v>
      </c>
      <c r="AC13" s="65" t="n">
        <f aca="false">'Navy plan'!U13</f>
        <v>0</v>
      </c>
      <c r="AD13" s="65" t="n">
        <f aca="false">'Navy plan'!V13</f>
        <v>0</v>
      </c>
      <c r="AE13" s="70" t="n">
        <f aca="false">IF(AC13&gt;0,AB13/AC13,0)</f>
        <v>0</v>
      </c>
    </row>
    <row r="14" customFormat="false" ht="14.25" hidden="false" customHeight="false" outlineLevel="0" collapsed="false">
      <c r="A14" s="61" t="n">
        <v>1854</v>
      </c>
      <c r="B14" s="50" t="n">
        <f aca="false">B13+'Navy plan'!B14-IF($A14-Levers!$C$191&gt;=1846,INDEX('Navy plan'!B$6:B$92,$A14-1845-Levers!$C$191),0)</f>
        <v>0</v>
      </c>
      <c r="C14" s="50" t="n">
        <f aca="false">C13+'Navy plan'!C14-IF($A14-Levers!$D$191&gt;=1846,INDEX('Navy plan'!C$6:C$92,$A14-1845-Levers!$D$191),0)</f>
        <v>1</v>
      </c>
      <c r="D14" s="50" t="n">
        <f aca="false">D13+'Navy plan'!D14-IF($A14-Levers!$E$191&gt;=1846,INDEX('Navy plan'!D$6:D$92,$A14-1845-Levers!$E$191),0)</f>
        <v>0</v>
      </c>
      <c r="E14" s="50" t="n">
        <f aca="false">E13+'Navy plan'!E14-IF($A14-Levers!$F$191&gt;=1846,INDEX('Navy plan'!E$6:E$92,$A14-1845-Levers!$F$191),0)</f>
        <v>0</v>
      </c>
      <c r="F14" s="50" t="n">
        <f aca="false">F13+'Navy plan'!F14-IF($A14-Levers!$G$191&gt;=1846,INDEX('Navy plan'!F$6:F$92,$A14-1845-Levers!$G$191),0)</f>
        <v>0</v>
      </c>
      <c r="G14" s="50" t="n">
        <f aca="false">G13+'Navy plan'!G14-IF($A14-Levers!$H$191&gt;=1846,INDEX('Navy plan'!G$6:G$92,$A14-1845-Levers!$H$191),0)</f>
        <v>0</v>
      </c>
      <c r="H14" s="50" t="n">
        <f aca="false">H13+'Navy plan'!H14-IF($A14-Levers!$I$191&gt;=1846,INDEX('Navy plan'!H$6:H$92,$A14-1845-Levers!$I$191),0)</f>
        <v>0</v>
      </c>
      <c r="I14" s="50" t="n">
        <f aca="false">I13+'Navy plan'!I14-IF($A14-Levers!$J$191&gt;=1846,INDEX('Navy plan'!I$6:I$92,$A14-1845-Levers!$J$191),0)</f>
        <v>0</v>
      </c>
      <c r="J14" s="50" t="n">
        <f aca="false">J13+'Navy plan'!J14-IF($A14-Levers!$K$191&gt;=1846,INDEX('Navy plan'!J$6:J$92,$A14-1845-Levers!$K$191),0)</f>
        <v>0</v>
      </c>
      <c r="K14" s="50" t="n">
        <f aca="false">SUM(B14:J14)</f>
        <v>1</v>
      </c>
      <c r="L14" s="56" t="n">
        <f aca="false">0.5*SUMPRODUCT('Navy plan'!B14:J14,'Navy plan'!K14:S14)+0.5*SUMPRODUCT('Navy plan'!B15:J15,'Navy plan'!K15:S15)</f>
        <v>0.225</v>
      </c>
      <c r="M14" s="50" t="n">
        <f aca="false">SUMPRODUCT(B14:J14,Levers!$C$192:$K$192)</f>
        <v>250</v>
      </c>
      <c r="N14" s="50" t="n">
        <f aca="false">SUMPRODUCT(B14:J14,Levers!$C$195:$K$195)</f>
        <v>250</v>
      </c>
      <c r="O14" s="50"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50" t="n">
        <f aca="false">AA14+'Navy plan'!T14</f>
        <v>0</v>
      </c>
      <c r="AC14" s="65" t="n">
        <f aca="false">'Navy plan'!U14</f>
        <v>0</v>
      </c>
      <c r="AD14" s="65" t="n">
        <f aca="false">'Navy plan'!V14</f>
        <v>0</v>
      </c>
      <c r="AE14" s="70" t="n">
        <f aca="false">IF(AC14&gt;0,AB14/AC14,0)</f>
        <v>0</v>
      </c>
    </row>
    <row r="15" customFormat="false" ht="14.25" hidden="false" customHeight="false" outlineLevel="0" collapsed="false">
      <c r="A15" s="61" t="n">
        <v>1855</v>
      </c>
      <c r="B15" s="50" t="n">
        <f aca="false">B14+'Navy plan'!B15-IF($A15-Levers!$C$191&gt;=1846,INDEX('Navy plan'!B$6:B$92,$A15-1845-Levers!$C$191),0)</f>
        <v>0</v>
      </c>
      <c r="C15" s="50" t="n">
        <f aca="false">C14+'Navy plan'!C15-IF($A15-Levers!$D$191&gt;=1846,INDEX('Navy plan'!C$6:C$92,$A15-1845-Levers!$D$191),0)</f>
        <v>2</v>
      </c>
      <c r="D15" s="50" t="n">
        <f aca="false">D14+'Navy plan'!D15-IF($A15-Levers!$E$191&gt;=1846,INDEX('Navy plan'!D$6:D$92,$A15-1845-Levers!$E$191),0)</f>
        <v>0</v>
      </c>
      <c r="E15" s="50" t="n">
        <f aca="false">E14+'Navy plan'!E15-IF($A15-Levers!$F$191&gt;=1846,INDEX('Navy plan'!E$6:E$92,$A15-1845-Levers!$F$191),0)</f>
        <v>0</v>
      </c>
      <c r="F15" s="50" t="n">
        <f aca="false">F14+'Navy plan'!F15-IF($A15-Levers!$G$191&gt;=1846,INDEX('Navy plan'!F$6:F$92,$A15-1845-Levers!$G$191),0)</f>
        <v>0</v>
      </c>
      <c r="G15" s="50" t="n">
        <f aca="false">G14+'Navy plan'!G15-IF($A15-Levers!$H$191&gt;=1846,INDEX('Navy plan'!G$6:G$92,$A15-1845-Levers!$H$191),0)</f>
        <v>0</v>
      </c>
      <c r="H15" s="50" t="n">
        <f aca="false">H14+'Navy plan'!H15-IF($A15-Levers!$I$191&gt;=1846,INDEX('Navy plan'!H$6:H$92,$A15-1845-Levers!$I$191),0)</f>
        <v>0</v>
      </c>
      <c r="I15" s="50" t="n">
        <f aca="false">I14+'Navy plan'!I15-IF($A15-Levers!$J$191&gt;=1846,INDEX('Navy plan'!I$6:I$92,$A15-1845-Levers!$J$191),0)</f>
        <v>0</v>
      </c>
      <c r="J15" s="50" t="n">
        <f aca="false">J14+'Navy plan'!J15-IF($A15-Levers!$K$191&gt;=1846,INDEX('Navy plan'!J$6:J$92,$A15-1845-Levers!$K$191),0)</f>
        <v>0</v>
      </c>
      <c r="K15" s="50" t="n">
        <f aca="false">SUM(B15:J15)</f>
        <v>2</v>
      </c>
      <c r="L15" s="56" t="n">
        <f aca="false">0.5*SUMPRODUCT('Navy plan'!B15:J15,'Navy plan'!K15:S15)+0.5*SUMPRODUCT('Navy plan'!B16:J16,'Navy plan'!K16:S16)</f>
        <v>0.225</v>
      </c>
      <c r="M15" s="50" t="n">
        <f aca="false">SUMPRODUCT(B15:J15,Levers!$C$192:$K$192)</f>
        <v>500</v>
      </c>
      <c r="N15" s="50" t="n">
        <f aca="false">SUMPRODUCT(B15:J15,Levers!$C$195:$K$195)</f>
        <v>500</v>
      </c>
      <c r="O15" s="50"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50" t="n">
        <f aca="false">AA15+'Navy plan'!T15</f>
        <v>0</v>
      </c>
      <c r="AC15" s="65" t="n">
        <f aca="false">'Navy plan'!U15</f>
        <v>0</v>
      </c>
      <c r="AD15" s="65" t="n">
        <f aca="false">'Navy plan'!V15</f>
        <v>0</v>
      </c>
      <c r="AE15" s="70" t="n">
        <f aca="false">IF(AC15&gt;0,AB15/AC15,0)</f>
        <v>0</v>
      </c>
    </row>
    <row r="16" customFormat="false" ht="14.25" hidden="false" customHeight="false" outlineLevel="0" collapsed="false">
      <c r="A16" s="61" t="n">
        <v>1856</v>
      </c>
      <c r="B16" s="50" t="n">
        <f aca="false">B15+'Navy plan'!B16-IF($A16-Levers!$C$191&gt;=1846,INDEX('Navy plan'!B$6:B$92,$A16-1845-Levers!$C$191),0)</f>
        <v>0</v>
      </c>
      <c r="C16" s="50" t="n">
        <f aca="false">C15+'Navy plan'!C16-IF($A16-Levers!$D$191&gt;=1846,INDEX('Navy plan'!C$6:C$92,$A16-1845-Levers!$D$191),0)</f>
        <v>2</v>
      </c>
      <c r="D16" s="50" t="n">
        <f aca="false">D15+'Navy plan'!D16-IF($A16-Levers!$E$191&gt;=1846,INDEX('Navy plan'!D$6:D$92,$A16-1845-Levers!$E$191),0)</f>
        <v>0</v>
      </c>
      <c r="E16" s="50" t="n">
        <f aca="false">E15+'Navy plan'!E16-IF($A16-Levers!$F$191&gt;=1846,INDEX('Navy plan'!E$6:E$92,$A16-1845-Levers!$F$191),0)</f>
        <v>0</v>
      </c>
      <c r="F16" s="50" t="n">
        <f aca="false">F15+'Navy plan'!F16-IF($A16-Levers!$G$191&gt;=1846,INDEX('Navy plan'!F$6:F$92,$A16-1845-Levers!$G$191),0)</f>
        <v>0</v>
      </c>
      <c r="G16" s="50" t="n">
        <f aca="false">G15+'Navy plan'!G16-IF($A16-Levers!$H$191&gt;=1846,INDEX('Navy plan'!G$6:G$92,$A16-1845-Levers!$H$191),0)</f>
        <v>0</v>
      </c>
      <c r="H16" s="50" t="n">
        <f aca="false">H15+'Navy plan'!H16-IF($A16-Levers!$I$191&gt;=1846,INDEX('Navy plan'!H$6:H$92,$A16-1845-Levers!$I$191),0)</f>
        <v>0</v>
      </c>
      <c r="I16" s="50" t="n">
        <f aca="false">I15+'Navy plan'!I16-IF($A16-Levers!$J$191&gt;=1846,INDEX('Navy plan'!I$6:I$92,$A16-1845-Levers!$J$191),0)</f>
        <v>0</v>
      </c>
      <c r="J16" s="50" t="n">
        <f aca="false">J15+'Navy plan'!J16-IF($A16-Levers!$K$191&gt;=1846,INDEX('Navy plan'!J$6:J$92,$A16-1845-Levers!$K$191),0)</f>
        <v>0</v>
      </c>
      <c r="K16" s="50" t="n">
        <f aca="false">SUM(B16:J16)</f>
        <v>2</v>
      </c>
      <c r="L16" s="56" t="n">
        <f aca="false">0.5*SUMPRODUCT('Navy plan'!B16:J16,'Navy plan'!K16:S16)+0.5*SUMPRODUCT('Navy plan'!B17:J17,'Navy plan'!K17:S17)</f>
        <v>0</v>
      </c>
      <c r="M16" s="50" t="n">
        <f aca="false">SUMPRODUCT(B16:J16,Levers!$C$192:$K$192)</f>
        <v>500</v>
      </c>
      <c r="N16" s="50" t="n">
        <f aca="false">SUMPRODUCT(B16:J16,Levers!$C$195:$K$195)</f>
        <v>500</v>
      </c>
      <c r="O16" s="50"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50" t="n">
        <f aca="false">AA16+'Navy plan'!T16</f>
        <v>0</v>
      </c>
      <c r="AC16" s="65" t="n">
        <f aca="false">'Navy plan'!U16</f>
        <v>0</v>
      </c>
      <c r="AD16" s="65" t="n">
        <f aca="false">'Navy plan'!V16</f>
        <v>0</v>
      </c>
      <c r="AE16" s="70" t="n">
        <f aca="false">IF(AC16&gt;0,AB16/AC16,0)</f>
        <v>0</v>
      </c>
    </row>
    <row r="17" customFormat="false" ht="14.25" hidden="false" customHeight="false" outlineLevel="0" collapsed="false">
      <c r="A17" s="61" t="n">
        <v>1857</v>
      </c>
      <c r="B17" s="50" t="n">
        <f aca="false">B16+'Navy plan'!B17-IF($A17-Levers!$C$191&gt;=1846,INDEX('Navy plan'!B$6:B$92,$A17-1845-Levers!$C$191),0)</f>
        <v>0</v>
      </c>
      <c r="C17" s="50" t="n">
        <f aca="false">C16+'Navy plan'!C17-IF($A17-Levers!$D$191&gt;=1846,INDEX('Navy plan'!C$6:C$92,$A17-1845-Levers!$D$191),0)</f>
        <v>2</v>
      </c>
      <c r="D17" s="50" t="n">
        <f aca="false">D16+'Navy plan'!D17-IF($A17-Levers!$E$191&gt;=1846,INDEX('Navy plan'!D$6:D$92,$A17-1845-Levers!$E$191),0)</f>
        <v>0</v>
      </c>
      <c r="E17" s="50" t="n">
        <f aca="false">E16+'Navy plan'!E17-IF($A17-Levers!$F$191&gt;=1846,INDEX('Navy plan'!E$6:E$92,$A17-1845-Levers!$F$191),0)</f>
        <v>0</v>
      </c>
      <c r="F17" s="50" t="n">
        <f aca="false">F16+'Navy plan'!F17-IF($A17-Levers!$G$191&gt;=1846,INDEX('Navy plan'!F$6:F$92,$A17-1845-Levers!$G$191),0)</f>
        <v>0</v>
      </c>
      <c r="G17" s="50" t="n">
        <f aca="false">G16+'Navy plan'!G17-IF($A17-Levers!$H$191&gt;=1846,INDEX('Navy plan'!G$6:G$92,$A17-1845-Levers!$H$191),0)</f>
        <v>0</v>
      </c>
      <c r="H17" s="50" t="n">
        <f aca="false">H16+'Navy plan'!H17-IF($A17-Levers!$I$191&gt;=1846,INDEX('Navy plan'!H$6:H$92,$A17-1845-Levers!$I$191),0)</f>
        <v>0</v>
      </c>
      <c r="I17" s="50" t="n">
        <f aca="false">I16+'Navy plan'!I17-IF($A17-Levers!$J$191&gt;=1846,INDEX('Navy plan'!I$6:I$92,$A17-1845-Levers!$J$191),0)</f>
        <v>0</v>
      </c>
      <c r="J17" s="50" t="n">
        <f aca="false">J16+'Navy plan'!J17-IF($A17-Levers!$K$191&gt;=1846,INDEX('Navy plan'!J$6:J$92,$A17-1845-Levers!$K$191),0)</f>
        <v>0</v>
      </c>
      <c r="K17" s="50" t="n">
        <f aca="false">SUM(B17:J17)</f>
        <v>2</v>
      </c>
      <c r="L17" s="56" t="n">
        <f aca="false">0.5*SUMPRODUCT('Navy plan'!B17:J17,'Navy plan'!K17:S17)+0.5*SUMPRODUCT('Navy plan'!B18:J18,'Navy plan'!K18:S18)</f>
        <v>0.24</v>
      </c>
      <c r="M17" s="50" t="n">
        <f aca="false">SUMPRODUCT(B17:J17,Levers!$C$192:$K$192)</f>
        <v>500</v>
      </c>
      <c r="N17" s="50" t="n">
        <f aca="false">SUMPRODUCT(B17:J17,Levers!$C$195:$K$195)</f>
        <v>500</v>
      </c>
      <c r="O17" s="50"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50" t="n">
        <f aca="false">AA17+'Navy plan'!T17</f>
        <v>0</v>
      </c>
      <c r="AC17" s="65" t="n">
        <f aca="false">'Navy plan'!U17</f>
        <v>0</v>
      </c>
      <c r="AD17" s="65" t="n">
        <f aca="false">'Navy plan'!V17</f>
        <v>0</v>
      </c>
      <c r="AE17" s="70" t="n">
        <f aca="false">IF(AC17&gt;0,AB17/AC17,0)</f>
        <v>0</v>
      </c>
    </row>
    <row r="18" customFormat="false" ht="14.25" hidden="false" customHeight="false" outlineLevel="0" collapsed="false">
      <c r="A18" s="61" t="n">
        <v>1858</v>
      </c>
      <c r="B18" s="50" t="n">
        <f aca="false">B17+'Navy plan'!B18-IF($A18-Levers!$C$191&gt;=1846,INDEX('Navy plan'!B$6:B$92,$A18-1845-Levers!$C$191),0)</f>
        <v>0</v>
      </c>
      <c r="C18" s="50" t="n">
        <f aca="false">C17+'Navy plan'!C18-IF($A18-Levers!$D$191&gt;=1846,INDEX('Navy plan'!C$6:C$92,$A18-1845-Levers!$D$191),0)</f>
        <v>3</v>
      </c>
      <c r="D18" s="50" t="n">
        <f aca="false">D17+'Navy plan'!D18-IF($A18-Levers!$E$191&gt;=1846,INDEX('Navy plan'!D$6:D$92,$A18-1845-Levers!$E$191),0)</f>
        <v>0</v>
      </c>
      <c r="E18" s="50" t="n">
        <f aca="false">E17+'Navy plan'!E18-IF($A18-Levers!$F$191&gt;=1846,INDEX('Navy plan'!E$6:E$92,$A18-1845-Levers!$F$191),0)</f>
        <v>0</v>
      </c>
      <c r="F18" s="50" t="n">
        <f aca="false">F17+'Navy plan'!F18-IF($A18-Levers!$G$191&gt;=1846,INDEX('Navy plan'!F$6:F$92,$A18-1845-Levers!$G$191),0)</f>
        <v>0</v>
      </c>
      <c r="G18" s="50" t="n">
        <f aca="false">G17+'Navy plan'!G18-IF($A18-Levers!$H$191&gt;=1846,INDEX('Navy plan'!G$6:G$92,$A18-1845-Levers!$H$191),0)</f>
        <v>0</v>
      </c>
      <c r="H18" s="50" t="n">
        <f aca="false">H17+'Navy plan'!H18-IF($A18-Levers!$I$191&gt;=1846,INDEX('Navy plan'!H$6:H$92,$A18-1845-Levers!$I$191),0)</f>
        <v>0</v>
      </c>
      <c r="I18" s="50" t="n">
        <f aca="false">I17+'Navy plan'!I18-IF($A18-Levers!$J$191&gt;=1846,INDEX('Navy plan'!I$6:I$92,$A18-1845-Levers!$J$191),0)</f>
        <v>0</v>
      </c>
      <c r="J18" s="50" t="n">
        <f aca="false">J17+'Navy plan'!J18-IF($A18-Levers!$K$191&gt;=1846,INDEX('Navy plan'!J$6:J$92,$A18-1845-Levers!$K$191),0)</f>
        <v>0</v>
      </c>
      <c r="K18" s="50" t="n">
        <f aca="false">SUM(B18:J18)</f>
        <v>3</v>
      </c>
      <c r="L18" s="56" t="n">
        <f aca="false">0.5*SUMPRODUCT('Navy plan'!B18:J18,'Navy plan'!K18:S18)+0.5*SUMPRODUCT('Navy plan'!B19:J19,'Navy plan'!K19:S19)</f>
        <v>0.24</v>
      </c>
      <c r="M18" s="50" t="n">
        <f aca="false">SUMPRODUCT(B18:J18,Levers!$C$192:$K$192)</f>
        <v>750</v>
      </c>
      <c r="N18" s="50" t="n">
        <f aca="false">SUMPRODUCT(B18:J18,Levers!$C$195:$K$195)</f>
        <v>750</v>
      </c>
      <c r="O18" s="50"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50" t="n">
        <f aca="false">AA18+'Navy plan'!T18</f>
        <v>0</v>
      </c>
      <c r="AC18" s="65" t="n">
        <f aca="false">'Navy plan'!U18</f>
        <v>0</v>
      </c>
      <c r="AD18" s="65" t="n">
        <f aca="false">'Navy plan'!V18</f>
        <v>0</v>
      </c>
      <c r="AE18" s="70" t="n">
        <f aca="false">IF(AC18&gt;0,AB18/AC18,0)</f>
        <v>0</v>
      </c>
    </row>
    <row r="19" customFormat="false" ht="14.25" hidden="false" customHeight="false" outlineLevel="0" collapsed="false">
      <c r="A19" s="61" t="n">
        <v>1859</v>
      </c>
      <c r="B19" s="50" t="n">
        <f aca="false">B18+'Navy plan'!B19-IF($A19-Levers!$C$191&gt;=1846,INDEX('Navy plan'!B$6:B$92,$A19-1845-Levers!$C$191),0)</f>
        <v>0</v>
      </c>
      <c r="C19" s="50" t="n">
        <f aca="false">C18+'Navy plan'!C19-IF($A19-Levers!$D$191&gt;=1846,INDEX('Navy plan'!C$6:C$92,$A19-1845-Levers!$D$191),0)</f>
        <v>3</v>
      </c>
      <c r="D19" s="50" t="n">
        <f aca="false">D18+'Navy plan'!D19-IF($A19-Levers!$E$191&gt;=1846,INDEX('Navy plan'!D$6:D$92,$A19-1845-Levers!$E$191),0)</f>
        <v>0</v>
      </c>
      <c r="E19" s="50" t="n">
        <f aca="false">E18+'Navy plan'!E19-IF($A19-Levers!$F$191&gt;=1846,INDEX('Navy plan'!E$6:E$92,$A19-1845-Levers!$F$191),0)</f>
        <v>0</v>
      </c>
      <c r="F19" s="50" t="n">
        <f aca="false">F18+'Navy plan'!F19-IF($A19-Levers!$G$191&gt;=1846,INDEX('Navy plan'!F$6:F$92,$A19-1845-Levers!$G$191),0)</f>
        <v>0</v>
      </c>
      <c r="G19" s="50" t="n">
        <f aca="false">G18+'Navy plan'!G19-IF($A19-Levers!$H$191&gt;=1846,INDEX('Navy plan'!G$6:G$92,$A19-1845-Levers!$H$191),0)</f>
        <v>0</v>
      </c>
      <c r="H19" s="50" t="n">
        <f aca="false">H18+'Navy plan'!H19-IF($A19-Levers!$I$191&gt;=1846,INDEX('Navy plan'!H$6:H$92,$A19-1845-Levers!$I$191),0)</f>
        <v>0</v>
      </c>
      <c r="I19" s="50" t="n">
        <f aca="false">I18+'Navy plan'!I19-IF($A19-Levers!$J$191&gt;=1846,INDEX('Navy plan'!I$6:I$92,$A19-1845-Levers!$J$191),0)</f>
        <v>0</v>
      </c>
      <c r="J19" s="50" t="n">
        <f aca="false">J18+'Navy plan'!J19-IF($A19-Levers!$K$191&gt;=1846,INDEX('Navy plan'!J$6:J$92,$A19-1845-Levers!$K$191),0)</f>
        <v>0</v>
      </c>
      <c r="K19" s="50" t="n">
        <f aca="false">SUM(B19:J19)</f>
        <v>3</v>
      </c>
      <c r="L19" s="56" t="n">
        <f aca="false">0.5*SUMPRODUCT('Navy plan'!B19:J19,'Navy plan'!K19:S19)+0.5*SUMPRODUCT('Navy plan'!B20:J20,'Navy plan'!K20:S20)</f>
        <v>0</v>
      </c>
      <c r="M19" s="50" t="n">
        <f aca="false">SUMPRODUCT(B19:J19,Levers!$C$192:$K$192)</f>
        <v>750</v>
      </c>
      <c r="N19" s="50" t="n">
        <f aca="false">SUMPRODUCT(B19:J19,Levers!$C$195:$K$195)</f>
        <v>750</v>
      </c>
      <c r="O19" s="50"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50" t="n">
        <f aca="false">AA19+'Navy plan'!T19</f>
        <v>0</v>
      </c>
      <c r="AC19" s="65" t="n">
        <f aca="false">'Navy plan'!U19</f>
        <v>0</v>
      </c>
      <c r="AD19" s="65" t="n">
        <f aca="false">'Navy plan'!V19</f>
        <v>0</v>
      </c>
      <c r="AE19" s="70" t="n">
        <f aca="false">IF(AC19&gt;0,AB19/AC19,0)</f>
        <v>0</v>
      </c>
    </row>
    <row r="20" customFormat="false" ht="14.25" hidden="false" customHeight="false" outlineLevel="0" collapsed="false">
      <c r="A20" s="61" t="n">
        <v>1860</v>
      </c>
      <c r="B20" s="50" t="n">
        <f aca="false">B19+'Navy plan'!B20-IF($A20-Levers!$C$191&gt;=1846,INDEX('Navy plan'!B$6:B$92,$A20-1845-Levers!$C$191),0)</f>
        <v>0</v>
      </c>
      <c r="C20" s="50" t="n">
        <f aca="false">C19+'Navy plan'!C20-IF($A20-Levers!$D$191&gt;=1846,INDEX('Navy plan'!C$6:C$92,$A20-1845-Levers!$D$191),0)</f>
        <v>3</v>
      </c>
      <c r="D20" s="50" t="n">
        <f aca="false">D19+'Navy plan'!D20-IF($A20-Levers!$E$191&gt;=1846,INDEX('Navy plan'!D$6:D$92,$A20-1845-Levers!$E$191),0)</f>
        <v>0</v>
      </c>
      <c r="E20" s="50" t="n">
        <f aca="false">E19+'Navy plan'!E20-IF($A20-Levers!$F$191&gt;=1846,INDEX('Navy plan'!E$6:E$92,$A20-1845-Levers!$F$191),0)</f>
        <v>0</v>
      </c>
      <c r="F20" s="50" t="n">
        <f aca="false">F19+'Navy plan'!F20-IF($A20-Levers!$G$191&gt;=1846,INDEX('Navy plan'!F$6:F$92,$A20-1845-Levers!$G$191),0)</f>
        <v>0</v>
      </c>
      <c r="G20" s="50" t="n">
        <f aca="false">G19+'Navy plan'!G20-IF($A20-Levers!$H$191&gt;=1846,INDEX('Navy plan'!G$6:G$92,$A20-1845-Levers!$H$191),0)</f>
        <v>0</v>
      </c>
      <c r="H20" s="50" t="n">
        <f aca="false">H19+'Navy plan'!H20-IF($A20-Levers!$I$191&gt;=1846,INDEX('Navy plan'!H$6:H$92,$A20-1845-Levers!$I$191),0)</f>
        <v>0</v>
      </c>
      <c r="I20" s="50" t="n">
        <f aca="false">I19+'Navy plan'!I20-IF($A20-Levers!$J$191&gt;=1846,INDEX('Navy plan'!I$6:I$92,$A20-1845-Levers!$J$191),0)</f>
        <v>0</v>
      </c>
      <c r="J20" s="50" t="n">
        <f aca="false">J19+'Navy plan'!J20-IF($A20-Levers!$K$191&gt;=1846,INDEX('Navy plan'!J$6:J$92,$A20-1845-Levers!$K$191),0)</f>
        <v>0</v>
      </c>
      <c r="K20" s="50" t="n">
        <f aca="false">SUM(B20:J20)</f>
        <v>3</v>
      </c>
      <c r="L20" s="56" t="n">
        <f aca="false">0.5*SUMPRODUCT('Navy plan'!B20:J20,'Navy plan'!K20:S20)+0.5*SUMPRODUCT('Navy plan'!B21:J21,'Navy plan'!K21:S21)</f>
        <v>0.53</v>
      </c>
      <c r="M20" s="50" t="n">
        <f aca="false">SUMPRODUCT(B20:J20,Levers!$C$192:$K$192)</f>
        <v>750</v>
      </c>
      <c r="N20" s="50" t="n">
        <f aca="false">SUMPRODUCT(B20:J20,Levers!$C$195:$K$195)</f>
        <v>750</v>
      </c>
      <c r="O20" s="50"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50" t="n">
        <f aca="false">AA20+'Navy plan'!T20</f>
        <v>0</v>
      </c>
      <c r="AC20" s="65" t="n">
        <f aca="false">'Navy plan'!U20</f>
        <v>0</v>
      </c>
      <c r="AD20" s="65" t="n">
        <f aca="false">'Navy plan'!V20</f>
        <v>0</v>
      </c>
      <c r="AE20" s="70" t="n">
        <f aca="false">IF(AC20&gt;0,AB20/AC20,0)</f>
        <v>0</v>
      </c>
    </row>
    <row r="21" customFormat="false" ht="14.25" hidden="false" customHeight="false" outlineLevel="0" collapsed="false">
      <c r="A21" s="61" t="n">
        <v>1861</v>
      </c>
      <c r="B21" s="50" t="n">
        <f aca="false">B20+'Navy plan'!B21-IF($A21-Levers!$C$191&gt;=1846,INDEX('Navy plan'!B$6:B$92,$A21-1845-Levers!$C$191),0)</f>
        <v>0</v>
      </c>
      <c r="C21" s="50" t="n">
        <f aca="false">C20+'Navy plan'!C21-IF($A21-Levers!$D$191&gt;=1846,INDEX('Navy plan'!C$6:C$92,$A21-1845-Levers!$D$191),0)</f>
        <v>5</v>
      </c>
      <c r="D21" s="50" t="n">
        <f aca="false">D20+'Navy plan'!D21-IF($A21-Levers!$E$191&gt;=1846,INDEX('Navy plan'!D$6:D$92,$A21-1845-Levers!$E$191),0)</f>
        <v>0</v>
      </c>
      <c r="E21" s="50" t="n">
        <f aca="false">E20+'Navy plan'!E21-IF($A21-Levers!$F$191&gt;=1846,INDEX('Navy plan'!E$6:E$92,$A21-1845-Levers!$F$191),0)</f>
        <v>0</v>
      </c>
      <c r="F21" s="50" t="n">
        <f aca="false">F20+'Navy plan'!F21-IF($A21-Levers!$G$191&gt;=1846,INDEX('Navy plan'!F$6:F$92,$A21-1845-Levers!$G$191),0)</f>
        <v>0</v>
      </c>
      <c r="G21" s="50" t="n">
        <f aca="false">G20+'Navy plan'!G21-IF($A21-Levers!$H$191&gt;=1846,INDEX('Navy plan'!G$6:G$92,$A21-1845-Levers!$H$191),0)</f>
        <v>0</v>
      </c>
      <c r="H21" s="50" t="n">
        <f aca="false">H20+'Navy plan'!H21-IF($A21-Levers!$I$191&gt;=1846,INDEX('Navy plan'!H$6:H$92,$A21-1845-Levers!$I$191),0)</f>
        <v>0</v>
      </c>
      <c r="I21" s="50" t="n">
        <f aca="false">I20+'Navy plan'!I21-IF($A21-Levers!$J$191&gt;=1846,INDEX('Navy plan'!I$6:I$92,$A21-1845-Levers!$J$191),0)</f>
        <v>0</v>
      </c>
      <c r="J21" s="50" t="n">
        <f aca="false">J20+'Navy plan'!J21-IF($A21-Levers!$K$191&gt;=1846,INDEX('Navy plan'!J$6:J$92,$A21-1845-Levers!$K$191),0)</f>
        <v>0</v>
      </c>
      <c r="K21" s="50" t="n">
        <f aca="false">SUM(B21:J21)</f>
        <v>5</v>
      </c>
      <c r="L21" s="56" t="n">
        <f aca="false">0.5*SUMPRODUCT('Navy plan'!B21:J21,'Navy plan'!K21:S21)+0.5*SUMPRODUCT('Navy plan'!B22:J22,'Navy plan'!K22:S22)</f>
        <v>1.03</v>
      </c>
      <c r="M21" s="50" t="n">
        <f aca="false">SUMPRODUCT(B21:J21,Levers!$C$192:$K$192)</f>
        <v>1250</v>
      </c>
      <c r="N21" s="50" t="n">
        <f aca="false">SUMPRODUCT(B21:J21,Levers!$C$195:$K$195)</f>
        <v>1250</v>
      </c>
      <c r="O21" s="50"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50" t="n">
        <f aca="false">AA21+'Navy plan'!T21</f>
        <v>0</v>
      </c>
      <c r="AC21" s="65" t="n">
        <f aca="false">'Navy plan'!U21</f>
        <v>0</v>
      </c>
      <c r="AD21" s="65" t="n">
        <f aca="false">'Navy plan'!V21</f>
        <v>0</v>
      </c>
      <c r="AE21" s="70" t="n">
        <f aca="false">IF(AC21&gt;0,AB21/AC21,0)</f>
        <v>0</v>
      </c>
    </row>
    <row r="22" customFormat="false" ht="14.25" hidden="false" customHeight="false" outlineLevel="0" collapsed="false">
      <c r="A22" s="61" t="n">
        <v>1862</v>
      </c>
      <c r="B22" s="50" t="n">
        <f aca="false">B21+'Navy plan'!B22-IF($A22-Levers!$C$191&gt;=1846,INDEX('Navy plan'!B$6:B$92,$A22-1845-Levers!$C$191),0)</f>
        <v>1</v>
      </c>
      <c r="C22" s="50" t="n">
        <f aca="false">C21+'Navy plan'!C22-IF($A22-Levers!$D$191&gt;=1846,INDEX('Navy plan'!C$6:C$92,$A22-1845-Levers!$D$191),0)</f>
        <v>5</v>
      </c>
      <c r="D22" s="50" t="n">
        <f aca="false">D21+'Navy plan'!D22-IF($A22-Levers!$E$191&gt;=1846,INDEX('Navy plan'!D$6:D$92,$A22-1845-Levers!$E$191),0)</f>
        <v>0</v>
      </c>
      <c r="E22" s="50" t="n">
        <f aca="false">E21+'Navy plan'!E22-IF($A22-Levers!$F$191&gt;=1846,INDEX('Navy plan'!E$6:E$92,$A22-1845-Levers!$F$191),0)</f>
        <v>0</v>
      </c>
      <c r="F22" s="50" t="n">
        <f aca="false">F21+'Navy plan'!F22-IF($A22-Levers!$G$191&gt;=1846,INDEX('Navy plan'!F$6:F$92,$A22-1845-Levers!$G$191),0)</f>
        <v>0</v>
      </c>
      <c r="G22" s="50" t="n">
        <f aca="false">G21+'Navy plan'!G22-IF($A22-Levers!$H$191&gt;=1846,INDEX('Navy plan'!G$6:G$92,$A22-1845-Levers!$H$191),0)</f>
        <v>0</v>
      </c>
      <c r="H22" s="50" t="n">
        <f aca="false">H21+'Navy plan'!H22-IF($A22-Levers!$I$191&gt;=1846,INDEX('Navy plan'!H$6:H$92,$A22-1845-Levers!$I$191),0)</f>
        <v>0</v>
      </c>
      <c r="I22" s="50" t="n">
        <f aca="false">I21+'Navy plan'!I22-IF($A22-Levers!$J$191&gt;=1846,INDEX('Navy plan'!I$6:I$92,$A22-1845-Levers!$J$191),0)</f>
        <v>0</v>
      </c>
      <c r="J22" s="50" t="n">
        <f aca="false">J21+'Navy plan'!J22-IF($A22-Levers!$K$191&gt;=1846,INDEX('Navy plan'!J$6:J$92,$A22-1845-Levers!$K$191),0)</f>
        <v>0</v>
      </c>
      <c r="K22" s="50" t="n">
        <f aca="false">SUM(B22:J22)</f>
        <v>6</v>
      </c>
      <c r="L22" s="56" t="n">
        <f aca="false">0.5*SUMPRODUCT('Navy plan'!B22:J22,'Navy plan'!K22:S22)+0.5*SUMPRODUCT('Navy plan'!B23:J23,'Navy plan'!K23:S23)</f>
        <v>1.525</v>
      </c>
      <c r="M22" s="50" t="n">
        <f aca="false">SUMPRODUCT(B22:J22,Levers!$C$192:$K$192)</f>
        <v>1370</v>
      </c>
      <c r="N22" s="50" t="n">
        <f aca="false">SUMPRODUCT(B22:J22,Levers!$C$195:$K$195)</f>
        <v>1370</v>
      </c>
      <c r="O22" s="50"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50" t="n">
        <f aca="false">AA22+'Navy plan'!T22</f>
        <v>0</v>
      </c>
      <c r="AC22" s="65" t="n">
        <f aca="false">'Navy plan'!U22</f>
        <v>0</v>
      </c>
      <c r="AD22" s="65" t="n">
        <f aca="false">'Navy plan'!V22</f>
        <v>0</v>
      </c>
      <c r="AE22" s="70" t="n">
        <f aca="false">IF(AC22&gt;0,AB22/AC22,0)</f>
        <v>0</v>
      </c>
    </row>
    <row r="23" customFormat="false" ht="14.25" hidden="false" customHeight="false" outlineLevel="0" collapsed="false">
      <c r="A23" s="61" t="n">
        <v>1863</v>
      </c>
      <c r="B23" s="50" t="n">
        <f aca="false">B22+'Navy plan'!B23-IF($A23-Levers!$C$191&gt;=1846,INDEX('Navy plan'!B$6:B$92,$A23-1845-Levers!$C$191),0)</f>
        <v>3</v>
      </c>
      <c r="C23" s="50" t="n">
        <f aca="false">C22+'Navy plan'!C23-IF($A23-Levers!$D$191&gt;=1846,INDEX('Navy plan'!C$6:C$92,$A23-1845-Levers!$D$191),0)</f>
        <v>5</v>
      </c>
      <c r="D23" s="50" t="n">
        <f aca="false">D22+'Navy plan'!D23-IF($A23-Levers!$E$191&gt;=1846,INDEX('Navy plan'!D$6:D$92,$A23-1845-Levers!$E$191),0)</f>
        <v>0</v>
      </c>
      <c r="E23" s="50" t="n">
        <f aca="false">E22+'Navy plan'!E23-IF($A23-Levers!$F$191&gt;=1846,INDEX('Navy plan'!E$6:E$92,$A23-1845-Levers!$F$191),0)</f>
        <v>0</v>
      </c>
      <c r="F23" s="50" t="n">
        <f aca="false">F22+'Navy plan'!F23-IF($A23-Levers!$G$191&gt;=1846,INDEX('Navy plan'!F$6:F$92,$A23-1845-Levers!$G$191),0)</f>
        <v>0</v>
      </c>
      <c r="G23" s="50" t="n">
        <f aca="false">G22+'Navy plan'!G23-IF($A23-Levers!$H$191&gt;=1846,INDEX('Navy plan'!G$6:G$92,$A23-1845-Levers!$H$191),0)</f>
        <v>0</v>
      </c>
      <c r="H23" s="50" t="n">
        <f aca="false">H22+'Navy plan'!H23-IF($A23-Levers!$I$191&gt;=1846,INDEX('Navy plan'!H$6:H$92,$A23-1845-Levers!$I$191),0)</f>
        <v>0</v>
      </c>
      <c r="I23" s="50" t="n">
        <f aca="false">I22+'Navy plan'!I23-IF($A23-Levers!$J$191&gt;=1846,INDEX('Navy plan'!I$6:I$92,$A23-1845-Levers!$J$191),0)</f>
        <v>0</v>
      </c>
      <c r="J23" s="50" t="n">
        <f aca="false">J22+'Navy plan'!J23-IF($A23-Levers!$K$191&gt;=1846,INDEX('Navy plan'!J$6:J$92,$A23-1845-Levers!$K$191),0)</f>
        <v>0</v>
      </c>
      <c r="K23" s="50" t="n">
        <f aca="false">SUM(B23:J23)</f>
        <v>8</v>
      </c>
      <c r="L23" s="56" t="n">
        <f aca="false">0.5*SUMPRODUCT('Navy plan'!B23:J23,'Navy plan'!K23:S23)+0.5*SUMPRODUCT('Navy plan'!B24:J24,'Navy plan'!K24:S24)</f>
        <v>2.385</v>
      </c>
      <c r="M23" s="50" t="n">
        <f aca="false">SUMPRODUCT(B23:J23,Levers!$C$192:$K$192)</f>
        <v>1610</v>
      </c>
      <c r="N23" s="50" t="n">
        <f aca="false">SUMPRODUCT(B23:J23,Levers!$C$195:$K$195)</f>
        <v>1610</v>
      </c>
      <c r="O23" s="50"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50" t="n">
        <f aca="false">AA23+'Navy plan'!T23</f>
        <v>0</v>
      </c>
      <c r="AC23" s="65" t="n">
        <f aca="false">'Navy plan'!U23</f>
        <v>0</v>
      </c>
      <c r="AD23" s="65" t="n">
        <f aca="false">'Navy plan'!V23</f>
        <v>0</v>
      </c>
      <c r="AE23" s="70" t="n">
        <f aca="false">IF(AC23&gt;0,AB23/AC23,0)</f>
        <v>0</v>
      </c>
    </row>
    <row r="24" customFormat="false" ht="14.25" hidden="false" customHeight="false" outlineLevel="0" collapsed="false">
      <c r="A24" s="61" t="n">
        <v>1864</v>
      </c>
      <c r="B24" s="50" t="n">
        <f aca="false">B23+'Navy plan'!B24-IF($A24-Levers!$C$191&gt;=1846,INDEX('Navy plan'!B$6:B$92,$A24-1845-Levers!$C$191),0)</f>
        <v>5</v>
      </c>
      <c r="C24" s="50" t="n">
        <f aca="false">C23+'Navy plan'!C24-IF($A24-Levers!$D$191&gt;=1846,INDEX('Navy plan'!C$6:C$92,$A24-1845-Levers!$D$191),0)</f>
        <v>6</v>
      </c>
      <c r="D24" s="50" t="n">
        <f aca="false">D23+'Navy plan'!D24-IF($A24-Levers!$E$191&gt;=1846,INDEX('Navy plan'!D$6:D$92,$A24-1845-Levers!$E$191),0)</f>
        <v>0</v>
      </c>
      <c r="E24" s="50" t="n">
        <f aca="false">E23+'Navy plan'!E24-IF($A24-Levers!$F$191&gt;=1846,INDEX('Navy plan'!E$6:E$92,$A24-1845-Levers!$F$191),0)</f>
        <v>0</v>
      </c>
      <c r="F24" s="50" t="n">
        <f aca="false">F23+'Navy plan'!F24-IF($A24-Levers!$G$191&gt;=1846,INDEX('Navy plan'!F$6:F$92,$A24-1845-Levers!$G$191),0)</f>
        <v>0</v>
      </c>
      <c r="G24" s="50" t="n">
        <f aca="false">G23+'Navy plan'!G24-IF($A24-Levers!$H$191&gt;=1846,INDEX('Navy plan'!G$6:G$92,$A24-1845-Levers!$H$191),0)</f>
        <v>0</v>
      </c>
      <c r="H24" s="50" t="n">
        <f aca="false">H23+'Navy plan'!H24-IF($A24-Levers!$I$191&gt;=1846,INDEX('Navy plan'!H$6:H$92,$A24-1845-Levers!$I$191),0)</f>
        <v>0</v>
      </c>
      <c r="I24" s="50" t="n">
        <f aca="false">I23+'Navy plan'!I24-IF($A24-Levers!$J$191&gt;=1846,INDEX('Navy plan'!I$6:I$92,$A24-1845-Levers!$J$191),0)</f>
        <v>0</v>
      </c>
      <c r="J24" s="50" t="n">
        <f aca="false">J23+'Navy plan'!J24-IF($A24-Levers!$K$191&gt;=1846,INDEX('Navy plan'!J$6:J$92,$A24-1845-Levers!$K$191),0)</f>
        <v>0</v>
      </c>
      <c r="K24" s="50" t="n">
        <f aca="false">SUM(B24:J24)</f>
        <v>11</v>
      </c>
      <c r="L24" s="56" t="n">
        <f aca="false">0.5*SUMPRODUCT('Navy plan'!B24:J24,'Navy plan'!K24:S24)+0.5*SUMPRODUCT('Navy plan'!B25:J25,'Navy plan'!K25:S25)</f>
        <v>1.8975</v>
      </c>
      <c r="M24" s="50" t="n">
        <f aca="false">SUMPRODUCT(B24:J24,Levers!$C$192:$K$192)</f>
        <v>2100</v>
      </c>
      <c r="N24" s="50" t="n">
        <f aca="false">SUMPRODUCT(B24:J24,Levers!$C$195:$K$195)</f>
        <v>2100</v>
      </c>
      <c r="O24" s="50"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50" t="n">
        <f aca="false">AA24+'Navy plan'!T24</f>
        <v>0</v>
      </c>
      <c r="AC24" s="65" t="n">
        <f aca="false">'Navy plan'!U24</f>
        <v>0</v>
      </c>
      <c r="AD24" s="65" t="n">
        <f aca="false">'Navy plan'!V24</f>
        <v>0</v>
      </c>
      <c r="AE24" s="70" t="n">
        <f aca="false">IF(AC24&gt;0,AB24/AC24,0)</f>
        <v>0</v>
      </c>
    </row>
    <row r="25" customFormat="false" ht="14.25" hidden="false" customHeight="false" outlineLevel="0" collapsed="false">
      <c r="A25" s="61" t="n">
        <v>1865</v>
      </c>
      <c r="B25" s="50" t="n">
        <f aca="false">B24+'Navy plan'!B25-IF($A25-Levers!$C$191&gt;=1846,INDEX('Navy plan'!B$6:B$92,$A25-1845-Levers!$C$191),0)</f>
        <v>6</v>
      </c>
      <c r="C25" s="50" t="n">
        <f aca="false">C24+'Navy plan'!C25-IF($A25-Levers!$D$191&gt;=1846,INDEX('Navy plan'!C$6:C$92,$A25-1845-Levers!$D$191),0)</f>
        <v>6</v>
      </c>
      <c r="D25" s="50" t="n">
        <f aca="false">D24+'Navy plan'!D25-IF($A25-Levers!$E$191&gt;=1846,INDEX('Navy plan'!D$6:D$92,$A25-1845-Levers!$E$191),0)</f>
        <v>0</v>
      </c>
      <c r="E25" s="50" t="n">
        <f aca="false">E24+'Navy plan'!E25-IF($A25-Levers!$F$191&gt;=1846,INDEX('Navy plan'!E$6:E$92,$A25-1845-Levers!$F$191),0)</f>
        <v>0</v>
      </c>
      <c r="F25" s="50" t="n">
        <f aca="false">F24+'Navy plan'!F25-IF($A25-Levers!$G$191&gt;=1846,INDEX('Navy plan'!F$6:F$92,$A25-1845-Levers!$G$191),0)</f>
        <v>0</v>
      </c>
      <c r="G25" s="50" t="n">
        <f aca="false">G24+'Navy plan'!G25-IF($A25-Levers!$H$191&gt;=1846,INDEX('Navy plan'!G$6:G$92,$A25-1845-Levers!$H$191),0)</f>
        <v>0</v>
      </c>
      <c r="H25" s="50" t="n">
        <f aca="false">H24+'Navy plan'!H25-IF($A25-Levers!$I$191&gt;=1846,INDEX('Navy plan'!H$6:H$92,$A25-1845-Levers!$I$191),0)</f>
        <v>0</v>
      </c>
      <c r="I25" s="50" t="n">
        <f aca="false">I24+'Navy plan'!I25-IF($A25-Levers!$J$191&gt;=1846,INDEX('Navy plan'!I$6:I$92,$A25-1845-Levers!$J$191),0)</f>
        <v>0</v>
      </c>
      <c r="J25" s="50" t="n">
        <f aca="false">J24+'Navy plan'!J25-IF($A25-Levers!$K$191&gt;=1846,INDEX('Navy plan'!J$6:J$92,$A25-1845-Levers!$K$191),0)</f>
        <v>0</v>
      </c>
      <c r="K25" s="50" t="n">
        <f aca="false">SUM(B25:J25)</f>
        <v>12</v>
      </c>
      <c r="L25" s="56" t="n">
        <f aca="false">0.5*SUMPRODUCT('Navy plan'!B25:J25,'Navy plan'!K25:S25)+0.5*SUMPRODUCT('Navy plan'!B26:J26,'Navy plan'!K26:S26)</f>
        <v>0.5375</v>
      </c>
      <c r="M25" s="50" t="n">
        <f aca="false">SUMPRODUCT(B25:J25,Levers!$C$192:$K$192)</f>
        <v>2220</v>
      </c>
      <c r="N25" s="50" t="n">
        <f aca="false">SUMPRODUCT(B25:J25,Levers!$C$195:$K$195)</f>
        <v>2220</v>
      </c>
      <c r="O25" s="50"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50" t="n">
        <f aca="false">AA25+'Navy plan'!T25</f>
        <v>0</v>
      </c>
      <c r="AC25" s="65" t="n">
        <f aca="false">'Navy plan'!U25</f>
        <v>0</v>
      </c>
      <c r="AD25" s="65" t="n">
        <f aca="false">'Navy plan'!V25</f>
        <v>0</v>
      </c>
      <c r="AE25" s="70" t="n">
        <f aca="false">IF(AC25&gt;0,AB25/AC25,0)</f>
        <v>0</v>
      </c>
    </row>
    <row r="26" customFormat="false" ht="14.25" hidden="false" customHeight="false" outlineLevel="0" collapsed="false">
      <c r="A26" s="61" t="n">
        <v>1866</v>
      </c>
      <c r="B26" s="50" t="n">
        <f aca="false">B25+'Navy plan'!B26-IF($A26-Levers!$C$191&gt;=1846,INDEX('Navy plan'!B$6:B$92,$A26-1845-Levers!$C$191),0)</f>
        <v>6</v>
      </c>
      <c r="C26" s="50" t="n">
        <f aca="false">C25+'Navy plan'!C26-IF($A26-Levers!$D$191&gt;=1846,INDEX('Navy plan'!C$6:C$92,$A26-1845-Levers!$D$191),0)</f>
        <v>6</v>
      </c>
      <c r="D26" s="50" t="n">
        <f aca="false">D25+'Navy plan'!D26-IF($A26-Levers!$E$191&gt;=1846,INDEX('Navy plan'!D$6:D$92,$A26-1845-Levers!$E$191),0)</f>
        <v>0</v>
      </c>
      <c r="E26" s="50" t="n">
        <f aca="false">E25+'Navy plan'!E26-IF($A26-Levers!$F$191&gt;=1846,INDEX('Navy plan'!E$6:E$92,$A26-1845-Levers!$F$191),0)</f>
        <v>0</v>
      </c>
      <c r="F26" s="50" t="n">
        <f aca="false">F25+'Navy plan'!F26-IF($A26-Levers!$G$191&gt;=1846,INDEX('Navy plan'!F$6:F$92,$A26-1845-Levers!$G$191),0)</f>
        <v>0</v>
      </c>
      <c r="G26" s="50" t="n">
        <f aca="false">G25+'Navy plan'!G26-IF($A26-Levers!$H$191&gt;=1846,INDEX('Navy plan'!G$6:G$92,$A26-1845-Levers!$H$191),0)</f>
        <v>0</v>
      </c>
      <c r="H26" s="50" t="n">
        <f aca="false">H25+'Navy plan'!H26-IF($A26-Levers!$I$191&gt;=1846,INDEX('Navy plan'!H$6:H$92,$A26-1845-Levers!$I$191),0)</f>
        <v>0</v>
      </c>
      <c r="I26" s="50" t="n">
        <f aca="false">I25+'Navy plan'!I26-IF($A26-Levers!$J$191&gt;=1846,INDEX('Navy plan'!I$6:I$92,$A26-1845-Levers!$J$191),0)</f>
        <v>0</v>
      </c>
      <c r="J26" s="50" t="n">
        <f aca="false">J25+'Navy plan'!J26-IF($A26-Levers!$K$191&gt;=1846,INDEX('Navy plan'!J$6:J$92,$A26-1845-Levers!$K$191),0)</f>
        <v>0</v>
      </c>
      <c r="K26" s="50" t="n">
        <f aca="false">SUM(B26:J26)</f>
        <v>12</v>
      </c>
      <c r="L26" s="56" t="n">
        <f aca="false">0.5*SUMPRODUCT('Navy plan'!B26:J26,'Navy plan'!K26:S26)+0.5*SUMPRODUCT('Navy plan'!B27:J27,'Navy plan'!K27:S27)</f>
        <v>0.5625</v>
      </c>
      <c r="M26" s="50" t="n">
        <f aca="false">SUMPRODUCT(B26:J26,Levers!$C$192:$K$192)</f>
        <v>2220</v>
      </c>
      <c r="N26" s="50" t="n">
        <f aca="false">SUMPRODUCT(B26:J26,Levers!$C$195:$K$195)</f>
        <v>2220</v>
      </c>
      <c r="O26" s="50"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50" t="n">
        <f aca="false">AA26+'Navy plan'!T26</f>
        <v>0</v>
      </c>
      <c r="AC26" s="65" t="n">
        <f aca="false">'Navy plan'!U26</f>
        <v>0</v>
      </c>
      <c r="AD26" s="65" t="n">
        <f aca="false">'Navy plan'!V26</f>
        <v>0</v>
      </c>
      <c r="AE26" s="70" t="n">
        <f aca="false">IF(AC26&gt;0,AB26/AC26,0)</f>
        <v>0</v>
      </c>
    </row>
    <row r="27" customFormat="false" ht="14.25" hidden="false" customHeight="false" outlineLevel="0" collapsed="false">
      <c r="A27" s="61" t="n">
        <v>1867</v>
      </c>
      <c r="B27" s="50" t="n">
        <f aca="false">B26+'Navy plan'!B27-IF($A27-Levers!$C$191&gt;=1846,INDEX('Navy plan'!B$6:B$92,$A27-1845-Levers!$C$191),0)</f>
        <v>7</v>
      </c>
      <c r="C27" s="50" t="n">
        <f aca="false">C26+'Navy plan'!C27-IF($A27-Levers!$D$191&gt;=1846,INDEX('Navy plan'!C$6:C$92,$A27-1845-Levers!$D$191),0)</f>
        <v>6</v>
      </c>
      <c r="D27" s="50" t="n">
        <f aca="false">D26+'Navy plan'!D27-IF($A27-Levers!$E$191&gt;=1846,INDEX('Navy plan'!D$6:D$92,$A27-1845-Levers!$E$191),0)</f>
        <v>0</v>
      </c>
      <c r="E27" s="50" t="n">
        <f aca="false">E26+'Navy plan'!E27-IF($A27-Levers!$F$191&gt;=1846,INDEX('Navy plan'!E$6:E$92,$A27-1845-Levers!$F$191),0)</f>
        <v>0</v>
      </c>
      <c r="F27" s="50" t="n">
        <f aca="false">F26+'Navy plan'!F27-IF($A27-Levers!$G$191&gt;=1846,INDEX('Navy plan'!F$6:F$92,$A27-1845-Levers!$G$191),0)</f>
        <v>0</v>
      </c>
      <c r="G27" s="50" t="n">
        <f aca="false">G26+'Navy plan'!G27-IF($A27-Levers!$H$191&gt;=1846,INDEX('Navy plan'!G$6:G$92,$A27-1845-Levers!$H$191),0)</f>
        <v>0</v>
      </c>
      <c r="H27" s="50" t="n">
        <f aca="false">H26+'Navy plan'!H27-IF($A27-Levers!$I$191&gt;=1846,INDEX('Navy plan'!H$6:H$92,$A27-1845-Levers!$I$191),0)</f>
        <v>0</v>
      </c>
      <c r="I27" s="50" t="n">
        <f aca="false">I26+'Navy plan'!I27-IF($A27-Levers!$J$191&gt;=1846,INDEX('Navy plan'!I$6:I$92,$A27-1845-Levers!$J$191),0)</f>
        <v>0</v>
      </c>
      <c r="J27" s="50" t="n">
        <f aca="false">J26+'Navy plan'!J27-IF($A27-Levers!$K$191&gt;=1846,INDEX('Navy plan'!J$6:J$92,$A27-1845-Levers!$K$191),0)</f>
        <v>0</v>
      </c>
      <c r="K27" s="50" t="n">
        <f aca="false">SUM(B27:J27)</f>
        <v>13</v>
      </c>
      <c r="L27" s="56" t="n">
        <f aca="false">0.5*SUMPRODUCT('Navy plan'!B27:J27,'Navy plan'!K27:S27)+0.5*SUMPRODUCT('Navy plan'!B28:J28,'Navy plan'!K28:S28)</f>
        <v>1.3025</v>
      </c>
      <c r="M27" s="50" t="n">
        <f aca="false">SUMPRODUCT(B27:J27,Levers!$C$192:$K$192)</f>
        <v>2340</v>
      </c>
      <c r="N27" s="50" t="n">
        <f aca="false">SUMPRODUCT(B27:J27,Levers!$C$195:$K$195)</f>
        <v>2340</v>
      </c>
      <c r="O27" s="50"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50" t="n">
        <f aca="false">AA27+'Navy plan'!T27</f>
        <v>0</v>
      </c>
      <c r="AC27" s="65" t="n">
        <f aca="false">'Navy plan'!U27</f>
        <v>0</v>
      </c>
      <c r="AD27" s="65" t="n">
        <f aca="false">'Navy plan'!V27</f>
        <v>0</v>
      </c>
      <c r="AE27" s="70" t="n">
        <f aca="false">IF(AC27&gt;0,AB27/AC27,0)</f>
        <v>0</v>
      </c>
    </row>
    <row r="28" customFormat="false" ht="14.25" hidden="false" customHeight="false" outlineLevel="0" collapsed="false">
      <c r="A28" s="61" t="n">
        <v>1868</v>
      </c>
      <c r="B28" s="50" t="n">
        <f aca="false">B27+'Navy plan'!B28-IF($A28-Levers!$C$191&gt;=1846,INDEX('Navy plan'!B$6:B$92,$A28-1845-Levers!$C$191),0)</f>
        <v>7</v>
      </c>
      <c r="C28" s="50" t="n">
        <f aca="false">C27+'Navy plan'!C28-IF($A28-Levers!$D$191&gt;=1846,INDEX('Navy plan'!C$6:C$92,$A28-1845-Levers!$D$191),0)</f>
        <v>8</v>
      </c>
      <c r="D28" s="50" t="n">
        <f aca="false">D27+'Navy plan'!D28-IF($A28-Levers!$E$191&gt;=1846,INDEX('Navy plan'!D$6:D$92,$A28-1845-Levers!$E$191),0)</f>
        <v>0</v>
      </c>
      <c r="E28" s="50" t="n">
        <f aca="false">E27+'Navy plan'!E28-IF($A28-Levers!$F$191&gt;=1846,INDEX('Navy plan'!E$6:E$92,$A28-1845-Levers!$F$191),0)</f>
        <v>0</v>
      </c>
      <c r="F28" s="50" t="n">
        <f aca="false">F27+'Navy plan'!F28-IF($A28-Levers!$G$191&gt;=1846,INDEX('Navy plan'!F$6:F$92,$A28-1845-Levers!$G$191),0)</f>
        <v>0</v>
      </c>
      <c r="G28" s="50" t="n">
        <f aca="false">G27+'Navy plan'!G28-IF($A28-Levers!$H$191&gt;=1846,INDEX('Navy plan'!G$6:G$92,$A28-1845-Levers!$H$191),0)</f>
        <v>0</v>
      </c>
      <c r="H28" s="50" t="n">
        <f aca="false">H27+'Navy plan'!H28-IF($A28-Levers!$I$191&gt;=1846,INDEX('Navy plan'!H$6:H$92,$A28-1845-Levers!$I$191),0)</f>
        <v>0</v>
      </c>
      <c r="I28" s="50" t="n">
        <f aca="false">I27+'Navy plan'!I28-IF($A28-Levers!$J$191&gt;=1846,INDEX('Navy plan'!I$6:I$92,$A28-1845-Levers!$J$191),0)</f>
        <v>0</v>
      </c>
      <c r="J28" s="50" t="n">
        <f aca="false">J27+'Navy plan'!J28-IF($A28-Levers!$K$191&gt;=1846,INDEX('Navy plan'!J$6:J$92,$A28-1845-Levers!$K$191),0)</f>
        <v>0</v>
      </c>
      <c r="K28" s="50" t="n">
        <f aca="false">SUM(B28:J28)</f>
        <v>15</v>
      </c>
      <c r="L28" s="56" t="n">
        <f aca="false">0.5*SUMPRODUCT('Navy plan'!B28:J28,'Navy plan'!K28:S28)+0.5*SUMPRODUCT('Navy plan'!B29:J29,'Navy plan'!K29:S29)</f>
        <v>1.915</v>
      </c>
      <c r="M28" s="50" t="n">
        <f aca="false">SUMPRODUCT(B28:J28,Levers!$C$192:$K$192)</f>
        <v>2840</v>
      </c>
      <c r="N28" s="50" t="n">
        <f aca="false">SUMPRODUCT(B28:J28,Levers!$C$195:$K$195)</f>
        <v>2840</v>
      </c>
      <c r="O28" s="50"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50" t="n">
        <f aca="false">AA28+'Navy plan'!T28</f>
        <v>0</v>
      </c>
      <c r="AC28" s="65" t="n">
        <f aca="false">'Navy plan'!U28</f>
        <v>0</v>
      </c>
      <c r="AD28" s="65" t="n">
        <f aca="false">'Navy plan'!V28</f>
        <v>0</v>
      </c>
      <c r="AE28" s="70" t="n">
        <f aca="false">IF(AC28&gt;0,AB28/AC28,0)</f>
        <v>0</v>
      </c>
    </row>
    <row r="29" customFormat="false" ht="14.25" hidden="false" customHeight="false" outlineLevel="0" collapsed="false">
      <c r="A29" s="61" t="n">
        <v>1869</v>
      </c>
      <c r="B29" s="50" t="n">
        <f aca="false">B28+'Navy plan'!B29-IF($A29-Levers!$C$191&gt;=1846,INDEX('Navy plan'!B$6:B$92,$A29-1845-Levers!$C$191),0)</f>
        <v>9</v>
      </c>
      <c r="C29" s="50" t="n">
        <f aca="false">C28+'Navy plan'!C29-IF($A29-Levers!$D$191&gt;=1846,INDEX('Navy plan'!C$6:C$92,$A29-1845-Levers!$D$191),0)</f>
        <v>8</v>
      </c>
      <c r="D29" s="50" t="n">
        <f aca="false">D28+'Navy plan'!D29-IF($A29-Levers!$E$191&gt;=1846,INDEX('Navy plan'!D$6:D$92,$A29-1845-Levers!$E$191),0)</f>
        <v>0</v>
      </c>
      <c r="E29" s="50" t="n">
        <f aca="false">E28+'Navy plan'!E29-IF($A29-Levers!$F$191&gt;=1846,INDEX('Navy plan'!E$6:E$92,$A29-1845-Levers!$F$191),0)</f>
        <v>0</v>
      </c>
      <c r="F29" s="50" t="n">
        <f aca="false">F28+'Navy plan'!F29-IF($A29-Levers!$G$191&gt;=1846,INDEX('Navy plan'!F$6:F$92,$A29-1845-Levers!$G$191),0)</f>
        <v>0</v>
      </c>
      <c r="G29" s="50" t="n">
        <f aca="false">G28+'Navy plan'!G29-IF($A29-Levers!$H$191&gt;=1846,INDEX('Navy plan'!G$6:G$92,$A29-1845-Levers!$H$191),0)</f>
        <v>0</v>
      </c>
      <c r="H29" s="50" t="n">
        <f aca="false">H28+'Navy plan'!H29-IF($A29-Levers!$I$191&gt;=1846,INDEX('Navy plan'!H$6:H$92,$A29-1845-Levers!$I$191),0)</f>
        <v>0</v>
      </c>
      <c r="I29" s="50" t="n">
        <f aca="false">I28+'Navy plan'!I29-IF($A29-Levers!$J$191&gt;=1846,INDEX('Navy plan'!I$6:I$92,$A29-1845-Levers!$J$191),0)</f>
        <v>0</v>
      </c>
      <c r="J29" s="50" t="n">
        <f aca="false">J28+'Navy plan'!J29-IF($A29-Levers!$K$191&gt;=1846,INDEX('Navy plan'!J$6:J$92,$A29-1845-Levers!$K$191),0)</f>
        <v>0</v>
      </c>
      <c r="K29" s="50" t="n">
        <f aca="false">SUM(B29:J29)</f>
        <v>17</v>
      </c>
      <c r="L29" s="56" t="n">
        <f aca="false">0.5*SUMPRODUCT('Navy plan'!B29:J29,'Navy plan'!K29:S29)+0.5*SUMPRODUCT('Navy plan'!B30:J30,'Navy plan'!K30:S30)</f>
        <v>2.375</v>
      </c>
      <c r="M29" s="50" t="n">
        <f aca="false">SUMPRODUCT(B29:J29,Levers!$C$192:$K$192)</f>
        <v>3080</v>
      </c>
      <c r="N29" s="50" t="n">
        <f aca="false">SUMPRODUCT(B29:J29,Levers!$C$195:$K$195)</f>
        <v>3080</v>
      </c>
      <c r="O29" s="50"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50" t="n">
        <f aca="false">AA29+'Navy plan'!T29</f>
        <v>0</v>
      </c>
      <c r="AC29" s="65" t="n">
        <f aca="false">'Navy plan'!U29</f>
        <v>0</v>
      </c>
      <c r="AD29" s="65" t="n">
        <f aca="false">'Navy plan'!V29</f>
        <v>0</v>
      </c>
      <c r="AE29" s="70" t="n">
        <f aca="false">IF(AC29&gt;0,AB29/AC29,0)</f>
        <v>0</v>
      </c>
    </row>
    <row r="30" customFormat="false" ht="14.25" hidden="false" customHeight="false" outlineLevel="0" collapsed="false">
      <c r="A30" s="61" t="n">
        <v>1870</v>
      </c>
      <c r="B30" s="50" t="n">
        <f aca="false">B29+'Navy plan'!B30-IF($A30-Levers!$C$191&gt;=1846,INDEX('Navy plan'!B$6:B$92,$A30-1845-Levers!$C$191),0)</f>
        <v>11</v>
      </c>
      <c r="C30" s="50" t="n">
        <f aca="false">C29+'Navy plan'!C30-IF($A30-Levers!$D$191&gt;=1846,INDEX('Navy plan'!C$6:C$92,$A30-1845-Levers!$D$191),0)</f>
        <v>8</v>
      </c>
      <c r="D30" s="50" t="n">
        <f aca="false">D29+'Navy plan'!D30-IF($A30-Levers!$E$191&gt;=1846,INDEX('Navy plan'!D$6:D$92,$A30-1845-Levers!$E$191),0)</f>
        <v>0</v>
      </c>
      <c r="E30" s="50" t="n">
        <f aca="false">E29+'Navy plan'!E30-IF($A30-Levers!$F$191&gt;=1846,INDEX('Navy plan'!E$6:E$92,$A30-1845-Levers!$F$191),0)</f>
        <v>0</v>
      </c>
      <c r="F30" s="50" t="n">
        <f aca="false">F29+'Navy plan'!F30-IF($A30-Levers!$G$191&gt;=1846,INDEX('Navy plan'!F$6:F$92,$A30-1845-Levers!$G$191),0)</f>
        <v>0</v>
      </c>
      <c r="G30" s="50" t="n">
        <f aca="false">G29+'Navy plan'!G30-IF($A30-Levers!$H$191&gt;=1846,INDEX('Navy plan'!G$6:G$92,$A30-1845-Levers!$H$191),0)</f>
        <v>0</v>
      </c>
      <c r="H30" s="50" t="n">
        <f aca="false">H29+'Navy plan'!H30-IF($A30-Levers!$I$191&gt;=1846,INDEX('Navy plan'!H$6:H$92,$A30-1845-Levers!$I$191),0)</f>
        <v>0</v>
      </c>
      <c r="I30" s="50" t="n">
        <f aca="false">I29+'Navy plan'!I30-IF($A30-Levers!$J$191&gt;=1846,INDEX('Navy plan'!I$6:I$92,$A30-1845-Levers!$J$191),0)</f>
        <v>0</v>
      </c>
      <c r="J30" s="50" t="n">
        <f aca="false">J29+'Navy plan'!J30-IF($A30-Levers!$K$191&gt;=1846,INDEX('Navy plan'!J$6:J$92,$A30-1845-Levers!$K$191),0)</f>
        <v>0</v>
      </c>
      <c r="K30" s="50" t="n">
        <f aca="false">SUM(B30:J30)</f>
        <v>19</v>
      </c>
      <c r="L30" s="56" t="n">
        <f aca="false">0.5*SUMPRODUCT('Navy plan'!B30:J30,'Navy plan'!K30:S30)+0.5*SUMPRODUCT('Navy plan'!B31:J31,'Navy plan'!K31:S31)</f>
        <v>1.2</v>
      </c>
      <c r="M30" s="50" t="n">
        <f aca="false">SUMPRODUCT(B30:J30,Levers!$C$192:$K$192)</f>
        <v>3320</v>
      </c>
      <c r="N30" s="50" t="n">
        <f aca="false">SUMPRODUCT(B30:J30,Levers!$C$195:$K$195)</f>
        <v>3320</v>
      </c>
      <c r="O30" s="50"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50" t="n">
        <f aca="false">AA30+'Navy plan'!T30</f>
        <v>0</v>
      </c>
      <c r="AC30" s="65" t="n">
        <f aca="false">'Navy plan'!U30</f>
        <v>0</v>
      </c>
      <c r="AD30" s="65" t="n">
        <f aca="false">'Navy plan'!V30</f>
        <v>0</v>
      </c>
      <c r="AE30" s="70" t="n">
        <f aca="false">IF(AC30&gt;0,AB30/AC30,0)</f>
        <v>0</v>
      </c>
    </row>
    <row r="31" customFormat="false" ht="14.25" hidden="false" customHeight="false" outlineLevel="0" collapsed="false">
      <c r="A31" s="61" t="n">
        <v>1871</v>
      </c>
      <c r="B31" s="50" t="n">
        <f aca="false">B30+'Navy plan'!B31-IF($A31-Levers!$C$191&gt;=1846,INDEX('Navy plan'!B$6:B$92,$A31-1845-Levers!$C$191),0)</f>
        <v>11</v>
      </c>
      <c r="C31" s="50" t="n">
        <f aca="false">C30+'Navy plan'!C31-IF($A31-Levers!$D$191&gt;=1846,INDEX('Navy plan'!C$6:C$92,$A31-1845-Levers!$D$191),0)</f>
        <v>8</v>
      </c>
      <c r="D31" s="50" t="n">
        <f aca="false">D30+'Navy plan'!D31-IF($A31-Levers!$E$191&gt;=1846,INDEX('Navy plan'!D$6:D$92,$A31-1845-Levers!$E$191),0)</f>
        <v>0</v>
      </c>
      <c r="E31" s="50" t="n">
        <f aca="false">E30+'Navy plan'!E31-IF($A31-Levers!$F$191&gt;=1846,INDEX('Navy plan'!E$6:E$92,$A31-1845-Levers!$F$191),0)</f>
        <v>0</v>
      </c>
      <c r="F31" s="50" t="n">
        <f aca="false">F30+'Navy plan'!F31-IF($A31-Levers!$G$191&gt;=1846,INDEX('Navy plan'!F$6:F$92,$A31-1845-Levers!$G$191),0)</f>
        <v>0</v>
      </c>
      <c r="G31" s="50" t="n">
        <f aca="false">G30+'Navy plan'!G31-IF($A31-Levers!$H$191&gt;=1846,INDEX('Navy plan'!G$6:G$92,$A31-1845-Levers!$H$191),0)</f>
        <v>0</v>
      </c>
      <c r="H31" s="50" t="n">
        <f aca="false">H30+'Navy plan'!H31-IF($A31-Levers!$I$191&gt;=1846,INDEX('Navy plan'!H$6:H$92,$A31-1845-Levers!$I$191),0)</f>
        <v>0</v>
      </c>
      <c r="I31" s="50" t="n">
        <f aca="false">I30+'Navy plan'!I31-IF($A31-Levers!$J$191&gt;=1846,INDEX('Navy plan'!I$6:I$92,$A31-1845-Levers!$J$191),0)</f>
        <v>0</v>
      </c>
      <c r="J31" s="50" t="n">
        <f aca="false">J30+'Navy plan'!J31-IF($A31-Levers!$K$191&gt;=1846,INDEX('Navy plan'!J$6:J$92,$A31-1845-Levers!$K$191),0)</f>
        <v>0</v>
      </c>
      <c r="K31" s="50" t="n">
        <f aca="false">SUM(B31:J31)</f>
        <v>19</v>
      </c>
      <c r="L31" s="56" t="n">
        <f aca="false">0.5*SUMPRODUCT('Navy plan'!B31:J31,'Navy plan'!K31:S31)+0.5*SUMPRODUCT('Navy plan'!B32:J32,'Navy plan'!K32:S32)</f>
        <v>1.45</v>
      </c>
      <c r="M31" s="50" t="n">
        <f aca="false">SUMPRODUCT(B31:J31,Levers!$C$192:$K$192)</f>
        <v>3320</v>
      </c>
      <c r="N31" s="50" t="n">
        <f aca="false">SUMPRODUCT(B31:J31,Levers!$C$195:$K$195)</f>
        <v>3320</v>
      </c>
      <c r="O31" s="50"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50" t="n">
        <f aca="false">AA31+'Navy plan'!T31</f>
        <v>0</v>
      </c>
      <c r="AC31" s="65" t="n">
        <f aca="false">'Navy plan'!U31</f>
        <v>0</v>
      </c>
      <c r="AD31" s="65" t="n">
        <f aca="false">'Navy plan'!V31</f>
        <v>0</v>
      </c>
      <c r="AE31" s="70" t="n">
        <f aca="false">IF(AC31&gt;0,AB31/AC31,0)</f>
        <v>0</v>
      </c>
    </row>
    <row r="32" customFormat="false" ht="14.25" hidden="false" customHeight="false" outlineLevel="0" collapsed="false">
      <c r="A32" s="61" t="n">
        <v>1872</v>
      </c>
      <c r="B32" s="50" t="n">
        <f aca="false">B31+'Navy plan'!B32-IF($A32-Levers!$C$191&gt;=1846,INDEX('Navy plan'!B$6:B$92,$A32-1845-Levers!$C$191),0)</f>
        <v>12</v>
      </c>
      <c r="C32" s="50" t="n">
        <f aca="false">C31+'Navy plan'!C32-IF($A32-Levers!$D$191&gt;=1846,INDEX('Navy plan'!C$6:C$92,$A32-1845-Levers!$D$191),0)</f>
        <v>9</v>
      </c>
      <c r="D32" s="50" t="n">
        <f aca="false">D31+'Navy plan'!D32-IF($A32-Levers!$E$191&gt;=1846,INDEX('Navy plan'!D$6:D$92,$A32-1845-Levers!$E$191),0)</f>
        <v>0</v>
      </c>
      <c r="E32" s="50" t="n">
        <f aca="false">E31+'Navy plan'!E32-IF($A32-Levers!$F$191&gt;=1846,INDEX('Navy plan'!E$6:E$92,$A32-1845-Levers!$F$191),0)</f>
        <v>0</v>
      </c>
      <c r="F32" s="50" t="n">
        <f aca="false">F31+'Navy plan'!F32-IF($A32-Levers!$G$191&gt;=1846,INDEX('Navy plan'!F$6:F$92,$A32-1845-Levers!$G$191),0)</f>
        <v>0</v>
      </c>
      <c r="G32" s="50" t="n">
        <f aca="false">G31+'Navy plan'!G32-IF($A32-Levers!$H$191&gt;=1846,INDEX('Navy plan'!G$6:G$92,$A32-1845-Levers!$H$191),0)</f>
        <v>0</v>
      </c>
      <c r="H32" s="50" t="n">
        <f aca="false">H31+'Navy plan'!H32-IF($A32-Levers!$I$191&gt;=1846,INDEX('Navy plan'!H$6:H$92,$A32-1845-Levers!$I$191),0)</f>
        <v>0</v>
      </c>
      <c r="I32" s="50" t="n">
        <f aca="false">I31+'Navy plan'!I32-IF($A32-Levers!$J$191&gt;=1846,INDEX('Navy plan'!I$6:I$92,$A32-1845-Levers!$J$191),0)</f>
        <v>0</v>
      </c>
      <c r="J32" s="50" t="n">
        <f aca="false">J31+'Navy plan'!J32-IF($A32-Levers!$K$191&gt;=1846,INDEX('Navy plan'!J$6:J$92,$A32-1845-Levers!$K$191),0)</f>
        <v>0</v>
      </c>
      <c r="K32" s="50" t="n">
        <f aca="false">SUM(B32:J32)</f>
        <v>21</v>
      </c>
      <c r="L32" s="56" t="n">
        <f aca="false">0.5*SUMPRODUCT('Navy plan'!B32:J32,'Navy plan'!K32:S32)+0.5*SUMPRODUCT('Navy plan'!B33:J33,'Navy plan'!K33:S33)</f>
        <v>1.45</v>
      </c>
      <c r="M32" s="50" t="n">
        <f aca="false">SUMPRODUCT(B32:J32,Levers!$C$192:$K$192)</f>
        <v>3690</v>
      </c>
      <c r="N32" s="50" t="n">
        <f aca="false">SUMPRODUCT(B32:J32,Levers!$C$195:$K$195)</f>
        <v>3690</v>
      </c>
      <c r="O32" s="50"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50" t="n">
        <f aca="false">AA32+'Navy plan'!T32</f>
        <v>0</v>
      </c>
      <c r="AC32" s="65" t="n">
        <f aca="false">'Navy plan'!U32</f>
        <v>0</v>
      </c>
      <c r="AD32" s="65" t="n">
        <f aca="false">'Navy plan'!V32</f>
        <v>0</v>
      </c>
      <c r="AE32" s="70" t="n">
        <f aca="false">IF(AC32&gt;0,AB32/AC32,0)</f>
        <v>0</v>
      </c>
    </row>
    <row r="33" customFormat="false" ht="14.25" hidden="false" customHeight="false" outlineLevel="0" collapsed="false">
      <c r="A33" s="61" t="n">
        <v>1873</v>
      </c>
      <c r="B33" s="50" t="n">
        <f aca="false">B32+'Navy plan'!B33-IF($A33-Levers!$C$191&gt;=1846,INDEX('Navy plan'!B$6:B$92,$A33-1845-Levers!$C$191),0)</f>
        <v>12</v>
      </c>
      <c r="C33" s="50" t="n">
        <f aca="false">C32+'Navy plan'!C33-IF($A33-Levers!$D$191&gt;=1846,INDEX('Navy plan'!C$6:C$92,$A33-1845-Levers!$D$191),0)</f>
        <v>9</v>
      </c>
      <c r="D33" s="50" t="n">
        <f aca="false">D32+'Navy plan'!D33-IF($A33-Levers!$E$191&gt;=1846,INDEX('Navy plan'!D$6:D$92,$A33-1845-Levers!$E$191),0)</f>
        <v>0</v>
      </c>
      <c r="E33" s="50" t="n">
        <f aca="false">E32+'Navy plan'!E33-IF($A33-Levers!$F$191&gt;=1846,INDEX('Navy plan'!E$6:E$92,$A33-1845-Levers!$F$191),0)</f>
        <v>0</v>
      </c>
      <c r="F33" s="50" t="n">
        <f aca="false">F32+'Navy plan'!F33-IF($A33-Levers!$G$191&gt;=1846,INDEX('Navy plan'!F$6:F$92,$A33-1845-Levers!$G$191),0)</f>
        <v>0</v>
      </c>
      <c r="G33" s="50" t="n">
        <f aca="false">G32+'Navy plan'!G33-IF($A33-Levers!$H$191&gt;=1846,INDEX('Navy plan'!G$6:G$92,$A33-1845-Levers!$H$191),0)</f>
        <v>0</v>
      </c>
      <c r="H33" s="50" t="n">
        <f aca="false">H32+'Navy plan'!H33-IF($A33-Levers!$I$191&gt;=1846,INDEX('Navy plan'!H$6:H$92,$A33-1845-Levers!$I$191),0)</f>
        <v>0</v>
      </c>
      <c r="I33" s="50" t="n">
        <f aca="false">I32+'Navy plan'!I33-IF($A33-Levers!$J$191&gt;=1846,INDEX('Navy plan'!I$6:I$92,$A33-1845-Levers!$J$191),0)</f>
        <v>0</v>
      </c>
      <c r="J33" s="50" t="n">
        <f aca="false">J32+'Navy plan'!J33-IF($A33-Levers!$K$191&gt;=1846,INDEX('Navy plan'!J$6:J$92,$A33-1845-Levers!$K$191),0)</f>
        <v>0</v>
      </c>
      <c r="K33" s="50" t="n">
        <f aca="false">SUM(B33:J33)</f>
        <v>21</v>
      </c>
      <c r="L33" s="56" t="n">
        <f aca="false">0.5*SUMPRODUCT('Navy plan'!B33:J33,'Navy plan'!K33:S33)+0.5*SUMPRODUCT('Navy plan'!B34:J34,'Navy plan'!K34:S34)</f>
        <v>0</v>
      </c>
      <c r="M33" s="50" t="n">
        <f aca="false">SUMPRODUCT(B33:J33,Levers!$C$192:$K$192)</f>
        <v>3690</v>
      </c>
      <c r="N33" s="50" t="n">
        <f aca="false">SUMPRODUCT(B33:J33,Levers!$C$195:$K$195)</f>
        <v>3690</v>
      </c>
      <c r="O33" s="50"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50" t="n">
        <f aca="false">AA33+'Navy plan'!T33</f>
        <v>0</v>
      </c>
      <c r="AC33" s="65" t="n">
        <f aca="false">'Navy plan'!U33</f>
        <v>0</v>
      </c>
      <c r="AD33" s="65" t="n">
        <f aca="false">'Navy plan'!V33</f>
        <v>0</v>
      </c>
      <c r="AE33" s="70" t="n">
        <f aca="false">IF(AC33&gt;0,AB33/AC33,0)</f>
        <v>0</v>
      </c>
    </row>
    <row r="34" customFormat="false" ht="14.25" hidden="false" customHeight="false" outlineLevel="0" collapsed="false">
      <c r="A34" s="61" t="n">
        <v>1874</v>
      </c>
      <c r="B34" s="50" t="n">
        <f aca="false">B33+'Navy plan'!B34-IF($A34-Levers!$C$191&gt;=1846,INDEX('Navy plan'!B$6:B$92,$A34-1845-Levers!$C$191),0)</f>
        <v>12</v>
      </c>
      <c r="C34" s="50" t="n">
        <f aca="false">C33+'Navy plan'!C34-IF($A34-Levers!$D$191&gt;=1846,INDEX('Navy plan'!C$6:C$92,$A34-1845-Levers!$D$191),0)</f>
        <v>9</v>
      </c>
      <c r="D34" s="50" t="n">
        <f aca="false">D33+'Navy plan'!D34-IF($A34-Levers!$E$191&gt;=1846,INDEX('Navy plan'!D$6:D$92,$A34-1845-Levers!$E$191),0)</f>
        <v>0</v>
      </c>
      <c r="E34" s="50" t="n">
        <f aca="false">E33+'Navy plan'!E34-IF($A34-Levers!$F$191&gt;=1846,INDEX('Navy plan'!E$6:E$92,$A34-1845-Levers!$F$191),0)</f>
        <v>0</v>
      </c>
      <c r="F34" s="50" t="n">
        <f aca="false">F33+'Navy plan'!F34-IF($A34-Levers!$G$191&gt;=1846,INDEX('Navy plan'!F$6:F$92,$A34-1845-Levers!$G$191),0)</f>
        <v>0</v>
      </c>
      <c r="G34" s="50" t="n">
        <f aca="false">G33+'Navy plan'!G34-IF($A34-Levers!$H$191&gt;=1846,INDEX('Navy plan'!G$6:G$92,$A34-1845-Levers!$H$191),0)</f>
        <v>0</v>
      </c>
      <c r="H34" s="50" t="n">
        <f aca="false">H33+'Navy plan'!H34-IF($A34-Levers!$I$191&gt;=1846,INDEX('Navy plan'!H$6:H$92,$A34-1845-Levers!$I$191),0)</f>
        <v>0</v>
      </c>
      <c r="I34" s="50" t="n">
        <f aca="false">I33+'Navy plan'!I34-IF($A34-Levers!$J$191&gt;=1846,INDEX('Navy plan'!I$6:I$92,$A34-1845-Levers!$J$191),0)</f>
        <v>0</v>
      </c>
      <c r="J34" s="50" t="n">
        <f aca="false">J33+'Navy plan'!J34-IF($A34-Levers!$K$191&gt;=1846,INDEX('Navy plan'!J$6:J$92,$A34-1845-Levers!$K$191),0)</f>
        <v>0</v>
      </c>
      <c r="K34" s="50" t="n">
        <f aca="false">SUM(B34:J34)</f>
        <v>21</v>
      </c>
      <c r="L34" s="56" t="n">
        <f aca="false">0.5*SUMPRODUCT('Navy plan'!B34:J34,'Navy plan'!K34:S34)+0.5*SUMPRODUCT('Navy plan'!B35:J35,'Navy plan'!K35:S35)</f>
        <v>1.525</v>
      </c>
      <c r="M34" s="50" t="n">
        <f aca="false">SUMPRODUCT(B34:J34,Levers!$C$192:$K$192)</f>
        <v>3690</v>
      </c>
      <c r="N34" s="50" t="n">
        <f aca="false">SUMPRODUCT(B34:J34,Levers!$C$195:$K$195)</f>
        <v>3690</v>
      </c>
      <c r="O34" s="50"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50" t="n">
        <f aca="false">AA34+'Navy plan'!T34</f>
        <v>0</v>
      </c>
      <c r="AC34" s="65" t="n">
        <f aca="false">'Navy plan'!U34</f>
        <v>0</v>
      </c>
      <c r="AD34" s="65" t="n">
        <f aca="false">'Navy plan'!V34</f>
        <v>0</v>
      </c>
      <c r="AE34" s="70" t="n">
        <f aca="false">IF(AC34&gt;0,AB34/AC34,0)</f>
        <v>0</v>
      </c>
    </row>
    <row r="35" customFormat="false" ht="14.25" hidden="false" customHeight="false" outlineLevel="0" collapsed="false">
      <c r="A35" s="61" t="n">
        <v>1875</v>
      </c>
      <c r="B35" s="50" t="n">
        <f aca="false">B34+'Navy plan'!B35-IF($A35-Levers!$C$191&gt;=1846,INDEX('Navy plan'!B$6:B$92,$A35-1845-Levers!$C$191),0)</f>
        <v>13</v>
      </c>
      <c r="C35" s="50" t="n">
        <f aca="false">C34+'Navy plan'!C35-IF($A35-Levers!$D$191&gt;=1846,INDEX('Navy plan'!C$6:C$92,$A35-1845-Levers!$D$191),0)</f>
        <v>10</v>
      </c>
      <c r="D35" s="50" t="n">
        <f aca="false">D34+'Navy plan'!D35-IF($A35-Levers!$E$191&gt;=1846,INDEX('Navy plan'!D$6:D$92,$A35-1845-Levers!$E$191),0)</f>
        <v>0</v>
      </c>
      <c r="E35" s="50" t="n">
        <f aca="false">E34+'Navy plan'!E35-IF($A35-Levers!$F$191&gt;=1846,INDEX('Navy plan'!E$6:E$92,$A35-1845-Levers!$F$191),0)</f>
        <v>0</v>
      </c>
      <c r="F35" s="50" t="n">
        <f aca="false">F34+'Navy plan'!F35-IF($A35-Levers!$G$191&gt;=1846,INDEX('Navy plan'!F$6:F$92,$A35-1845-Levers!$G$191),0)</f>
        <v>0</v>
      </c>
      <c r="G35" s="50" t="n">
        <f aca="false">G34+'Navy plan'!G35-IF($A35-Levers!$H$191&gt;=1846,INDEX('Navy plan'!G$6:G$92,$A35-1845-Levers!$H$191),0)</f>
        <v>0</v>
      </c>
      <c r="H35" s="50" t="n">
        <f aca="false">H34+'Navy plan'!H35-IF($A35-Levers!$I$191&gt;=1846,INDEX('Navy plan'!H$6:H$92,$A35-1845-Levers!$I$191),0)</f>
        <v>0</v>
      </c>
      <c r="I35" s="50" t="n">
        <f aca="false">I34+'Navy plan'!I35-IF($A35-Levers!$J$191&gt;=1846,INDEX('Navy plan'!I$6:I$92,$A35-1845-Levers!$J$191),0)</f>
        <v>0</v>
      </c>
      <c r="J35" s="50" t="n">
        <f aca="false">J34+'Navy plan'!J35-IF($A35-Levers!$K$191&gt;=1846,INDEX('Navy plan'!J$6:J$92,$A35-1845-Levers!$K$191),0)</f>
        <v>0</v>
      </c>
      <c r="K35" s="50" t="n">
        <f aca="false">SUM(B35:J35)</f>
        <v>23</v>
      </c>
      <c r="L35" s="56" t="n">
        <f aca="false">0.5*SUMPRODUCT('Navy plan'!B35:J35,'Navy plan'!K35:S35)+0.5*SUMPRODUCT('Navy plan'!B36:J36,'Navy plan'!K36:S36)</f>
        <v>1.525</v>
      </c>
      <c r="M35" s="50" t="n">
        <f aca="false">SUMPRODUCT(B35:J35,Levers!$C$192:$K$192)</f>
        <v>4060</v>
      </c>
      <c r="N35" s="50" t="n">
        <f aca="false">SUMPRODUCT(B35:J35,Levers!$C$195:$K$195)</f>
        <v>4060</v>
      </c>
      <c r="O35" s="50"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50" t="n">
        <f aca="false">AA35+'Navy plan'!T35</f>
        <v>0</v>
      </c>
      <c r="AC35" s="65" t="n">
        <f aca="false">'Navy plan'!U35</f>
        <v>0</v>
      </c>
      <c r="AD35" s="65" t="n">
        <f aca="false">'Navy plan'!V35</f>
        <v>0</v>
      </c>
      <c r="AE35" s="70" t="n">
        <f aca="false">IF(AC35&gt;0,AB35/AC35,0)</f>
        <v>0</v>
      </c>
    </row>
    <row r="36" customFormat="false" ht="14.25" hidden="false" customHeight="false" outlineLevel="0" collapsed="false">
      <c r="A36" s="61" t="n">
        <v>1876</v>
      </c>
      <c r="B36" s="50" t="n">
        <f aca="false">B35+'Navy plan'!B36-IF($A36-Levers!$C$191&gt;=1846,INDEX('Navy plan'!B$6:B$92,$A36-1845-Levers!$C$191),0)</f>
        <v>13</v>
      </c>
      <c r="C36" s="50" t="n">
        <f aca="false">C35+'Navy plan'!C36-IF($A36-Levers!$D$191&gt;=1846,INDEX('Navy plan'!C$6:C$92,$A36-1845-Levers!$D$191),0)</f>
        <v>10</v>
      </c>
      <c r="D36" s="50" t="n">
        <f aca="false">D35+'Navy plan'!D36-IF($A36-Levers!$E$191&gt;=1846,INDEX('Navy plan'!D$6:D$92,$A36-1845-Levers!$E$191),0)</f>
        <v>0</v>
      </c>
      <c r="E36" s="50" t="n">
        <f aca="false">E35+'Navy plan'!E36-IF($A36-Levers!$F$191&gt;=1846,INDEX('Navy plan'!E$6:E$92,$A36-1845-Levers!$F$191),0)</f>
        <v>0</v>
      </c>
      <c r="F36" s="50" t="n">
        <f aca="false">F35+'Navy plan'!F36-IF($A36-Levers!$G$191&gt;=1846,INDEX('Navy plan'!F$6:F$92,$A36-1845-Levers!$G$191),0)</f>
        <v>0</v>
      </c>
      <c r="G36" s="50" t="n">
        <f aca="false">G35+'Navy plan'!G36-IF($A36-Levers!$H$191&gt;=1846,INDEX('Navy plan'!G$6:G$92,$A36-1845-Levers!$H$191),0)</f>
        <v>0</v>
      </c>
      <c r="H36" s="50" t="n">
        <f aca="false">H35+'Navy plan'!H36-IF($A36-Levers!$I$191&gt;=1846,INDEX('Navy plan'!H$6:H$92,$A36-1845-Levers!$I$191),0)</f>
        <v>0</v>
      </c>
      <c r="I36" s="50" t="n">
        <f aca="false">I35+'Navy plan'!I36-IF($A36-Levers!$J$191&gt;=1846,INDEX('Navy plan'!I$6:I$92,$A36-1845-Levers!$J$191),0)</f>
        <v>0</v>
      </c>
      <c r="J36" s="50" t="n">
        <f aca="false">J35+'Navy plan'!J36-IF($A36-Levers!$K$191&gt;=1846,INDEX('Navy plan'!J$6:J$92,$A36-1845-Levers!$K$191),0)</f>
        <v>0</v>
      </c>
      <c r="K36" s="50" t="n">
        <f aca="false">SUM(B36:J36)</f>
        <v>23</v>
      </c>
      <c r="L36" s="56" t="n">
        <f aca="false">0.5*SUMPRODUCT('Navy plan'!B36:J36,'Navy plan'!K36:S36)+0.5*SUMPRODUCT('Navy plan'!B37:J37,'Navy plan'!K37:S37)</f>
        <v>0</v>
      </c>
      <c r="M36" s="50" t="n">
        <f aca="false">SUMPRODUCT(B36:J36,Levers!$C$192:$K$192)</f>
        <v>4060</v>
      </c>
      <c r="N36" s="50" t="n">
        <f aca="false">SUMPRODUCT(B36:J36,Levers!$C$195:$K$195)</f>
        <v>4060</v>
      </c>
      <c r="O36" s="50"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50" t="n">
        <f aca="false">AA36+'Navy plan'!T36</f>
        <v>0</v>
      </c>
      <c r="AC36" s="65" t="n">
        <f aca="false">'Navy plan'!U36</f>
        <v>0</v>
      </c>
      <c r="AD36" s="65" t="n">
        <f aca="false">'Navy plan'!V36</f>
        <v>0</v>
      </c>
      <c r="AE36" s="70" t="n">
        <f aca="false">IF(AC36&gt;0,AB36/AC36,0)</f>
        <v>0</v>
      </c>
    </row>
    <row r="37" customFormat="false" ht="14.25" hidden="false" customHeight="false" outlineLevel="0" collapsed="false">
      <c r="A37" s="61" t="n">
        <v>1877</v>
      </c>
      <c r="B37" s="50" t="n">
        <f aca="false">B36+'Navy plan'!B37-IF($A37-Levers!$C$191&gt;=1846,INDEX('Navy plan'!B$6:B$92,$A37-1845-Levers!$C$191),0)</f>
        <v>13</v>
      </c>
      <c r="C37" s="50" t="n">
        <f aca="false">C36+'Navy plan'!C37-IF($A37-Levers!$D$191&gt;=1846,INDEX('Navy plan'!C$6:C$92,$A37-1845-Levers!$D$191),0)</f>
        <v>10</v>
      </c>
      <c r="D37" s="50" t="n">
        <f aca="false">D36+'Navy plan'!D37-IF($A37-Levers!$E$191&gt;=1846,INDEX('Navy plan'!D$6:D$92,$A37-1845-Levers!$E$191),0)</f>
        <v>0</v>
      </c>
      <c r="E37" s="50" t="n">
        <f aca="false">E36+'Navy plan'!E37-IF($A37-Levers!$F$191&gt;=1846,INDEX('Navy plan'!E$6:E$92,$A37-1845-Levers!$F$191),0)</f>
        <v>0</v>
      </c>
      <c r="F37" s="50" t="n">
        <f aca="false">F36+'Navy plan'!F37-IF($A37-Levers!$G$191&gt;=1846,INDEX('Navy plan'!F$6:F$92,$A37-1845-Levers!$G$191),0)</f>
        <v>0</v>
      </c>
      <c r="G37" s="50" t="n">
        <f aca="false">G36+'Navy plan'!G37-IF($A37-Levers!$H$191&gt;=1846,INDEX('Navy plan'!G$6:G$92,$A37-1845-Levers!$H$191),0)</f>
        <v>0</v>
      </c>
      <c r="H37" s="50" t="n">
        <f aca="false">H36+'Navy plan'!H37-IF($A37-Levers!$I$191&gt;=1846,INDEX('Navy plan'!H$6:H$92,$A37-1845-Levers!$I$191),0)</f>
        <v>0</v>
      </c>
      <c r="I37" s="50" t="n">
        <f aca="false">I36+'Navy plan'!I37-IF($A37-Levers!$J$191&gt;=1846,INDEX('Navy plan'!I$6:I$92,$A37-1845-Levers!$J$191),0)</f>
        <v>0</v>
      </c>
      <c r="J37" s="50" t="n">
        <f aca="false">J36+'Navy plan'!J37-IF($A37-Levers!$K$191&gt;=1846,INDEX('Navy plan'!J$6:J$92,$A37-1845-Levers!$K$191),0)</f>
        <v>0</v>
      </c>
      <c r="K37" s="50" t="n">
        <f aca="false">SUM(B37:J37)</f>
        <v>23</v>
      </c>
      <c r="L37" s="56" t="n">
        <f aca="false">0.5*SUMPRODUCT('Navy plan'!B37:J37,'Navy plan'!K37:S37)+0.5*SUMPRODUCT('Navy plan'!B38:J38,'Navy plan'!K38:S38)</f>
        <v>1.6</v>
      </c>
      <c r="M37" s="50" t="n">
        <f aca="false">SUMPRODUCT(B37:J37,Levers!$C$192:$K$192)</f>
        <v>4060</v>
      </c>
      <c r="N37" s="50" t="n">
        <f aca="false">SUMPRODUCT(B37:J37,Levers!$C$195:$K$195)</f>
        <v>4060</v>
      </c>
      <c r="O37" s="50"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50" t="n">
        <f aca="false">AA37+'Navy plan'!T37</f>
        <v>0</v>
      </c>
      <c r="AC37" s="65" t="n">
        <f aca="false">'Navy plan'!U37</f>
        <v>0</v>
      </c>
      <c r="AD37" s="65" t="n">
        <f aca="false">'Navy plan'!V37</f>
        <v>0</v>
      </c>
      <c r="AE37" s="70" t="n">
        <f aca="false">IF(AC37&gt;0,AB37/AC37,0)</f>
        <v>0</v>
      </c>
    </row>
    <row r="38" customFormat="false" ht="14.25" hidden="false" customHeight="false" outlineLevel="0" collapsed="false">
      <c r="A38" s="61" t="n">
        <v>1878</v>
      </c>
      <c r="B38" s="50" t="n">
        <f aca="false">B37+'Navy plan'!B38-IF($A38-Levers!$C$191&gt;=1846,INDEX('Navy plan'!B$6:B$92,$A38-1845-Levers!$C$191),0)</f>
        <v>14</v>
      </c>
      <c r="C38" s="50" t="n">
        <f aca="false">C37+'Navy plan'!C38-IF($A38-Levers!$D$191&gt;=1846,INDEX('Navy plan'!C$6:C$92,$A38-1845-Levers!$D$191),0)</f>
        <v>11</v>
      </c>
      <c r="D38" s="50" t="n">
        <f aca="false">D37+'Navy plan'!D38-IF($A38-Levers!$E$191&gt;=1846,INDEX('Navy plan'!D$6:D$92,$A38-1845-Levers!$E$191),0)</f>
        <v>0</v>
      </c>
      <c r="E38" s="50" t="n">
        <f aca="false">E37+'Navy plan'!E38-IF($A38-Levers!$F$191&gt;=1846,INDEX('Navy plan'!E$6:E$92,$A38-1845-Levers!$F$191),0)</f>
        <v>0</v>
      </c>
      <c r="F38" s="50" t="n">
        <f aca="false">F37+'Navy plan'!F38-IF($A38-Levers!$G$191&gt;=1846,INDEX('Navy plan'!F$6:F$92,$A38-1845-Levers!$G$191),0)</f>
        <v>0</v>
      </c>
      <c r="G38" s="50" t="n">
        <f aca="false">G37+'Navy plan'!G38-IF($A38-Levers!$H$191&gt;=1846,INDEX('Navy plan'!G$6:G$92,$A38-1845-Levers!$H$191),0)</f>
        <v>0</v>
      </c>
      <c r="H38" s="50" t="n">
        <f aca="false">H37+'Navy plan'!H38-IF($A38-Levers!$I$191&gt;=1846,INDEX('Navy plan'!H$6:H$92,$A38-1845-Levers!$I$191),0)</f>
        <v>0</v>
      </c>
      <c r="I38" s="50" t="n">
        <f aca="false">I37+'Navy plan'!I38-IF($A38-Levers!$J$191&gt;=1846,INDEX('Navy plan'!I$6:I$92,$A38-1845-Levers!$J$191),0)</f>
        <v>0</v>
      </c>
      <c r="J38" s="50" t="n">
        <f aca="false">J37+'Navy plan'!J38-IF($A38-Levers!$K$191&gt;=1846,INDEX('Navy plan'!J$6:J$92,$A38-1845-Levers!$K$191),0)</f>
        <v>0</v>
      </c>
      <c r="K38" s="50" t="n">
        <f aca="false">SUM(B38:J38)</f>
        <v>25</v>
      </c>
      <c r="L38" s="56" t="n">
        <f aca="false">0.5*SUMPRODUCT('Navy plan'!B38:J38,'Navy plan'!K38:S38)+0.5*SUMPRODUCT('Navy plan'!B39:J39,'Navy plan'!K39:S39)</f>
        <v>1.6</v>
      </c>
      <c r="M38" s="50" t="n">
        <f aca="false">SUMPRODUCT(B38:J38,Levers!$C$192:$K$192)</f>
        <v>4430</v>
      </c>
      <c r="N38" s="50" t="n">
        <f aca="false">SUMPRODUCT(B38:J38,Levers!$C$195:$K$195)</f>
        <v>4430</v>
      </c>
      <c r="O38" s="50"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50" t="n">
        <f aca="false">AA38+'Navy plan'!T38</f>
        <v>0</v>
      </c>
      <c r="AC38" s="65" t="n">
        <f aca="false">'Navy plan'!U38</f>
        <v>0</v>
      </c>
      <c r="AD38" s="65" t="n">
        <f aca="false">'Navy plan'!V38</f>
        <v>0</v>
      </c>
      <c r="AE38" s="70" t="n">
        <f aca="false">IF(AC38&gt;0,AB38/AC38,0)</f>
        <v>0</v>
      </c>
    </row>
    <row r="39" customFormat="false" ht="14.25" hidden="false" customHeight="false" outlineLevel="0" collapsed="false">
      <c r="A39" s="61" t="n">
        <v>1879</v>
      </c>
      <c r="B39" s="50" t="n">
        <f aca="false">B38+'Navy plan'!B39-IF($A39-Levers!$C$191&gt;=1846,INDEX('Navy plan'!B$6:B$92,$A39-1845-Levers!$C$191),0)</f>
        <v>14</v>
      </c>
      <c r="C39" s="50" t="n">
        <f aca="false">C38+'Navy plan'!C39-IF($A39-Levers!$D$191&gt;=1846,INDEX('Navy plan'!C$6:C$92,$A39-1845-Levers!$D$191),0)</f>
        <v>11</v>
      </c>
      <c r="D39" s="50" t="n">
        <f aca="false">D38+'Navy plan'!D39-IF($A39-Levers!$E$191&gt;=1846,INDEX('Navy plan'!D$6:D$92,$A39-1845-Levers!$E$191),0)</f>
        <v>0</v>
      </c>
      <c r="E39" s="50" t="n">
        <f aca="false">E38+'Navy plan'!E39-IF($A39-Levers!$F$191&gt;=1846,INDEX('Navy plan'!E$6:E$92,$A39-1845-Levers!$F$191),0)</f>
        <v>0</v>
      </c>
      <c r="F39" s="50" t="n">
        <f aca="false">F38+'Navy plan'!F39-IF($A39-Levers!$G$191&gt;=1846,INDEX('Navy plan'!F$6:F$92,$A39-1845-Levers!$G$191),0)</f>
        <v>0</v>
      </c>
      <c r="G39" s="50" t="n">
        <f aca="false">G38+'Navy plan'!G39-IF($A39-Levers!$H$191&gt;=1846,INDEX('Navy plan'!G$6:G$92,$A39-1845-Levers!$H$191),0)</f>
        <v>0</v>
      </c>
      <c r="H39" s="50" t="n">
        <f aca="false">H38+'Navy plan'!H39-IF($A39-Levers!$I$191&gt;=1846,INDEX('Navy plan'!H$6:H$92,$A39-1845-Levers!$I$191),0)</f>
        <v>0</v>
      </c>
      <c r="I39" s="50" t="n">
        <f aca="false">I38+'Navy plan'!I39-IF($A39-Levers!$J$191&gt;=1846,INDEX('Navy plan'!I$6:I$92,$A39-1845-Levers!$J$191),0)</f>
        <v>0</v>
      </c>
      <c r="J39" s="50" t="n">
        <f aca="false">J38+'Navy plan'!J39-IF($A39-Levers!$K$191&gt;=1846,INDEX('Navy plan'!J$6:J$92,$A39-1845-Levers!$K$191),0)</f>
        <v>0</v>
      </c>
      <c r="K39" s="50" t="n">
        <f aca="false">SUM(B39:J39)</f>
        <v>25</v>
      </c>
      <c r="L39" s="56" t="n">
        <f aca="false">0.5*SUMPRODUCT('Navy plan'!B39:J39,'Navy plan'!K39:S39)+0.5*SUMPRODUCT('Navy plan'!B40:J40,'Navy plan'!K40:S40)</f>
        <v>0</v>
      </c>
      <c r="M39" s="50" t="n">
        <f aca="false">SUMPRODUCT(B39:J39,Levers!$C$192:$K$192)</f>
        <v>4430</v>
      </c>
      <c r="N39" s="50" t="n">
        <f aca="false">SUMPRODUCT(B39:J39,Levers!$C$195:$K$195)</f>
        <v>4430</v>
      </c>
      <c r="O39" s="50"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50" t="n">
        <f aca="false">AA39+'Navy plan'!T39</f>
        <v>0</v>
      </c>
      <c r="AC39" s="65" t="n">
        <f aca="false">'Navy plan'!U39</f>
        <v>0</v>
      </c>
      <c r="AD39" s="65" t="n">
        <f aca="false">'Navy plan'!V39</f>
        <v>0</v>
      </c>
      <c r="AE39" s="70" t="n">
        <f aca="false">IF(AC39&gt;0,AB39/AC39,0)</f>
        <v>0</v>
      </c>
    </row>
    <row r="40" customFormat="false" ht="14.25" hidden="false" customHeight="false" outlineLevel="0" collapsed="false">
      <c r="A40" s="61" t="n">
        <v>1880</v>
      </c>
      <c r="B40" s="50" t="n">
        <f aca="false">B39+'Navy plan'!B40-IF($A40-Levers!$C$191&gt;=1846,INDEX('Navy plan'!B$6:B$92,$A40-1845-Levers!$C$191),0)</f>
        <v>14</v>
      </c>
      <c r="C40" s="50" t="n">
        <f aca="false">C39+'Navy plan'!C40-IF($A40-Levers!$D$191&gt;=1846,INDEX('Navy plan'!C$6:C$92,$A40-1845-Levers!$D$191),0)</f>
        <v>11</v>
      </c>
      <c r="D40" s="50" t="n">
        <f aca="false">D39+'Navy plan'!D40-IF($A40-Levers!$E$191&gt;=1846,INDEX('Navy plan'!D$6:D$92,$A40-1845-Levers!$E$191),0)</f>
        <v>0</v>
      </c>
      <c r="E40" s="50" t="n">
        <f aca="false">E39+'Navy plan'!E40-IF($A40-Levers!$F$191&gt;=1846,INDEX('Navy plan'!E$6:E$92,$A40-1845-Levers!$F$191),0)</f>
        <v>0</v>
      </c>
      <c r="F40" s="50" t="n">
        <f aca="false">F39+'Navy plan'!F40-IF($A40-Levers!$G$191&gt;=1846,INDEX('Navy plan'!F$6:F$92,$A40-1845-Levers!$G$191),0)</f>
        <v>0</v>
      </c>
      <c r="G40" s="50" t="n">
        <f aca="false">G39+'Navy plan'!G40-IF($A40-Levers!$H$191&gt;=1846,INDEX('Navy plan'!G$6:G$92,$A40-1845-Levers!$H$191),0)</f>
        <v>0</v>
      </c>
      <c r="H40" s="50" t="n">
        <f aca="false">H39+'Navy plan'!H40-IF($A40-Levers!$I$191&gt;=1846,INDEX('Navy plan'!H$6:H$92,$A40-1845-Levers!$I$191),0)</f>
        <v>0</v>
      </c>
      <c r="I40" s="50" t="n">
        <f aca="false">I39+'Navy plan'!I40-IF($A40-Levers!$J$191&gt;=1846,INDEX('Navy plan'!I$6:I$92,$A40-1845-Levers!$J$191),0)</f>
        <v>0</v>
      </c>
      <c r="J40" s="50" t="n">
        <f aca="false">J39+'Navy plan'!J40-IF($A40-Levers!$K$191&gt;=1846,INDEX('Navy plan'!J$6:J$92,$A40-1845-Levers!$K$191),0)</f>
        <v>0</v>
      </c>
      <c r="K40" s="50" t="n">
        <f aca="false">SUM(B40:J40)</f>
        <v>25</v>
      </c>
      <c r="L40" s="56" t="n">
        <f aca="false">0.5*SUMPRODUCT('Navy plan'!B40:J40,'Navy plan'!K40:S40)+0.5*SUMPRODUCT('Navy plan'!B41:J41,'Navy plan'!K41:S41)</f>
        <v>1.65</v>
      </c>
      <c r="M40" s="50" t="n">
        <f aca="false">SUMPRODUCT(B40:J40,Levers!$C$192:$K$192)</f>
        <v>4430</v>
      </c>
      <c r="N40" s="50" t="n">
        <f aca="false">SUMPRODUCT(B40:J40,Levers!$C$195:$K$195)</f>
        <v>4430</v>
      </c>
      <c r="O40" s="50"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50" t="n">
        <f aca="false">AA40+'Navy plan'!T40</f>
        <v>0</v>
      </c>
      <c r="AC40" s="65" t="n">
        <f aca="false">'Navy plan'!U40</f>
        <v>0</v>
      </c>
      <c r="AD40" s="65" t="n">
        <f aca="false">'Navy plan'!V40</f>
        <v>0</v>
      </c>
      <c r="AE40" s="70" t="n">
        <f aca="false">IF(AC40&gt;0,AB40/AC40,0)</f>
        <v>0</v>
      </c>
    </row>
    <row r="41" customFormat="false" ht="14.25" hidden="false" customHeight="false" outlineLevel="0" collapsed="false">
      <c r="A41" s="61" t="n">
        <v>1881</v>
      </c>
      <c r="B41" s="50" t="n">
        <f aca="false">B40+'Navy plan'!B41-IF($A41-Levers!$C$191&gt;=1846,INDEX('Navy plan'!B$6:B$92,$A41-1845-Levers!$C$191),0)</f>
        <v>15</v>
      </c>
      <c r="C41" s="50" t="n">
        <f aca="false">C40+'Navy plan'!C41-IF($A41-Levers!$D$191&gt;=1846,INDEX('Navy plan'!C$6:C$92,$A41-1845-Levers!$D$191),0)</f>
        <v>11</v>
      </c>
      <c r="D41" s="50" t="n">
        <f aca="false">D40+'Navy plan'!D41-IF($A41-Levers!$E$191&gt;=1846,INDEX('Navy plan'!D$6:D$92,$A41-1845-Levers!$E$191),0)</f>
        <v>0</v>
      </c>
      <c r="E41" s="50" t="n">
        <f aca="false">E40+'Navy plan'!E41-IF($A41-Levers!$F$191&gt;=1846,INDEX('Navy plan'!E$6:E$92,$A41-1845-Levers!$F$191),0)</f>
        <v>0</v>
      </c>
      <c r="F41" s="50" t="n">
        <f aca="false">F40+'Navy plan'!F41-IF($A41-Levers!$G$191&gt;=1846,INDEX('Navy plan'!F$6:F$92,$A41-1845-Levers!$G$191),0)</f>
        <v>0</v>
      </c>
      <c r="G41" s="50" t="n">
        <f aca="false">G40+'Navy plan'!G41-IF($A41-Levers!$H$191&gt;=1846,INDEX('Navy plan'!G$6:G$92,$A41-1845-Levers!$H$191),0)</f>
        <v>0</v>
      </c>
      <c r="H41" s="50" t="n">
        <f aca="false">H40+'Navy plan'!H41-IF($A41-Levers!$I$191&gt;=1846,INDEX('Navy plan'!H$6:H$92,$A41-1845-Levers!$I$191),0)</f>
        <v>0</v>
      </c>
      <c r="I41" s="50" t="n">
        <f aca="false">I40+'Navy plan'!I41-IF($A41-Levers!$J$191&gt;=1846,INDEX('Navy plan'!I$6:I$92,$A41-1845-Levers!$J$191),0)</f>
        <v>0</v>
      </c>
      <c r="J41" s="50" t="n">
        <f aca="false">J40+'Navy plan'!J41-IF($A41-Levers!$K$191&gt;=1846,INDEX('Navy plan'!J$6:J$92,$A41-1845-Levers!$K$191),0)</f>
        <v>0</v>
      </c>
      <c r="K41" s="50" t="n">
        <f aca="false">SUM(B41:J41)</f>
        <v>26</v>
      </c>
      <c r="L41" s="56" t="n">
        <f aca="false">0.5*SUMPRODUCT('Navy plan'!B41:J41,'Navy plan'!K41:S41)+0.5*SUMPRODUCT('Navy plan'!B42:J42,'Navy plan'!K42:S42)</f>
        <v>1.722</v>
      </c>
      <c r="M41" s="50" t="n">
        <f aca="false">SUMPRODUCT(B41:J41,Levers!$C$192:$K$192)</f>
        <v>4550</v>
      </c>
      <c r="N41" s="50" t="n">
        <f aca="false">SUMPRODUCT(B41:J41,Levers!$C$195:$K$195)</f>
        <v>4550</v>
      </c>
      <c r="O41" s="50"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50" t="n">
        <f aca="false">AA41+'Navy plan'!T41</f>
        <v>0</v>
      </c>
      <c r="AC41" s="65" t="n">
        <f aca="false">'Navy plan'!U41</f>
        <v>0</v>
      </c>
      <c r="AD41" s="65" t="n">
        <f aca="false">'Navy plan'!V41</f>
        <v>0</v>
      </c>
      <c r="AE41" s="70" t="n">
        <f aca="false">IF(AC41&gt;0,AB41/AC41,0)</f>
        <v>0</v>
      </c>
    </row>
    <row r="42" customFormat="false" ht="14.25" hidden="false" customHeight="false" outlineLevel="0" collapsed="false">
      <c r="A42" s="61" t="n">
        <v>1882</v>
      </c>
      <c r="B42" s="50" t="n">
        <f aca="false">B41+'Navy plan'!B42-IF($A42-Levers!$C$191&gt;=1846,INDEX('Navy plan'!B$6:B$92,$A42-1845-Levers!$C$191),0)</f>
        <v>15</v>
      </c>
      <c r="C42" s="50" t="n">
        <f aca="false">C41+'Navy plan'!C42-IF($A42-Levers!$D$191&gt;=1846,INDEX('Navy plan'!C$6:C$92,$A42-1845-Levers!$D$191),0)</f>
        <v>11</v>
      </c>
      <c r="D42" s="50" t="n">
        <f aca="false">D41+'Navy plan'!D42-IF($A42-Levers!$E$191&gt;=1846,INDEX('Navy plan'!D$6:D$92,$A42-1845-Levers!$E$191),0)</f>
        <v>2</v>
      </c>
      <c r="E42" s="50" t="n">
        <f aca="false">E41+'Navy plan'!E42-IF($A42-Levers!$F$191&gt;=1846,INDEX('Navy plan'!E$6:E$92,$A42-1845-Levers!$F$191),0)</f>
        <v>0</v>
      </c>
      <c r="F42" s="50" t="n">
        <f aca="false">F41+'Navy plan'!F42-IF($A42-Levers!$G$191&gt;=1846,INDEX('Navy plan'!F$6:F$92,$A42-1845-Levers!$G$191),0)</f>
        <v>0</v>
      </c>
      <c r="G42" s="50" t="n">
        <f aca="false">G41+'Navy plan'!G42-IF($A42-Levers!$H$191&gt;=1846,INDEX('Navy plan'!G$6:G$92,$A42-1845-Levers!$H$191),0)</f>
        <v>0</v>
      </c>
      <c r="H42" s="50" t="n">
        <f aca="false">H41+'Navy plan'!H42-IF($A42-Levers!$I$191&gt;=1846,INDEX('Navy plan'!H$6:H$92,$A42-1845-Levers!$I$191),0)</f>
        <v>0</v>
      </c>
      <c r="I42" s="50" t="n">
        <f aca="false">I41+'Navy plan'!I42-IF($A42-Levers!$J$191&gt;=1846,INDEX('Navy plan'!I$6:I$92,$A42-1845-Levers!$J$191),0)</f>
        <v>0</v>
      </c>
      <c r="J42" s="50" t="n">
        <f aca="false">J41+'Navy plan'!J42-IF($A42-Levers!$K$191&gt;=1846,INDEX('Navy plan'!J$6:J$92,$A42-1845-Levers!$K$191),0)</f>
        <v>0</v>
      </c>
      <c r="K42" s="50" t="n">
        <f aca="false">SUM(B42:J42)</f>
        <v>28</v>
      </c>
      <c r="L42" s="56" t="n">
        <f aca="false">0.5*SUMPRODUCT('Navy plan'!B42:J42,'Navy plan'!K42:S42)+0.5*SUMPRODUCT('Navy plan'!B43:J43,'Navy plan'!K43:S43)</f>
        <v>0.072</v>
      </c>
      <c r="M42" s="50" t="n">
        <f aca="false">SUMPRODUCT(B42:J42,Levers!$C$192:$K$192)</f>
        <v>4590</v>
      </c>
      <c r="N42" s="50" t="n">
        <f aca="false">SUMPRODUCT(B42:J42,Levers!$C$195:$K$195)</f>
        <v>4601.28205128205</v>
      </c>
      <c r="O42" s="50"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50" t="n">
        <f aca="false">AA42+'Navy plan'!T42</f>
        <v>0</v>
      </c>
      <c r="AC42" s="65" t="n">
        <f aca="false">'Navy plan'!U42</f>
        <v>0</v>
      </c>
      <c r="AD42" s="65" t="n">
        <f aca="false">'Navy plan'!V42</f>
        <v>0</v>
      </c>
      <c r="AE42" s="70" t="n">
        <f aca="false">IF(AC42&gt;0,AB42/AC42,0)</f>
        <v>0</v>
      </c>
    </row>
    <row r="43" customFormat="false" ht="14.25" hidden="false" customHeight="false" outlineLevel="0" collapsed="false">
      <c r="A43" s="61" t="n">
        <v>1883</v>
      </c>
      <c r="B43" s="50" t="n">
        <f aca="false">B42+'Navy plan'!B43-IF($A43-Levers!$C$191&gt;=1846,INDEX('Navy plan'!B$6:B$92,$A43-1845-Levers!$C$191),0)</f>
        <v>15</v>
      </c>
      <c r="C43" s="50" t="n">
        <f aca="false">C42+'Navy plan'!C43-IF($A43-Levers!$D$191&gt;=1846,INDEX('Navy plan'!C$6:C$92,$A43-1845-Levers!$D$191),0)</f>
        <v>11</v>
      </c>
      <c r="D43" s="50" t="n">
        <f aca="false">D42+'Navy plan'!D43-IF($A43-Levers!$E$191&gt;=1846,INDEX('Navy plan'!D$6:D$92,$A43-1845-Levers!$E$191),0)</f>
        <v>2</v>
      </c>
      <c r="E43" s="50" t="n">
        <f aca="false">E42+'Navy plan'!E43-IF($A43-Levers!$F$191&gt;=1846,INDEX('Navy plan'!E$6:E$92,$A43-1845-Levers!$F$191),0)</f>
        <v>0</v>
      </c>
      <c r="F43" s="50" t="n">
        <f aca="false">F42+'Navy plan'!F43-IF($A43-Levers!$G$191&gt;=1846,INDEX('Navy plan'!F$6:F$92,$A43-1845-Levers!$G$191),0)</f>
        <v>0</v>
      </c>
      <c r="G43" s="50" t="n">
        <f aca="false">G42+'Navy plan'!G43-IF($A43-Levers!$H$191&gt;=1846,INDEX('Navy plan'!G$6:G$92,$A43-1845-Levers!$H$191),0)</f>
        <v>0</v>
      </c>
      <c r="H43" s="50" t="n">
        <f aca="false">H42+'Navy plan'!H43-IF($A43-Levers!$I$191&gt;=1846,INDEX('Navy plan'!H$6:H$92,$A43-1845-Levers!$I$191),0)</f>
        <v>0</v>
      </c>
      <c r="I43" s="50" t="n">
        <f aca="false">I42+'Navy plan'!I43-IF($A43-Levers!$J$191&gt;=1846,INDEX('Navy plan'!I$6:I$92,$A43-1845-Levers!$J$191),0)</f>
        <v>0</v>
      </c>
      <c r="J43" s="50" t="n">
        <f aca="false">J42+'Navy plan'!J43-IF($A43-Levers!$K$191&gt;=1846,INDEX('Navy plan'!J$6:J$92,$A43-1845-Levers!$K$191),0)</f>
        <v>0</v>
      </c>
      <c r="K43" s="50" t="n">
        <f aca="false">SUM(B43:J43)</f>
        <v>28</v>
      </c>
      <c r="L43" s="56" t="n">
        <f aca="false">0.5*SUMPRODUCT('Navy plan'!B43:J43,'Navy plan'!K43:S43)+0.5*SUMPRODUCT('Navy plan'!B44:J44,'Navy plan'!K44:S44)</f>
        <v>1.798</v>
      </c>
      <c r="M43" s="50" t="n">
        <f aca="false">SUMPRODUCT(B43:J43,Levers!$C$192:$K$192)</f>
        <v>4590</v>
      </c>
      <c r="N43" s="50" t="n">
        <f aca="false">SUMPRODUCT(B43:J43,Levers!$C$195:$K$195)</f>
        <v>4601.28205128205</v>
      </c>
      <c r="O43" s="50"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50" t="n">
        <f aca="false">AA43+'Navy plan'!T43</f>
        <v>0</v>
      </c>
      <c r="AC43" s="65" t="n">
        <f aca="false">'Navy plan'!U43</f>
        <v>0</v>
      </c>
      <c r="AD43" s="65" t="n">
        <f aca="false">'Navy plan'!V43</f>
        <v>0</v>
      </c>
      <c r="AE43" s="70" t="n">
        <f aca="false">IF(AC43&gt;0,AB43/AC43,0)</f>
        <v>0</v>
      </c>
    </row>
    <row r="44" customFormat="false" ht="14.25" hidden="false" customHeight="false" outlineLevel="0" collapsed="false">
      <c r="A44" s="61" t="n">
        <v>1884</v>
      </c>
      <c r="B44" s="50" t="n">
        <f aca="false">B43+'Navy plan'!B44-IF($A44-Levers!$C$191&gt;=1846,INDEX('Navy plan'!B$6:B$92,$A44-1845-Levers!$C$191),0)</f>
        <v>16</v>
      </c>
      <c r="C44" s="50" t="n">
        <f aca="false">C43+'Navy plan'!C44-IF($A44-Levers!$D$191&gt;=1846,INDEX('Navy plan'!C$6:C$92,$A44-1845-Levers!$D$191),0)</f>
        <v>12</v>
      </c>
      <c r="D44" s="50" t="n">
        <f aca="false">D43+'Navy plan'!D44-IF($A44-Levers!$E$191&gt;=1846,INDEX('Navy plan'!D$6:D$92,$A44-1845-Levers!$E$191),0)</f>
        <v>6</v>
      </c>
      <c r="E44" s="50" t="n">
        <f aca="false">E43+'Navy plan'!E44-IF($A44-Levers!$F$191&gt;=1846,INDEX('Navy plan'!E$6:E$92,$A44-1845-Levers!$F$191),0)</f>
        <v>0</v>
      </c>
      <c r="F44" s="50" t="n">
        <f aca="false">F43+'Navy plan'!F44-IF($A44-Levers!$G$191&gt;=1846,INDEX('Navy plan'!F$6:F$92,$A44-1845-Levers!$G$191),0)</f>
        <v>0</v>
      </c>
      <c r="G44" s="50" t="n">
        <f aca="false">G43+'Navy plan'!G44-IF($A44-Levers!$H$191&gt;=1846,INDEX('Navy plan'!G$6:G$92,$A44-1845-Levers!$H$191),0)</f>
        <v>0</v>
      </c>
      <c r="H44" s="50" t="n">
        <f aca="false">H43+'Navy plan'!H44-IF($A44-Levers!$I$191&gt;=1846,INDEX('Navy plan'!H$6:H$92,$A44-1845-Levers!$I$191),0)</f>
        <v>0</v>
      </c>
      <c r="I44" s="50" t="n">
        <f aca="false">I43+'Navy plan'!I44-IF($A44-Levers!$J$191&gt;=1846,INDEX('Navy plan'!I$6:I$92,$A44-1845-Levers!$J$191),0)</f>
        <v>0</v>
      </c>
      <c r="J44" s="50" t="n">
        <f aca="false">J43+'Navy plan'!J44-IF($A44-Levers!$K$191&gt;=1846,INDEX('Navy plan'!J$6:J$92,$A44-1845-Levers!$K$191),0)</f>
        <v>0</v>
      </c>
      <c r="K44" s="50" t="n">
        <f aca="false">SUM(B44:J44)</f>
        <v>34</v>
      </c>
      <c r="L44" s="56" t="n">
        <f aca="false">0.5*SUMPRODUCT('Navy plan'!B44:J44,'Navy plan'!K44:S44)+0.5*SUMPRODUCT('Navy plan'!B45:J45,'Navy plan'!K45:S45)</f>
        <v>1.798</v>
      </c>
      <c r="M44" s="50" t="n">
        <f aca="false">SUMPRODUCT(B44:J44,Levers!$C$192:$K$192)</f>
        <v>5040</v>
      </c>
      <c r="N44" s="50" t="n">
        <f aca="false">SUMPRODUCT(B44:J44,Levers!$C$195:$K$195)</f>
        <v>5073.84615384615</v>
      </c>
      <c r="O44" s="50"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50" t="n">
        <f aca="false">AA44+'Navy plan'!T44</f>
        <v>0</v>
      </c>
      <c r="AC44" s="65" t="n">
        <f aca="false">'Navy plan'!U44</f>
        <v>0</v>
      </c>
      <c r="AD44" s="65" t="n">
        <f aca="false">'Navy plan'!V44</f>
        <v>0</v>
      </c>
      <c r="AE44" s="70" t="n">
        <f aca="false">IF(AC44&gt;0,AB44/AC44,0)</f>
        <v>0</v>
      </c>
    </row>
    <row r="45" customFormat="false" ht="14.25" hidden="false" customHeight="false" outlineLevel="0" collapsed="false">
      <c r="A45" s="61" t="n">
        <v>1885</v>
      </c>
      <c r="B45" s="50" t="n">
        <f aca="false">B44+'Navy plan'!B45-IF($A45-Levers!$C$191&gt;=1846,INDEX('Navy plan'!B$6:B$92,$A45-1845-Levers!$C$191),0)</f>
        <v>16</v>
      </c>
      <c r="C45" s="50" t="n">
        <f aca="false">C44+'Navy plan'!C45-IF($A45-Levers!$D$191&gt;=1846,INDEX('Navy plan'!C$6:C$92,$A45-1845-Levers!$D$191),0)</f>
        <v>12</v>
      </c>
      <c r="D45" s="50" t="n">
        <f aca="false">D44+'Navy plan'!D45-IF($A45-Levers!$E$191&gt;=1846,INDEX('Navy plan'!D$6:D$92,$A45-1845-Levers!$E$191),0)</f>
        <v>6</v>
      </c>
      <c r="E45" s="50" t="n">
        <f aca="false">E44+'Navy plan'!E45-IF($A45-Levers!$F$191&gt;=1846,INDEX('Navy plan'!E$6:E$92,$A45-1845-Levers!$F$191),0)</f>
        <v>0</v>
      </c>
      <c r="F45" s="50" t="n">
        <f aca="false">F44+'Navy plan'!F45-IF($A45-Levers!$G$191&gt;=1846,INDEX('Navy plan'!F$6:F$92,$A45-1845-Levers!$G$191),0)</f>
        <v>0</v>
      </c>
      <c r="G45" s="50" t="n">
        <f aca="false">G44+'Navy plan'!G45-IF($A45-Levers!$H$191&gt;=1846,INDEX('Navy plan'!G$6:G$92,$A45-1845-Levers!$H$191),0)</f>
        <v>0</v>
      </c>
      <c r="H45" s="50" t="n">
        <f aca="false">H44+'Navy plan'!H45-IF($A45-Levers!$I$191&gt;=1846,INDEX('Navy plan'!H$6:H$92,$A45-1845-Levers!$I$191),0)</f>
        <v>0</v>
      </c>
      <c r="I45" s="50" t="n">
        <f aca="false">I44+'Navy plan'!I45-IF($A45-Levers!$J$191&gt;=1846,INDEX('Navy plan'!I$6:I$92,$A45-1845-Levers!$J$191),0)</f>
        <v>0</v>
      </c>
      <c r="J45" s="50" t="n">
        <f aca="false">J44+'Navy plan'!J45-IF($A45-Levers!$K$191&gt;=1846,INDEX('Navy plan'!J$6:J$92,$A45-1845-Levers!$K$191),0)</f>
        <v>0</v>
      </c>
      <c r="K45" s="50" t="n">
        <f aca="false">SUM(B45:J45)</f>
        <v>34</v>
      </c>
      <c r="L45" s="56" t="n">
        <f aca="false">0.5*SUMPRODUCT('Navy plan'!B45:J45,'Navy plan'!K45:S45)+0.5*SUMPRODUCT('Navy plan'!B46:J46,'Navy plan'!K46:S46)</f>
        <v>0.228</v>
      </c>
      <c r="M45" s="50" t="n">
        <f aca="false">SUMPRODUCT(B45:J45,Levers!$C$192:$K$192)</f>
        <v>5040</v>
      </c>
      <c r="N45" s="50" t="n">
        <f aca="false">SUMPRODUCT(B45:J45,Levers!$C$195:$K$195)</f>
        <v>5073.84615384615</v>
      </c>
      <c r="O45" s="50"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50" t="n">
        <f aca="false">AA45+'Navy plan'!T45</f>
        <v>0</v>
      </c>
      <c r="AC45" s="65" t="n">
        <f aca="false">'Navy plan'!U45</f>
        <v>0</v>
      </c>
      <c r="AD45" s="65" t="n">
        <f aca="false">'Navy plan'!V45</f>
        <v>0</v>
      </c>
      <c r="AE45" s="70" t="n">
        <f aca="false">IF(AC45&gt;0,AB45/AC45,0)</f>
        <v>0</v>
      </c>
    </row>
    <row r="46" customFormat="false" ht="14.25" hidden="false" customHeight="false" outlineLevel="0" collapsed="false">
      <c r="A46" s="61" t="n">
        <v>1886</v>
      </c>
      <c r="B46" s="50" t="n">
        <f aca="false">B45+'Navy plan'!B46-IF($A46-Levers!$C$191&gt;=1846,INDEX('Navy plan'!B$6:B$92,$A46-1845-Levers!$C$191),0)</f>
        <v>16</v>
      </c>
      <c r="C46" s="50" t="n">
        <f aca="false">C45+'Navy plan'!C46-IF($A46-Levers!$D$191&gt;=1846,INDEX('Navy plan'!C$6:C$92,$A46-1845-Levers!$D$191),0)</f>
        <v>12</v>
      </c>
      <c r="D46" s="50" t="n">
        <f aca="false">D45+'Navy plan'!D46-IF($A46-Levers!$E$191&gt;=1846,INDEX('Navy plan'!D$6:D$92,$A46-1845-Levers!$E$191),0)</f>
        <v>12</v>
      </c>
      <c r="E46" s="50" t="n">
        <f aca="false">E45+'Navy plan'!E46-IF($A46-Levers!$F$191&gt;=1846,INDEX('Navy plan'!E$6:E$92,$A46-1845-Levers!$F$191),0)</f>
        <v>0</v>
      </c>
      <c r="F46" s="50" t="n">
        <f aca="false">F45+'Navy plan'!F46-IF($A46-Levers!$G$191&gt;=1846,INDEX('Navy plan'!F$6:F$92,$A46-1845-Levers!$G$191),0)</f>
        <v>0</v>
      </c>
      <c r="G46" s="50" t="n">
        <f aca="false">G45+'Navy plan'!G46-IF($A46-Levers!$H$191&gt;=1846,INDEX('Navy plan'!G$6:G$92,$A46-1845-Levers!$H$191),0)</f>
        <v>0</v>
      </c>
      <c r="H46" s="50" t="n">
        <f aca="false">H45+'Navy plan'!H46-IF($A46-Levers!$I$191&gt;=1846,INDEX('Navy plan'!H$6:H$92,$A46-1845-Levers!$I$191),0)</f>
        <v>0</v>
      </c>
      <c r="I46" s="50" t="n">
        <f aca="false">I45+'Navy plan'!I46-IF($A46-Levers!$J$191&gt;=1846,INDEX('Navy plan'!I$6:I$92,$A46-1845-Levers!$J$191),0)</f>
        <v>0</v>
      </c>
      <c r="J46" s="50" t="n">
        <f aca="false">J45+'Navy plan'!J46-IF($A46-Levers!$K$191&gt;=1846,INDEX('Navy plan'!J$6:J$92,$A46-1845-Levers!$K$191),0)</f>
        <v>0</v>
      </c>
      <c r="K46" s="50" t="n">
        <f aca="false">SUM(B46:J46)</f>
        <v>40</v>
      </c>
      <c r="L46" s="56" t="n">
        <f aca="false">0.5*SUMPRODUCT('Navy plan'!B46:J46,'Navy plan'!K46:S46)+0.5*SUMPRODUCT('Navy plan'!B47:J47,'Navy plan'!K47:S47)</f>
        <v>0.728</v>
      </c>
      <c r="M46" s="50" t="n">
        <f aca="false">SUMPRODUCT(B46:J46,Levers!$C$192:$K$192)</f>
        <v>5160</v>
      </c>
      <c r="N46" s="50" t="n">
        <f aca="false">SUMPRODUCT(B46:J46,Levers!$C$195:$K$195)</f>
        <v>5227.69230769231</v>
      </c>
      <c r="O46" s="50"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50" t="n">
        <f aca="false">AA46+'Navy plan'!T46</f>
        <v>0</v>
      </c>
      <c r="AC46" s="65" t="n">
        <f aca="false">'Navy plan'!U46</f>
        <v>0</v>
      </c>
      <c r="AD46" s="65" t="n">
        <f aca="false">'Navy plan'!V46</f>
        <v>0</v>
      </c>
      <c r="AE46" s="70" t="n">
        <f aca="false">IF(AC46&gt;0,AB46/AC46,0)</f>
        <v>0</v>
      </c>
    </row>
    <row r="47" customFormat="false" ht="14.25" hidden="false" customHeight="false" outlineLevel="0" collapsed="false">
      <c r="A47" s="61" t="n">
        <v>1887</v>
      </c>
      <c r="B47" s="50" t="n">
        <f aca="false">B46+'Navy plan'!B47-IF($A47-Levers!$C$191&gt;=1846,INDEX('Navy plan'!B$6:B$92,$A47-1845-Levers!$C$191),0)</f>
        <v>15</v>
      </c>
      <c r="C47" s="50" t="n">
        <f aca="false">C46+'Navy plan'!C47-IF($A47-Levers!$D$191&gt;=1846,INDEX('Navy plan'!C$6:C$92,$A47-1845-Levers!$D$191),0)</f>
        <v>13</v>
      </c>
      <c r="D47" s="50" t="n">
        <f aca="false">D46+'Navy plan'!D47-IF($A47-Levers!$E$191&gt;=1846,INDEX('Navy plan'!D$6:D$92,$A47-1845-Levers!$E$191),0)</f>
        <v>12</v>
      </c>
      <c r="E47" s="50" t="n">
        <f aca="false">E46+'Navy plan'!E47-IF($A47-Levers!$F$191&gt;=1846,INDEX('Navy plan'!E$6:E$92,$A47-1845-Levers!$F$191),0)</f>
        <v>0</v>
      </c>
      <c r="F47" s="50" t="n">
        <f aca="false">F46+'Navy plan'!F47-IF($A47-Levers!$G$191&gt;=1846,INDEX('Navy plan'!F$6:F$92,$A47-1845-Levers!$G$191),0)</f>
        <v>0</v>
      </c>
      <c r="G47" s="50" t="n">
        <f aca="false">G46+'Navy plan'!G47-IF($A47-Levers!$H$191&gt;=1846,INDEX('Navy plan'!G$6:G$92,$A47-1845-Levers!$H$191),0)</f>
        <v>0</v>
      </c>
      <c r="H47" s="50" t="n">
        <f aca="false">H46+'Navy plan'!H47-IF($A47-Levers!$I$191&gt;=1846,INDEX('Navy plan'!H$6:H$92,$A47-1845-Levers!$I$191),0)</f>
        <v>0</v>
      </c>
      <c r="I47" s="50" t="n">
        <f aca="false">I46+'Navy plan'!I47-IF($A47-Levers!$J$191&gt;=1846,INDEX('Navy plan'!I$6:I$92,$A47-1845-Levers!$J$191),0)</f>
        <v>0</v>
      </c>
      <c r="J47" s="50" t="n">
        <f aca="false">J46+'Navy plan'!J47-IF($A47-Levers!$K$191&gt;=1846,INDEX('Navy plan'!J$6:J$92,$A47-1845-Levers!$K$191),0)</f>
        <v>0</v>
      </c>
      <c r="K47" s="50" t="n">
        <f aca="false">SUM(B47:J47)</f>
        <v>40</v>
      </c>
      <c r="L47" s="56" t="n">
        <f aca="false">0.5*SUMPRODUCT('Navy plan'!B47:J47,'Navy plan'!K47:S47)+0.5*SUMPRODUCT('Navy plan'!B48:J48,'Navy plan'!K48:S48)</f>
        <v>0.734</v>
      </c>
      <c r="M47" s="50" t="n">
        <f aca="false">SUMPRODUCT(B47:J47,Levers!$C$192:$K$192)</f>
        <v>5290</v>
      </c>
      <c r="N47" s="50" t="n">
        <f aca="false">SUMPRODUCT(B47:J47,Levers!$C$195:$K$195)</f>
        <v>5357.69230769231</v>
      </c>
      <c r="O47" s="50"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50" t="n">
        <f aca="false">AA47+'Navy plan'!T47</f>
        <v>0</v>
      </c>
      <c r="AC47" s="65" t="n">
        <f aca="false">'Navy plan'!U47</f>
        <v>0</v>
      </c>
      <c r="AD47" s="65" t="n">
        <f aca="false">'Navy plan'!V47</f>
        <v>0</v>
      </c>
      <c r="AE47" s="70" t="n">
        <f aca="false">IF(AC47&gt;0,AB47/AC47,0)</f>
        <v>0</v>
      </c>
    </row>
    <row r="48" customFormat="false" ht="14.25" hidden="false" customHeight="false" outlineLevel="0" collapsed="false">
      <c r="A48" s="61" t="n">
        <v>1888</v>
      </c>
      <c r="B48" s="50" t="n">
        <f aca="false">B47+'Navy plan'!B48-IF($A48-Levers!$C$191&gt;=1846,INDEX('Navy plan'!B$6:B$92,$A48-1845-Levers!$C$191),0)</f>
        <v>13</v>
      </c>
      <c r="C48" s="50" t="n">
        <f aca="false">C47+'Navy plan'!C48-IF($A48-Levers!$D$191&gt;=1846,INDEX('Navy plan'!C$6:C$92,$A48-1845-Levers!$D$191),0)</f>
        <v>11</v>
      </c>
      <c r="D48" s="50" t="n">
        <f aca="false">D47+'Navy plan'!D48-IF($A48-Levers!$E$191&gt;=1846,INDEX('Navy plan'!D$6:D$92,$A48-1845-Levers!$E$191),0)</f>
        <v>18</v>
      </c>
      <c r="E48" s="50" t="n">
        <f aca="false">E47+'Navy plan'!E48-IF($A48-Levers!$F$191&gt;=1846,INDEX('Navy plan'!E$6:E$92,$A48-1845-Levers!$F$191),0)</f>
        <v>0</v>
      </c>
      <c r="F48" s="50" t="n">
        <f aca="false">F47+'Navy plan'!F48-IF($A48-Levers!$G$191&gt;=1846,INDEX('Navy plan'!F$6:F$92,$A48-1845-Levers!$G$191),0)</f>
        <v>0</v>
      </c>
      <c r="G48" s="50" t="n">
        <f aca="false">G47+'Navy plan'!G48-IF($A48-Levers!$H$191&gt;=1846,INDEX('Navy plan'!G$6:G$92,$A48-1845-Levers!$H$191),0)</f>
        <v>0</v>
      </c>
      <c r="H48" s="50" t="n">
        <f aca="false">H47+'Navy plan'!H48-IF($A48-Levers!$I$191&gt;=1846,INDEX('Navy plan'!H$6:H$92,$A48-1845-Levers!$I$191),0)</f>
        <v>0</v>
      </c>
      <c r="I48" s="50" t="n">
        <f aca="false">I47+'Navy plan'!I48-IF($A48-Levers!$J$191&gt;=1846,INDEX('Navy plan'!I$6:I$92,$A48-1845-Levers!$J$191),0)</f>
        <v>0</v>
      </c>
      <c r="J48" s="50" t="n">
        <f aca="false">J47+'Navy plan'!J48-IF($A48-Levers!$K$191&gt;=1846,INDEX('Navy plan'!J$6:J$92,$A48-1845-Levers!$K$191),0)</f>
        <v>0</v>
      </c>
      <c r="K48" s="50" t="n">
        <f aca="false">SUM(B48:J48)</f>
        <v>42</v>
      </c>
      <c r="L48" s="56" t="n">
        <f aca="false">0.5*SUMPRODUCT('Navy plan'!B48:J48,'Navy plan'!K48:S48)+0.5*SUMPRODUCT('Navy plan'!B49:J49,'Navy plan'!K49:S49)</f>
        <v>0.234</v>
      </c>
      <c r="M48" s="50" t="n">
        <f aca="false">SUMPRODUCT(B48:J48,Levers!$C$192:$K$192)</f>
        <v>4670</v>
      </c>
      <c r="N48" s="50" t="n">
        <f aca="false">SUMPRODUCT(B48:J48,Levers!$C$195:$K$195)</f>
        <v>4771.53846153846</v>
      </c>
      <c r="O48" s="50"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50" t="n">
        <f aca="false">AA48+'Navy plan'!T48</f>
        <v>0</v>
      </c>
      <c r="AC48" s="65" t="n">
        <f aca="false">'Navy plan'!U48</f>
        <v>0</v>
      </c>
      <c r="AD48" s="65" t="n">
        <f aca="false">'Navy plan'!V48</f>
        <v>0</v>
      </c>
      <c r="AE48" s="70" t="n">
        <f aca="false">IF(AC48&gt;0,AB48/AC48,0)</f>
        <v>0</v>
      </c>
    </row>
    <row r="49" customFormat="false" ht="14.25" hidden="false" customHeight="false" outlineLevel="0" collapsed="false">
      <c r="A49" s="61" t="n">
        <v>1889</v>
      </c>
      <c r="B49" s="50" t="n">
        <f aca="false">B48+'Navy plan'!B49-IF($A49-Levers!$C$191&gt;=1846,INDEX('Navy plan'!B$6:B$92,$A49-1845-Levers!$C$191),0)</f>
        <v>11</v>
      </c>
      <c r="C49" s="50" t="n">
        <f aca="false">C48+'Navy plan'!C49-IF($A49-Levers!$D$191&gt;=1846,INDEX('Navy plan'!C$6:C$92,$A49-1845-Levers!$D$191),0)</f>
        <v>11</v>
      </c>
      <c r="D49" s="50" t="n">
        <f aca="false">D48+'Navy plan'!D49-IF($A49-Levers!$E$191&gt;=1846,INDEX('Navy plan'!D$6:D$92,$A49-1845-Levers!$E$191),0)</f>
        <v>18</v>
      </c>
      <c r="E49" s="50" t="n">
        <f aca="false">E48+'Navy plan'!E49-IF($A49-Levers!$F$191&gt;=1846,INDEX('Navy plan'!E$6:E$92,$A49-1845-Levers!$F$191),0)</f>
        <v>0</v>
      </c>
      <c r="F49" s="50" t="n">
        <f aca="false">F48+'Navy plan'!F49-IF($A49-Levers!$G$191&gt;=1846,INDEX('Navy plan'!F$6:F$92,$A49-1845-Levers!$G$191),0)</f>
        <v>0</v>
      </c>
      <c r="G49" s="50" t="n">
        <f aca="false">G48+'Navy plan'!G49-IF($A49-Levers!$H$191&gt;=1846,INDEX('Navy plan'!G$6:G$92,$A49-1845-Levers!$H$191),0)</f>
        <v>0</v>
      </c>
      <c r="H49" s="50" t="n">
        <f aca="false">H48+'Navy plan'!H49-IF($A49-Levers!$I$191&gt;=1846,INDEX('Navy plan'!H$6:H$92,$A49-1845-Levers!$I$191),0)</f>
        <v>0</v>
      </c>
      <c r="I49" s="50" t="n">
        <f aca="false">I48+'Navy plan'!I49-IF($A49-Levers!$J$191&gt;=1846,INDEX('Navy plan'!I$6:I$92,$A49-1845-Levers!$J$191),0)</f>
        <v>0</v>
      </c>
      <c r="J49" s="50" t="n">
        <f aca="false">J48+'Navy plan'!J49-IF($A49-Levers!$K$191&gt;=1846,INDEX('Navy plan'!J$6:J$92,$A49-1845-Levers!$K$191),0)</f>
        <v>0</v>
      </c>
      <c r="K49" s="50" t="n">
        <f aca="false">SUM(B49:J49)</f>
        <v>40</v>
      </c>
      <c r="L49" s="56" t="n">
        <f aca="false">0.5*SUMPRODUCT('Navy plan'!B49:J49,'Navy plan'!K49:S49)+0.5*SUMPRODUCT('Navy plan'!B50:J50,'Navy plan'!K50:S50)</f>
        <v>1.96</v>
      </c>
      <c r="M49" s="50" t="n">
        <f aca="false">SUMPRODUCT(B49:J49,Levers!$C$192:$K$192)</f>
        <v>4430</v>
      </c>
      <c r="N49" s="50" t="n">
        <f aca="false">SUMPRODUCT(B49:J49,Levers!$C$195:$K$195)</f>
        <v>4531.53846153846</v>
      </c>
      <c r="O49" s="50"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50" t="n">
        <f aca="false">AA49+'Navy plan'!T49</f>
        <v>0</v>
      </c>
      <c r="AC49" s="65" t="n">
        <f aca="false">'Navy plan'!U49</f>
        <v>0</v>
      </c>
      <c r="AD49" s="65" t="n">
        <f aca="false">'Navy plan'!V49</f>
        <v>0</v>
      </c>
      <c r="AE49" s="70" t="n">
        <f aca="false">IF(AC49&gt;0,AB49/AC49,0)</f>
        <v>0</v>
      </c>
    </row>
    <row r="50" customFormat="false" ht="14.25" hidden="false" customHeight="false" outlineLevel="0" collapsed="false">
      <c r="A50" s="61" t="n">
        <v>1890</v>
      </c>
      <c r="B50" s="50" t="n">
        <f aca="false">B49+'Navy plan'!B50-IF($A50-Levers!$C$191&gt;=1846,INDEX('Navy plan'!B$6:B$92,$A50-1845-Levers!$C$191),0)</f>
        <v>10</v>
      </c>
      <c r="C50" s="50" t="n">
        <f aca="false">C49+'Navy plan'!C50-IF($A50-Levers!$D$191&gt;=1846,INDEX('Navy plan'!C$6:C$92,$A50-1845-Levers!$D$191),0)</f>
        <v>11</v>
      </c>
      <c r="D50" s="50" t="n">
        <f aca="false">D49+'Navy plan'!D50-IF($A50-Levers!$E$191&gt;=1846,INDEX('Navy plan'!D$6:D$92,$A50-1845-Levers!$E$191),0)</f>
        <v>22</v>
      </c>
      <c r="E50" s="50" t="n">
        <f aca="false">E49+'Navy plan'!E50-IF($A50-Levers!$F$191&gt;=1846,INDEX('Navy plan'!E$6:E$92,$A50-1845-Levers!$F$191),0)</f>
        <v>2</v>
      </c>
      <c r="F50" s="50" t="n">
        <f aca="false">F49+'Navy plan'!F50-IF($A50-Levers!$G$191&gt;=1846,INDEX('Navy plan'!F$6:F$92,$A50-1845-Levers!$G$191),0)</f>
        <v>0</v>
      </c>
      <c r="G50" s="50" t="n">
        <f aca="false">G49+'Navy plan'!G50-IF($A50-Levers!$H$191&gt;=1846,INDEX('Navy plan'!G$6:G$92,$A50-1845-Levers!$H$191),0)</f>
        <v>0</v>
      </c>
      <c r="H50" s="50" t="n">
        <f aca="false">H49+'Navy plan'!H50-IF($A50-Levers!$I$191&gt;=1846,INDEX('Navy plan'!H$6:H$92,$A50-1845-Levers!$I$191),0)</f>
        <v>0</v>
      </c>
      <c r="I50" s="50" t="n">
        <f aca="false">I49+'Navy plan'!I50-IF($A50-Levers!$J$191&gt;=1846,INDEX('Navy plan'!I$6:I$92,$A50-1845-Levers!$J$191),0)</f>
        <v>0</v>
      </c>
      <c r="J50" s="50" t="n">
        <f aca="false">J49+'Navy plan'!J50-IF($A50-Levers!$K$191&gt;=1846,INDEX('Navy plan'!J$6:J$92,$A50-1845-Levers!$K$191),0)</f>
        <v>0</v>
      </c>
      <c r="K50" s="50" t="n">
        <f aca="false">SUM(B50:J50)</f>
        <v>45</v>
      </c>
      <c r="L50" s="56" t="n">
        <f aca="false">0.5*SUMPRODUCT('Navy plan'!B50:J50,'Navy plan'!K50:S50)+0.5*SUMPRODUCT('Navy plan'!B51:J51,'Navy plan'!K51:S51)</f>
        <v>1.96</v>
      </c>
      <c r="M50" s="50" t="n">
        <f aca="false">SUMPRODUCT(B50:J50,Levers!$C$192:$K$192)</f>
        <v>4950</v>
      </c>
      <c r="N50" s="50" t="n">
        <f aca="false">SUMPRODUCT(B50:J50,Levers!$C$195:$K$195)</f>
        <v>5232.05128205128</v>
      </c>
      <c r="O50" s="50"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50" t="n">
        <f aca="false">AA50+'Navy plan'!T50</f>
        <v>0</v>
      </c>
      <c r="AC50" s="65" t="n">
        <f aca="false">'Navy plan'!U50</f>
        <v>0</v>
      </c>
      <c r="AD50" s="65" t="n">
        <f aca="false">'Navy plan'!V50</f>
        <v>0</v>
      </c>
      <c r="AE50" s="70" t="n">
        <f aca="false">IF(AC50&gt;0,AB50/AC50,0)</f>
        <v>0</v>
      </c>
    </row>
    <row r="51" customFormat="false" ht="14.25" hidden="false" customHeight="false" outlineLevel="0" collapsed="false">
      <c r="A51" s="61" t="n">
        <v>1891</v>
      </c>
      <c r="B51" s="50" t="n">
        <f aca="false">B50+'Navy plan'!B51-IF($A51-Levers!$C$191&gt;=1846,INDEX('Navy plan'!B$6:B$92,$A51-1845-Levers!$C$191),0)</f>
        <v>10</v>
      </c>
      <c r="C51" s="50" t="n">
        <f aca="false">C50+'Navy plan'!C51-IF($A51-Levers!$D$191&gt;=1846,INDEX('Navy plan'!C$6:C$92,$A51-1845-Levers!$D$191),0)</f>
        <v>11</v>
      </c>
      <c r="D51" s="50" t="n">
        <f aca="false">D50+'Navy plan'!D51-IF($A51-Levers!$E$191&gt;=1846,INDEX('Navy plan'!D$6:D$92,$A51-1845-Levers!$E$191),0)</f>
        <v>22</v>
      </c>
      <c r="E51" s="50" t="n">
        <f aca="false">E50+'Navy plan'!E51-IF($A51-Levers!$F$191&gt;=1846,INDEX('Navy plan'!E$6:E$92,$A51-1845-Levers!$F$191),0)</f>
        <v>2</v>
      </c>
      <c r="F51" s="50" t="n">
        <f aca="false">F50+'Navy plan'!F51-IF($A51-Levers!$G$191&gt;=1846,INDEX('Navy plan'!F$6:F$92,$A51-1845-Levers!$G$191),0)</f>
        <v>0</v>
      </c>
      <c r="G51" s="50" t="n">
        <f aca="false">G50+'Navy plan'!G51-IF($A51-Levers!$H$191&gt;=1846,INDEX('Navy plan'!G$6:G$92,$A51-1845-Levers!$H$191),0)</f>
        <v>0</v>
      </c>
      <c r="H51" s="50" t="n">
        <f aca="false">H50+'Navy plan'!H51-IF($A51-Levers!$I$191&gt;=1846,INDEX('Navy plan'!H$6:H$92,$A51-1845-Levers!$I$191),0)</f>
        <v>0</v>
      </c>
      <c r="I51" s="50" t="n">
        <f aca="false">I50+'Navy plan'!I51-IF($A51-Levers!$J$191&gt;=1846,INDEX('Navy plan'!I$6:I$92,$A51-1845-Levers!$J$191),0)</f>
        <v>0</v>
      </c>
      <c r="J51" s="50" t="n">
        <f aca="false">J50+'Navy plan'!J51-IF($A51-Levers!$K$191&gt;=1846,INDEX('Navy plan'!J$6:J$92,$A51-1845-Levers!$K$191),0)</f>
        <v>0</v>
      </c>
      <c r="K51" s="50" t="n">
        <f aca="false">SUM(B51:J51)</f>
        <v>45</v>
      </c>
      <c r="L51" s="56" t="n">
        <f aca="false">0.5*SUMPRODUCT('Navy plan'!B51:J51,'Navy plan'!K51:S51)+0.5*SUMPRODUCT('Navy plan'!B52:J52,'Navy plan'!K52:S52)</f>
        <v>1.98</v>
      </c>
      <c r="M51" s="50" t="n">
        <f aca="false">SUMPRODUCT(B51:J51,Levers!$C$192:$K$192)</f>
        <v>4950</v>
      </c>
      <c r="N51" s="50" t="n">
        <f aca="false">SUMPRODUCT(B51:J51,Levers!$C$195:$K$195)</f>
        <v>5232.05128205128</v>
      </c>
      <c r="O51" s="50"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50" t="n">
        <f aca="false">AA51+'Navy plan'!T51</f>
        <v>0</v>
      </c>
      <c r="AC51" s="65" t="n">
        <f aca="false">'Navy plan'!U51</f>
        <v>0</v>
      </c>
      <c r="AD51" s="65" t="n">
        <f aca="false">'Navy plan'!V51</f>
        <v>0</v>
      </c>
      <c r="AE51" s="70" t="n">
        <f aca="false">IF(AC51&gt;0,AB51/AC51,0)</f>
        <v>0</v>
      </c>
    </row>
    <row r="52" customFormat="false" ht="14.25" hidden="false" customHeight="false" outlineLevel="0" collapsed="false">
      <c r="A52" s="61" t="n">
        <v>1892</v>
      </c>
      <c r="B52" s="50" t="n">
        <f aca="false">B51+'Navy plan'!B52-IF($A52-Levers!$C$191&gt;=1846,INDEX('Navy plan'!B$6:B$92,$A52-1845-Levers!$C$191),0)</f>
        <v>9</v>
      </c>
      <c r="C52" s="50" t="n">
        <f aca="false">C51+'Navy plan'!C52-IF($A52-Levers!$D$191&gt;=1846,INDEX('Navy plan'!C$6:C$92,$A52-1845-Levers!$D$191),0)</f>
        <v>9</v>
      </c>
      <c r="D52" s="50" t="n">
        <f aca="false">D51+'Navy plan'!D52-IF($A52-Levers!$E$191&gt;=1846,INDEX('Navy plan'!D$6:D$92,$A52-1845-Levers!$E$191),0)</f>
        <v>26</v>
      </c>
      <c r="E52" s="50" t="n">
        <f aca="false">E51+'Navy plan'!E52-IF($A52-Levers!$F$191&gt;=1846,INDEX('Navy plan'!E$6:E$92,$A52-1845-Levers!$F$191),0)</f>
        <v>4</v>
      </c>
      <c r="F52" s="50" t="n">
        <f aca="false">F51+'Navy plan'!F52-IF($A52-Levers!$G$191&gt;=1846,INDEX('Navy plan'!F$6:F$92,$A52-1845-Levers!$G$191),0)</f>
        <v>0</v>
      </c>
      <c r="G52" s="50" t="n">
        <f aca="false">G51+'Navy plan'!G52-IF($A52-Levers!$H$191&gt;=1846,INDEX('Navy plan'!G$6:G$92,$A52-1845-Levers!$H$191),0)</f>
        <v>0</v>
      </c>
      <c r="H52" s="50" t="n">
        <f aca="false">H51+'Navy plan'!H52-IF($A52-Levers!$I$191&gt;=1846,INDEX('Navy plan'!H$6:H$92,$A52-1845-Levers!$I$191),0)</f>
        <v>0</v>
      </c>
      <c r="I52" s="50" t="n">
        <f aca="false">I51+'Navy plan'!I52-IF($A52-Levers!$J$191&gt;=1846,INDEX('Navy plan'!I$6:I$92,$A52-1845-Levers!$J$191),0)</f>
        <v>0</v>
      </c>
      <c r="J52" s="50" t="n">
        <f aca="false">J51+'Navy plan'!J52-IF($A52-Levers!$K$191&gt;=1846,INDEX('Navy plan'!J$6:J$92,$A52-1845-Levers!$K$191),0)</f>
        <v>0</v>
      </c>
      <c r="K52" s="50" t="n">
        <f aca="false">SUM(B52:J52)</f>
        <v>48</v>
      </c>
      <c r="L52" s="56" t="n">
        <f aca="false">0.5*SUMPRODUCT('Navy plan'!B52:J52,'Navy plan'!K52:S52)+0.5*SUMPRODUCT('Navy plan'!B53:J53,'Navy plan'!K53:S53)</f>
        <v>1.98</v>
      </c>
      <c r="M52" s="50" t="n">
        <f aca="false">SUMPRODUCT(B52:J52,Levers!$C$192:$K$192)</f>
        <v>4970</v>
      </c>
      <c r="N52" s="50" t="n">
        <f aca="false">SUMPRODUCT(B52:J52,Levers!$C$195:$K$195)</f>
        <v>5432.5641025641</v>
      </c>
      <c r="O52" s="50"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50" t="n">
        <f aca="false">AA52+'Navy plan'!T52</f>
        <v>0</v>
      </c>
      <c r="AC52" s="65" t="n">
        <f aca="false">'Navy plan'!U52</f>
        <v>0</v>
      </c>
      <c r="AD52" s="65" t="n">
        <f aca="false">'Navy plan'!V52</f>
        <v>0</v>
      </c>
      <c r="AE52" s="70" t="n">
        <f aca="false">IF(AC52&gt;0,AB52/AC52,0)</f>
        <v>0</v>
      </c>
    </row>
    <row r="53" customFormat="false" ht="14.25" hidden="false" customHeight="false" outlineLevel="0" collapsed="false">
      <c r="A53" s="61" t="n">
        <v>1893</v>
      </c>
      <c r="B53" s="50" t="n">
        <f aca="false">B52+'Navy plan'!B53-IF($A53-Levers!$C$191&gt;=1846,INDEX('Navy plan'!B$6:B$92,$A53-1845-Levers!$C$191),0)</f>
        <v>9</v>
      </c>
      <c r="C53" s="50" t="n">
        <f aca="false">C52+'Navy plan'!C53-IF($A53-Levers!$D$191&gt;=1846,INDEX('Navy plan'!C$6:C$92,$A53-1845-Levers!$D$191),0)</f>
        <v>9</v>
      </c>
      <c r="D53" s="50" t="n">
        <f aca="false">D52+'Navy plan'!D53-IF($A53-Levers!$E$191&gt;=1846,INDEX('Navy plan'!D$6:D$92,$A53-1845-Levers!$E$191),0)</f>
        <v>26</v>
      </c>
      <c r="E53" s="50" t="n">
        <f aca="false">E52+'Navy plan'!E53-IF($A53-Levers!$F$191&gt;=1846,INDEX('Navy plan'!E$6:E$92,$A53-1845-Levers!$F$191),0)</f>
        <v>4</v>
      </c>
      <c r="F53" s="50" t="n">
        <f aca="false">F52+'Navy plan'!F53-IF($A53-Levers!$G$191&gt;=1846,INDEX('Navy plan'!F$6:F$92,$A53-1845-Levers!$G$191),0)</f>
        <v>0</v>
      </c>
      <c r="G53" s="50" t="n">
        <f aca="false">G52+'Navy plan'!G53-IF($A53-Levers!$H$191&gt;=1846,INDEX('Navy plan'!G$6:G$92,$A53-1845-Levers!$H$191),0)</f>
        <v>0</v>
      </c>
      <c r="H53" s="50" t="n">
        <f aca="false">H52+'Navy plan'!H53-IF($A53-Levers!$I$191&gt;=1846,INDEX('Navy plan'!H$6:H$92,$A53-1845-Levers!$I$191),0)</f>
        <v>0</v>
      </c>
      <c r="I53" s="50" t="n">
        <f aca="false">I52+'Navy plan'!I53-IF($A53-Levers!$J$191&gt;=1846,INDEX('Navy plan'!I$6:I$92,$A53-1845-Levers!$J$191),0)</f>
        <v>0</v>
      </c>
      <c r="J53" s="50" t="n">
        <f aca="false">J52+'Navy plan'!J53-IF($A53-Levers!$K$191&gt;=1846,INDEX('Navy plan'!J$6:J$92,$A53-1845-Levers!$K$191),0)</f>
        <v>0</v>
      </c>
      <c r="K53" s="50" t="n">
        <f aca="false">SUM(B53:J53)</f>
        <v>48</v>
      </c>
      <c r="L53" s="56" t="n">
        <f aca="false">0.5*SUMPRODUCT('Navy plan'!B53:J53,'Navy plan'!K53:S53)+0.5*SUMPRODUCT('Navy plan'!B54:J54,'Navy plan'!K54:S54)</f>
        <v>2.147</v>
      </c>
      <c r="M53" s="50" t="n">
        <f aca="false">SUMPRODUCT(B53:J53,Levers!$C$192:$K$192)</f>
        <v>4970</v>
      </c>
      <c r="N53" s="50" t="n">
        <f aca="false">SUMPRODUCT(B53:J53,Levers!$C$195:$K$195)</f>
        <v>5432.5641025641</v>
      </c>
      <c r="O53" s="50"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50" t="n">
        <f aca="false">AA53+'Navy plan'!T53</f>
        <v>0</v>
      </c>
      <c r="AC53" s="65" t="n">
        <f aca="false">'Navy plan'!U53</f>
        <v>0</v>
      </c>
      <c r="AD53" s="65" t="n">
        <f aca="false">'Navy plan'!V53</f>
        <v>0</v>
      </c>
      <c r="AE53" s="70" t="n">
        <f aca="false">IF(AC53&gt;0,AB53/AC53,0)</f>
        <v>0</v>
      </c>
    </row>
    <row r="54" customFormat="false" ht="14.25" hidden="false" customHeight="false" outlineLevel="0" collapsed="false">
      <c r="A54" s="61" t="n">
        <v>1894</v>
      </c>
      <c r="B54" s="50" t="n">
        <f aca="false">B53+'Navy plan'!B54-IF($A54-Levers!$C$191&gt;=1846,INDEX('Navy plan'!B$6:B$92,$A54-1845-Levers!$C$191),0)</f>
        <v>7</v>
      </c>
      <c r="C54" s="50" t="n">
        <f aca="false">C53+'Navy plan'!C54-IF($A54-Levers!$D$191&gt;=1846,INDEX('Navy plan'!C$6:C$92,$A54-1845-Levers!$D$191),0)</f>
        <v>9</v>
      </c>
      <c r="D54" s="50" t="n">
        <f aca="false">D53+'Navy plan'!D54-IF($A54-Levers!$E$191&gt;=1846,INDEX('Navy plan'!D$6:D$92,$A54-1845-Levers!$E$191),0)</f>
        <v>26</v>
      </c>
      <c r="E54" s="50" t="n">
        <f aca="false">E53+'Navy plan'!E54-IF($A54-Levers!$F$191&gt;=1846,INDEX('Navy plan'!E$6:E$92,$A54-1845-Levers!$F$191),0)</f>
        <v>6</v>
      </c>
      <c r="F54" s="50" t="n">
        <f aca="false">F53+'Navy plan'!F54-IF($A54-Levers!$G$191&gt;=1846,INDEX('Navy plan'!F$6:F$92,$A54-1845-Levers!$G$191),0)</f>
        <v>2</v>
      </c>
      <c r="G54" s="50" t="n">
        <f aca="false">G53+'Navy plan'!G54-IF($A54-Levers!$H$191&gt;=1846,INDEX('Navy plan'!G$6:G$92,$A54-1845-Levers!$H$191),0)</f>
        <v>0</v>
      </c>
      <c r="H54" s="50" t="n">
        <f aca="false">H53+'Navy plan'!H54-IF($A54-Levers!$I$191&gt;=1846,INDEX('Navy plan'!H$6:H$92,$A54-1845-Levers!$I$191),0)</f>
        <v>0</v>
      </c>
      <c r="I54" s="50" t="n">
        <f aca="false">I53+'Navy plan'!I54-IF($A54-Levers!$J$191&gt;=1846,INDEX('Navy plan'!I$6:I$92,$A54-1845-Levers!$J$191),0)</f>
        <v>0</v>
      </c>
      <c r="J54" s="50" t="n">
        <f aca="false">J53+'Navy plan'!J54-IF($A54-Levers!$K$191&gt;=1846,INDEX('Navy plan'!J$6:J$92,$A54-1845-Levers!$K$191),0)</f>
        <v>0</v>
      </c>
      <c r="K54" s="50" t="n">
        <f aca="false">SUM(B54:J54)</f>
        <v>50</v>
      </c>
      <c r="L54" s="56" t="n">
        <f aca="false">0.5*SUMPRODUCT('Navy plan'!B54:J54,'Navy plan'!K54:S54)+0.5*SUMPRODUCT('Navy plan'!B55:J55,'Navy plan'!K55:S55)</f>
        <v>2.618</v>
      </c>
      <c r="M54" s="50" t="n">
        <f aca="false">SUMPRODUCT(B54:J54,Levers!$C$192:$K$192)</f>
        <v>5470</v>
      </c>
      <c r="N54" s="50" t="n">
        <f aca="false">SUMPRODUCT(B54:J54,Levers!$C$195:$K$195)</f>
        <v>6141.28205128205</v>
      </c>
      <c r="O54" s="50"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50" t="n">
        <f aca="false">AA54+'Navy plan'!T54</f>
        <v>0</v>
      </c>
      <c r="AC54" s="65" t="n">
        <f aca="false">'Navy plan'!U54</f>
        <v>0</v>
      </c>
      <c r="AD54" s="65" t="n">
        <f aca="false">'Navy plan'!V54</f>
        <v>0</v>
      </c>
      <c r="AE54" s="70" t="n">
        <f aca="false">IF(AC54&gt;0,AB54/AC54,0)</f>
        <v>0</v>
      </c>
    </row>
    <row r="55" customFormat="false" ht="14.25" hidden="false" customHeight="false" outlineLevel="0" collapsed="false">
      <c r="A55" s="61" t="n">
        <v>1895</v>
      </c>
      <c r="B55" s="50" t="n">
        <f aca="false">B54+'Navy plan'!B55-IF($A55-Levers!$C$191&gt;=1846,INDEX('Navy plan'!B$6:B$92,$A55-1845-Levers!$C$191),0)</f>
        <v>5</v>
      </c>
      <c r="C55" s="50" t="n">
        <f aca="false">C54+'Navy plan'!C55-IF($A55-Levers!$D$191&gt;=1846,INDEX('Navy plan'!C$6:C$92,$A55-1845-Levers!$D$191),0)</f>
        <v>7</v>
      </c>
      <c r="D55" s="50" t="n">
        <f aca="false">D54+'Navy plan'!D55-IF($A55-Levers!$E$191&gt;=1846,INDEX('Navy plan'!D$6:D$92,$A55-1845-Levers!$E$191),0)</f>
        <v>26</v>
      </c>
      <c r="E55" s="50" t="n">
        <f aca="false">E54+'Navy plan'!E55-IF($A55-Levers!$F$191&gt;=1846,INDEX('Navy plan'!E$6:E$92,$A55-1845-Levers!$F$191),0)</f>
        <v>6</v>
      </c>
      <c r="F55" s="50" t="n">
        <f aca="false">F54+'Navy plan'!F55-IF($A55-Levers!$G$191&gt;=1846,INDEX('Navy plan'!F$6:F$92,$A55-1845-Levers!$G$191),0)</f>
        <v>5</v>
      </c>
      <c r="G55" s="50" t="n">
        <f aca="false">G54+'Navy plan'!G55-IF($A55-Levers!$H$191&gt;=1846,INDEX('Navy plan'!G$6:G$92,$A55-1845-Levers!$H$191),0)</f>
        <v>0</v>
      </c>
      <c r="H55" s="50" t="n">
        <f aca="false">H54+'Navy plan'!H55-IF($A55-Levers!$I$191&gt;=1846,INDEX('Navy plan'!H$6:H$92,$A55-1845-Levers!$I$191),0)</f>
        <v>0</v>
      </c>
      <c r="I55" s="50" t="n">
        <f aca="false">I54+'Navy plan'!I55-IF($A55-Levers!$J$191&gt;=1846,INDEX('Navy plan'!I$6:I$92,$A55-1845-Levers!$J$191),0)</f>
        <v>0</v>
      </c>
      <c r="J55" s="50" t="n">
        <f aca="false">J54+'Navy plan'!J55-IF($A55-Levers!$K$191&gt;=1846,INDEX('Navy plan'!J$6:J$92,$A55-1845-Levers!$K$191),0)</f>
        <v>0</v>
      </c>
      <c r="K55" s="50" t="n">
        <f aca="false">SUM(B55:J55)</f>
        <v>49</v>
      </c>
      <c r="L55" s="56" t="n">
        <f aca="false">0.5*SUMPRODUCT('Navy plan'!B55:J55,'Navy plan'!K55:S55)+0.5*SUMPRODUCT('Navy plan'!B56:J56,'Navy plan'!K56:S56)</f>
        <v>2.8125</v>
      </c>
      <c r="M55" s="50" t="n">
        <f aca="false">SUMPRODUCT(B55:J55,Levers!$C$192:$K$192)</f>
        <v>5000</v>
      </c>
      <c r="N55" s="50" t="n">
        <f aca="false">SUMPRODUCT(B55:J55,Levers!$C$195:$K$195)</f>
        <v>5747.4358974359</v>
      </c>
      <c r="O55" s="50"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50" t="n">
        <f aca="false">AA55+'Navy plan'!T55</f>
        <v>0</v>
      </c>
      <c r="AC55" s="65" t="n">
        <f aca="false">'Navy plan'!U55</f>
        <v>0</v>
      </c>
      <c r="AD55" s="65" t="n">
        <f aca="false">'Navy plan'!V55</f>
        <v>0</v>
      </c>
      <c r="AE55" s="70" t="n">
        <f aca="false">IF(AC55&gt;0,AB55/AC55,0)</f>
        <v>0</v>
      </c>
    </row>
    <row r="56" customFormat="false" ht="14.25" hidden="false" customHeight="false" outlineLevel="0" collapsed="false">
      <c r="A56" s="61" t="n">
        <v>1896</v>
      </c>
      <c r="B56" s="50" t="n">
        <f aca="false">B55+'Navy plan'!B56-IF($A56-Levers!$C$191&gt;=1846,INDEX('Navy plan'!B$6:B$92,$A56-1845-Levers!$C$191),0)</f>
        <v>5</v>
      </c>
      <c r="C56" s="50" t="n">
        <f aca="false">C55+'Navy plan'!C56-IF($A56-Levers!$D$191&gt;=1846,INDEX('Navy plan'!C$6:C$92,$A56-1845-Levers!$D$191),0)</f>
        <v>7</v>
      </c>
      <c r="D56" s="50" t="n">
        <f aca="false">D55+'Navy plan'!D56-IF($A56-Levers!$E$191&gt;=1846,INDEX('Navy plan'!D$6:D$92,$A56-1845-Levers!$E$191),0)</f>
        <v>26</v>
      </c>
      <c r="E56" s="50" t="n">
        <f aca="false">E55+'Navy plan'!E56-IF($A56-Levers!$F$191&gt;=1846,INDEX('Navy plan'!E$6:E$92,$A56-1845-Levers!$F$191),0)</f>
        <v>8</v>
      </c>
      <c r="F56" s="50" t="n">
        <f aca="false">F55+'Navy plan'!F56-IF($A56-Levers!$G$191&gt;=1846,INDEX('Navy plan'!F$6:F$92,$A56-1845-Levers!$G$191),0)</f>
        <v>8</v>
      </c>
      <c r="G56" s="50" t="n">
        <f aca="false">G55+'Navy plan'!G56-IF($A56-Levers!$H$191&gt;=1846,INDEX('Navy plan'!G$6:G$92,$A56-1845-Levers!$H$191),0)</f>
        <v>0</v>
      </c>
      <c r="H56" s="50" t="n">
        <f aca="false">H55+'Navy plan'!H56-IF($A56-Levers!$I$191&gt;=1846,INDEX('Navy plan'!H$6:H$92,$A56-1845-Levers!$I$191),0)</f>
        <v>0</v>
      </c>
      <c r="I56" s="50" t="n">
        <f aca="false">I55+'Navy plan'!I56-IF($A56-Levers!$J$191&gt;=1846,INDEX('Navy plan'!I$6:I$92,$A56-1845-Levers!$J$191),0)</f>
        <v>0</v>
      </c>
      <c r="J56" s="50" t="n">
        <f aca="false">J55+'Navy plan'!J56-IF($A56-Levers!$K$191&gt;=1846,INDEX('Navy plan'!J$6:J$92,$A56-1845-Levers!$K$191),0)</f>
        <v>0</v>
      </c>
      <c r="K56" s="50" t="n">
        <f aca="false">SUM(B56:J56)</f>
        <v>54</v>
      </c>
      <c r="L56" s="56" t="n">
        <f aca="false">0.5*SUMPRODUCT('Navy plan'!B56:J56,'Navy plan'!K56:S56)+0.5*SUMPRODUCT('Navy plan'!B57:J57,'Navy plan'!K57:S57)</f>
        <v>2.835</v>
      </c>
      <c r="M56" s="50" t="n">
        <f aca="false">SUMPRODUCT(B56:J56,Levers!$C$192:$K$192)</f>
        <v>5830</v>
      </c>
      <c r="N56" s="50" t="n">
        <f aca="false">SUMPRODUCT(B56:J56,Levers!$C$195:$K$195)</f>
        <v>6811.53846153846</v>
      </c>
      <c r="O56" s="50"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50" t="n">
        <f aca="false">AA56+'Navy plan'!T56</f>
        <v>0</v>
      </c>
      <c r="AC56" s="65" t="n">
        <f aca="false">'Navy plan'!U56</f>
        <v>0</v>
      </c>
      <c r="AD56" s="65" t="n">
        <f aca="false">'Navy plan'!V56</f>
        <v>0</v>
      </c>
      <c r="AE56" s="70" t="n">
        <f aca="false">IF(AC56&gt;0,AB56/AC56,0)</f>
        <v>0</v>
      </c>
    </row>
    <row r="57" customFormat="false" ht="14.25" hidden="false" customHeight="false" outlineLevel="0" collapsed="false">
      <c r="A57" s="61" t="n">
        <v>1897</v>
      </c>
      <c r="B57" s="50" t="n">
        <f aca="false">B56+'Navy plan'!B57-IF($A57-Levers!$C$191&gt;=1846,INDEX('Navy plan'!B$6:B$92,$A57-1845-Levers!$C$191),0)</f>
        <v>4</v>
      </c>
      <c r="C57" s="50" t="n">
        <f aca="false">C56+'Navy plan'!C57-IF($A57-Levers!$D$191&gt;=1846,INDEX('Navy plan'!C$6:C$92,$A57-1845-Levers!$D$191),0)</f>
        <v>7</v>
      </c>
      <c r="D57" s="50" t="n">
        <f aca="false">D56+'Navy plan'!D57-IF($A57-Levers!$E$191&gt;=1846,INDEX('Navy plan'!D$6:D$92,$A57-1845-Levers!$E$191),0)</f>
        <v>24</v>
      </c>
      <c r="E57" s="50" t="n">
        <f aca="false">E56+'Navy plan'!E57-IF($A57-Levers!$F$191&gt;=1846,INDEX('Navy plan'!E$6:E$92,$A57-1845-Levers!$F$191),0)</f>
        <v>8</v>
      </c>
      <c r="F57" s="50" t="n">
        <f aca="false">F56+'Navy plan'!F57-IF($A57-Levers!$G$191&gt;=1846,INDEX('Navy plan'!F$6:F$92,$A57-1845-Levers!$G$191),0)</f>
        <v>11</v>
      </c>
      <c r="G57" s="50" t="n">
        <f aca="false">G56+'Navy plan'!G57-IF($A57-Levers!$H$191&gt;=1846,INDEX('Navy plan'!G$6:G$92,$A57-1845-Levers!$H$191),0)</f>
        <v>0</v>
      </c>
      <c r="H57" s="50" t="n">
        <f aca="false">H56+'Navy plan'!H57-IF($A57-Levers!$I$191&gt;=1846,INDEX('Navy plan'!H$6:H$92,$A57-1845-Levers!$I$191),0)</f>
        <v>0</v>
      </c>
      <c r="I57" s="50" t="n">
        <f aca="false">I56+'Navy plan'!I57-IF($A57-Levers!$J$191&gt;=1846,INDEX('Navy plan'!I$6:I$92,$A57-1845-Levers!$J$191),0)</f>
        <v>0</v>
      </c>
      <c r="J57" s="50" t="n">
        <f aca="false">J56+'Navy plan'!J57-IF($A57-Levers!$K$191&gt;=1846,INDEX('Navy plan'!J$6:J$92,$A57-1845-Levers!$K$191),0)</f>
        <v>0</v>
      </c>
      <c r="K57" s="50" t="n">
        <f aca="false">SUM(B57:J57)</f>
        <v>54</v>
      </c>
      <c r="L57" s="56" t="n">
        <f aca="false">0.5*SUMPRODUCT('Navy plan'!B57:J57,'Navy plan'!K57:S57)+0.5*SUMPRODUCT('Navy plan'!B58:J58,'Navy plan'!K58:S58)</f>
        <v>3.7905</v>
      </c>
      <c r="M57" s="50" t="n">
        <f aca="false">SUMPRODUCT(B57:J57,Levers!$C$192:$K$192)</f>
        <v>5940</v>
      </c>
      <c r="N57" s="50" t="n">
        <f aca="false">SUMPRODUCT(B57:J57,Levers!$C$195:$K$195)</f>
        <v>6986.41025641026</v>
      </c>
      <c r="O57" s="50"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50" t="n">
        <f aca="false">AA57+'Navy plan'!T57</f>
        <v>0</v>
      </c>
      <c r="AC57" s="65" t="n">
        <f aca="false">'Navy plan'!U57</f>
        <v>0</v>
      </c>
      <c r="AD57" s="65" t="n">
        <f aca="false">'Navy plan'!V57</f>
        <v>0</v>
      </c>
      <c r="AE57" s="70" t="n">
        <f aca="false">IF(AC57&gt;0,AB57/AC57,0)</f>
        <v>0</v>
      </c>
    </row>
    <row r="58" customFormat="false" ht="14.25" hidden="false" customHeight="false" outlineLevel="0" collapsed="false">
      <c r="A58" s="61" t="n">
        <v>1898</v>
      </c>
      <c r="B58" s="50" t="n">
        <f aca="false">B57+'Navy plan'!B58-IF($A58-Levers!$C$191&gt;=1846,INDEX('Navy plan'!B$6:B$92,$A58-1845-Levers!$C$191),0)</f>
        <v>4</v>
      </c>
      <c r="C58" s="50" t="n">
        <f aca="false">C57+'Navy plan'!C58-IF($A58-Levers!$D$191&gt;=1846,INDEX('Navy plan'!C$6:C$92,$A58-1845-Levers!$D$191),0)</f>
        <v>5</v>
      </c>
      <c r="D58" s="50" t="n">
        <f aca="false">D57+'Navy plan'!D58-IF($A58-Levers!$E$191&gt;=1846,INDEX('Navy plan'!D$6:D$92,$A58-1845-Levers!$E$191),0)</f>
        <v>24</v>
      </c>
      <c r="E58" s="50" t="n">
        <f aca="false">E57+'Navy plan'!E58-IF($A58-Levers!$F$191&gt;=1846,INDEX('Navy plan'!E$6:E$92,$A58-1845-Levers!$F$191),0)</f>
        <v>8</v>
      </c>
      <c r="F58" s="50" t="n">
        <f aca="false">F57+'Navy plan'!F58-IF($A58-Levers!$G$191&gt;=1846,INDEX('Navy plan'!F$6:F$92,$A58-1845-Levers!$G$191),0)</f>
        <v>15</v>
      </c>
      <c r="G58" s="50" t="n">
        <f aca="false">G57+'Navy plan'!G58-IF($A58-Levers!$H$191&gt;=1846,INDEX('Navy plan'!G$6:G$92,$A58-1845-Levers!$H$191),0)</f>
        <v>2</v>
      </c>
      <c r="H58" s="50" t="n">
        <f aca="false">H57+'Navy plan'!H58-IF($A58-Levers!$I$191&gt;=1846,INDEX('Navy plan'!H$6:H$92,$A58-1845-Levers!$I$191),0)</f>
        <v>0</v>
      </c>
      <c r="I58" s="50" t="n">
        <f aca="false">I57+'Navy plan'!I58-IF($A58-Levers!$J$191&gt;=1846,INDEX('Navy plan'!I$6:I$92,$A58-1845-Levers!$J$191),0)</f>
        <v>0</v>
      </c>
      <c r="J58" s="50" t="n">
        <f aca="false">J57+'Navy plan'!J58-IF($A58-Levers!$K$191&gt;=1846,INDEX('Navy plan'!J$6:J$92,$A58-1845-Levers!$K$191),0)</f>
        <v>0</v>
      </c>
      <c r="K58" s="50" t="n">
        <f aca="false">SUM(B58:J58)</f>
        <v>58</v>
      </c>
      <c r="L58" s="56" t="n">
        <f aca="false">0.5*SUMPRODUCT('Navy plan'!B58:J58,'Navy plan'!K58:S58)+0.5*SUMPRODUCT('Navy plan'!B59:J59,'Navy plan'!K59:S59)</f>
        <v>6.733</v>
      </c>
      <c r="M58" s="50" t="n">
        <f aca="false">SUMPRODUCT(B58:J58,Levers!$C$192:$K$192)</f>
        <v>6600</v>
      </c>
      <c r="N58" s="50" t="n">
        <f aca="false">SUMPRODUCT(B58:J58,Levers!$C$195:$K$195)</f>
        <v>7973.58974358974</v>
      </c>
      <c r="O58" s="50"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50" t="n">
        <f aca="false">AA58+'Navy plan'!T58</f>
        <v>0</v>
      </c>
      <c r="AC58" s="65" t="n">
        <f aca="false">'Navy plan'!U58</f>
        <v>0</v>
      </c>
      <c r="AD58" s="65" t="n">
        <f aca="false">'Navy plan'!V58</f>
        <v>0</v>
      </c>
      <c r="AE58" s="70" t="n">
        <f aca="false">IF(AC58&gt;0,AB58/AC58,0)</f>
        <v>0</v>
      </c>
    </row>
    <row r="59" customFormat="false" ht="14.25" hidden="false" customHeight="false" outlineLevel="0" collapsed="false">
      <c r="A59" s="61" t="n">
        <v>1899</v>
      </c>
      <c r="B59" s="50" t="n">
        <f aca="false">B58+'Navy plan'!B59-IF($A59-Levers!$C$191&gt;=1846,INDEX('Navy plan'!B$6:B$92,$A59-1845-Levers!$C$191),0)</f>
        <v>4</v>
      </c>
      <c r="C59" s="50" t="n">
        <f aca="false">C58+'Navy plan'!C59-IF($A59-Levers!$D$191&gt;=1846,INDEX('Navy plan'!C$6:C$92,$A59-1845-Levers!$D$191),0)</f>
        <v>5</v>
      </c>
      <c r="D59" s="50" t="n">
        <f aca="false">D58+'Navy plan'!D59-IF($A59-Levers!$E$191&gt;=1846,INDEX('Navy plan'!D$6:D$92,$A59-1845-Levers!$E$191),0)</f>
        <v>20</v>
      </c>
      <c r="E59" s="50" t="n">
        <f aca="false">E58+'Navy plan'!E59-IF($A59-Levers!$F$191&gt;=1846,INDEX('Navy plan'!E$6:E$92,$A59-1845-Levers!$F$191),0)</f>
        <v>8</v>
      </c>
      <c r="F59" s="50" t="n">
        <f aca="false">F58+'Navy plan'!F59-IF($A59-Levers!$G$191&gt;=1846,INDEX('Navy plan'!F$6:F$92,$A59-1845-Levers!$G$191),0)</f>
        <v>19</v>
      </c>
      <c r="G59" s="50" t="n">
        <f aca="false">G58+'Navy plan'!G59-IF($A59-Levers!$H$191&gt;=1846,INDEX('Navy plan'!G$6:G$92,$A59-1845-Levers!$H$191),0)</f>
        <v>4</v>
      </c>
      <c r="H59" s="50" t="n">
        <f aca="false">H58+'Navy plan'!H59-IF($A59-Levers!$I$191&gt;=1846,INDEX('Navy plan'!H$6:H$92,$A59-1845-Levers!$I$191),0)</f>
        <v>0</v>
      </c>
      <c r="I59" s="50" t="n">
        <f aca="false">I58+'Navy plan'!I59-IF($A59-Levers!$J$191&gt;=1846,INDEX('Navy plan'!I$6:I$92,$A59-1845-Levers!$J$191),0)</f>
        <v>0</v>
      </c>
      <c r="J59" s="50" t="n">
        <f aca="false">J58+'Navy plan'!J59-IF($A59-Levers!$K$191&gt;=1846,INDEX('Navy plan'!J$6:J$92,$A59-1845-Levers!$K$191),0)</f>
        <v>0</v>
      </c>
      <c r="K59" s="50" t="n">
        <f aca="false">SUM(B59:J59)</f>
        <v>60</v>
      </c>
      <c r="L59" s="56" t="n">
        <f aca="false">0.5*SUMPRODUCT('Navy plan'!B59:J59,'Navy plan'!K59:S59)+0.5*SUMPRODUCT('Navy plan'!B60:J60,'Navy plan'!K60:S60)</f>
        <v>4.179</v>
      </c>
      <c r="M59" s="50" t="n">
        <f aca="false">SUMPRODUCT(B59:J59,Levers!$C$192:$K$192)</f>
        <v>7680</v>
      </c>
      <c r="N59" s="50" t="n">
        <f aca="false">SUMPRODUCT(B59:J59,Levers!$C$195:$K$195)</f>
        <v>9358.20512820513</v>
      </c>
      <c r="O59" s="50"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50" t="n">
        <f aca="false">AA59+'Navy plan'!T59</f>
        <v>0</v>
      </c>
      <c r="AC59" s="65" t="n">
        <f aca="false">'Navy plan'!U59</f>
        <v>0</v>
      </c>
      <c r="AD59" s="65" t="n">
        <f aca="false">'Navy plan'!V59</f>
        <v>0</v>
      </c>
      <c r="AE59" s="70" t="n">
        <f aca="false">IF(AC59&gt;0,AB59/AC59,0)</f>
        <v>0</v>
      </c>
    </row>
    <row r="60" customFormat="false" ht="14.25" hidden="false" customHeight="false" outlineLevel="0" collapsed="false">
      <c r="A60" s="61" t="n">
        <v>1900</v>
      </c>
      <c r="B60" s="50" t="n">
        <f aca="false">B59+'Navy plan'!B60-IF($A60-Levers!$C$191&gt;=1846,INDEX('Navy plan'!B$6:B$92,$A60-1845-Levers!$C$191),0)</f>
        <v>3</v>
      </c>
      <c r="C60" s="50" t="n">
        <f aca="false">C59+'Navy plan'!C60-IF($A60-Levers!$D$191&gt;=1846,INDEX('Navy plan'!C$6:C$92,$A60-1845-Levers!$D$191),0)</f>
        <v>5</v>
      </c>
      <c r="D60" s="50" t="n">
        <f aca="false">D59+'Navy plan'!D60-IF($A60-Levers!$E$191&gt;=1846,INDEX('Navy plan'!D$6:D$92,$A60-1845-Levers!$E$191),0)</f>
        <v>20</v>
      </c>
      <c r="E60" s="50" t="n">
        <f aca="false">E59+'Navy plan'!E60-IF($A60-Levers!$F$191&gt;=1846,INDEX('Navy plan'!E$6:E$92,$A60-1845-Levers!$F$191),0)</f>
        <v>8</v>
      </c>
      <c r="F60" s="50" t="n">
        <f aca="false">F59+'Navy plan'!F60-IF($A60-Levers!$G$191&gt;=1846,INDEX('Navy plan'!F$6:F$92,$A60-1845-Levers!$G$191),0)</f>
        <v>22</v>
      </c>
      <c r="G60" s="50" t="n">
        <f aca="false">G59+'Navy plan'!G60-IF($A60-Levers!$H$191&gt;=1846,INDEX('Navy plan'!G$6:G$92,$A60-1845-Levers!$H$191),0)</f>
        <v>4</v>
      </c>
      <c r="H60" s="50" t="n">
        <f aca="false">H59+'Navy plan'!H60-IF($A60-Levers!$I$191&gt;=1846,INDEX('Navy plan'!H$6:H$92,$A60-1845-Levers!$I$191),0)</f>
        <v>0</v>
      </c>
      <c r="I60" s="50" t="n">
        <f aca="false">I59+'Navy plan'!I60-IF($A60-Levers!$J$191&gt;=1846,INDEX('Navy plan'!I$6:I$92,$A60-1845-Levers!$J$191),0)</f>
        <v>2</v>
      </c>
      <c r="J60" s="50" t="n">
        <f aca="false">J59+'Navy plan'!J60-IF($A60-Levers!$K$191&gt;=1846,INDEX('Navy plan'!J$6:J$92,$A60-1845-Levers!$K$191),0)</f>
        <v>0</v>
      </c>
      <c r="K60" s="50" t="n">
        <f aca="false">SUM(B60:J60)</f>
        <v>64</v>
      </c>
      <c r="L60" s="56" t="n">
        <f aca="false">0.5*SUMPRODUCT('Navy plan'!B60:J60,'Navy plan'!K60:S60)+0.5*SUMPRODUCT('Navy plan'!B61:J61,'Navy plan'!K61:S61)</f>
        <v>4.298</v>
      </c>
      <c r="M60" s="50" t="n">
        <f aca="false">SUMPRODUCT(B60:J60,Levers!$C$192:$K$192)</f>
        <v>7890</v>
      </c>
      <c r="N60" s="50" t="n">
        <f aca="false">SUMPRODUCT(B60:J60,Levers!$C$195:$K$195)</f>
        <v>9661.28205128205</v>
      </c>
      <c r="O60" s="50"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50" t="n">
        <f aca="false">AA60+'Navy plan'!T60</f>
        <v>0</v>
      </c>
      <c r="AC60" s="65" t="n">
        <f aca="false">'Navy plan'!U60</f>
        <v>0</v>
      </c>
      <c r="AD60" s="65" t="n">
        <f aca="false">'Navy plan'!V60</f>
        <v>0</v>
      </c>
      <c r="AE60" s="70" t="n">
        <f aca="false">IF(AC60&gt;0,AB60/AC60,0)</f>
        <v>0</v>
      </c>
    </row>
    <row r="61" customFormat="false" ht="14.25" hidden="false" customHeight="false" outlineLevel="0" collapsed="false">
      <c r="A61" s="61" t="n">
        <v>1901</v>
      </c>
      <c r="B61" s="50" t="n">
        <f aca="false">B60+'Navy plan'!B61-IF($A61-Levers!$C$191&gt;=1846,INDEX('Navy plan'!B$6:B$92,$A61-1845-Levers!$C$191),0)</f>
        <v>3</v>
      </c>
      <c r="C61" s="50" t="n">
        <f aca="false">C60+'Navy plan'!C61-IF($A61-Levers!$D$191&gt;=1846,INDEX('Navy plan'!C$6:C$92,$A61-1845-Levers!$D$191),0)</f>
        <v>3</v>
      </c>
      <c r="D61" s="50" t="n">
        <f aca="false">D60+'Navy plan'!D61-IF($A61-Levers!$E$191&gt;=1846,INDEX('Navy plan'!D$6:D$92,$A61-1845-Levers!$E$191),0)</f>
        <v>14</v>
      </c>
      <c r="E61" s="50" t="n">
        <f aca="false">E60+'Navy plan'!E61-IF($A61-Levers!$F$191&gt;=1846,INDEX('Navy plan'!E$6:E$92,$A61-1845-Levers!$F$191),0)</f>
        <v>8</v>
      </c>
      <c r="F61" s="50" t="n">
        <f aca="false">F60+'Navy plan'!F61-IF($A61-Levers!$G$191&gt;=1846,INDEX('Navy plan'!F$6:F$92,$A61-1845-Levers!$G$191),0)</f>
        <v>25</v>
      </c>
      <c r="G61" s="50" t="n">
        <f aca="false">G60+'Navy plan'!G61-IF($A61-Levers!$H$191&gt;=1846,INDEX('Navy plan'!G$6:G$92,$A61-1845-Levers!$H$191),0)</f>
        <v>6</v>
      </c>
      <c r="H61" s="50" t="n">
        <f aca="false">H60+'Navy plan'!H61-IF($A61-Levers!$I$191&gt;=1846,INDEX('Navy plan'!H$6:H$92,$A61-1845-Levers!$I$191),0)</f>
        <v>0</v>
      </c>
      <c r="I61" s="50" t="n">
        <f aca="false">I60+'Navy plan'!I61-IF($A61-Levers!$J$191&gt;=1846,INDEX('Navy plan'!I$6:I$92,$A61-1845-Levers!$J$191),0)</f>
        <v>2</v>
      </c>
      <c r="J61" s="50" t="n">
        <f aca="false">J60+'Navy plan'!J61-IF($A61-Levers!$K$191&gt;=1846,INDEX('Navy plan'!J$6:J$92,$A61-1845-Levers!$K$191),0)</f>
        <v>0</v>
      </c>
      <c r="K61" s="50" t="n">
        <f aca="false">SUM(B61:J61)</f>
        <v>61</v>
      </c>
      <c r="L61" s="56" t="n">
        <f aca="false">0.5*SUMPRODUCT('Navy plan'!B61:J61,'Navy plan'!K61:S61)+0.5*SUMPRODUCT('Navy plan'!B62:J62,'Navy plan'!K62:S62)</f>
        <v>4.395</v>
      </c>
      <c r="M61" s="50" t="n">
        <f aca="false">SUMPRODUCT(B61:J61,Levers!$C$192:$K$192)</f>
        <v>8340</v>
      </c>
      <c r="N61" s="50" t="n">
        <f aca="false">SUMPRODUCT(B61:J61,Levers!$C$195:$K$195)</f>
        <v>10379.2307692308</v>
      </c>
      <c r="O61" s="50"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50" t="n">
        <f aca="false">AA61+'Navy plan'!T61</f>
        <v>0</v>
      </c>
      <c r="AC61" s="65" t="n">
        <f aca="false">'Navy plan'!U61</f>
        <v>0</v>
      </c>
      <c r="AD61" s="65" t="n">
        <f aca="false">'Navy plan'!V61</f>
        <v>0</v>
      </c>
      <c r="AE61" s="70" t="n">
        <f aca="false">IF(AC61&gt;0,AB61/AC61,0)</f>
        <v>0</v>
      </c>
    </row>
    <row r="62" customFormat="false" ht="14.25" hidden="false" customHeight="false" outlineLevel="0" collapsed="false">
      <c r="A62" s="61" t="n">
        <v>1902</v>
      </c>
      <c r="B62" s="50" t="n">
        <f aca="false">B61+'Navy plan'!B62-IF($A62-Levers!$C$191&gt;=1846,INDEX('Navy plan'!B$6:B$92,$A62-1845-Levers!$C$191),0)</f>
        <v>3</v>
      </c>
      <c r="C62" s="50" t="n">
        <f aca="false">C61+'Navy plan'!C62-IF($A62-Levers!$D$191&gt;=1846,INDEX('Navy plan'!C$6:C$92,$A62-1845-Levers!$D$191),0)</f>
        <v>3</v>
      </c>
      <c r="D62" s="50" t="n">
        <f aca="false">D61+'Navy plan'!D62-IF($A62-Levers!$E$191&gt;=1846,INDEX('Navy plan'!D$6:D$92,$A62-1845-Levers!$E$191),0)</f>
        <v>14</v>
      </c>
      <c r="E62" s="50" t="n">
        <f aca="false">E61+'Navy plan'!E62-IF($A62-Levers!$F$191&gt;=1846,INDEX('Navy plan'!E$6:E$92,$A62-1845-Levers!$F$191),0)</f>
        <v>8</v>
      </c>
      <c r="F62" s="50" t="n">
        <f aca="false">F61+'Navy plan'!F62-IF($A62-Levers!$G$191&gt;=1846,INDEX('Navy plan'!F$6:F$92,$A62-1845-Levers!$G$191),0)</f>
        <v>28</v>
      </c>
      <c r="G62" s="50" t="n">
        <f aca="false">G61+'Navy plan'!G62-IF($A62-Levers!$H$191&gt;=1846,INDEX('Navy plan'!G$6:G$92,$A62-1845-Levers!$H$191),0)</f>
        <v>6</v>
      </c>
      <c r="H62" s="50" t="n">
        <f aca="false">H61+'Navy plan'!H62-IF($A62-Levers!$I$191&gt;=1846,INDEX('Navy plan'!H$6:H$92,$A62-1845-Levers!$I$191),0)</f>
        <v>0</v>
      </c>
      <c r="I62" s="50" t="n">
        <f aca="false">I61+'Navy plan'!I62-IF($A62-Levers!$J$191&gt;=1846,INDEX('Navy plan'!I$6:I$92,$A62-1845-Levers!$J$191),0)</f>
        <v>4</v>
      </c>
      <c r="J62" s="50" t="n">
        <f aca="false">J61+'Navy plan'!J62-IF($A62-Levers!$K$191&gt;=1846,INDEX('Navy plan'!J$6:J$92,$A62-1845-Levers!$K$191),0)</f>
        <v>0</v>
      </c>
      <c r="K62" s="50" t="n">
        <f aca="false">SUM(B62:J62)</f>
        <v>66</v>
      </c>
      <c r="L62" s="56" t="n">
        <f aca="false">0.5*SUMPRODUCT('Navy plan'!B62:J62,'Navy plan'!K62:S62)+0.5*SUMPRODUCT('Navy plan'!B63:J63,'Navy plan'!K63:S63)</f>
        <v>6.33</v>
      </c>
      <c r="M62" s="50" t="n">
        <f aca="false">SUMPRODUCT(B62:J62,Levers!$C$192:$K$192)</f>
        <v>8670</v>
      </c>
      <c r="N62" s="50" t="n">
        <f aca="false">SUMPRODUCT(B62:J62,Levers!$C$195:$K$195)</f>
        <v>10802.3076923077</v>
      </c>
      <c r="O62" s="50"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50" t="n">
        <f aca="false">AA62+'Navy plan'!T62</f>
        <v>0</v>
      </c>
      <c r="AC62" s="65" t="n">
        <f aca="false">'Navy plan'!U62</f>
        <v>0</v>
      </c>
      <c r="AD62" s="65" t="n">
        <f aca="false">'Navy plan'!V62</f>
        <v>0</v>
      </c>
      <c r="AE62" s="70" t="n">
        <f aca="false">IF(AC62&gt;0,AB62/AC62,0)</f>
        <v>0</v>
      </c>
    </row>
    <row r="63" customFormat="false" ht="14.25" hidden="false" customHeight="false" outlineLevel="0" collapsed="false">
      <c r="A63" s="61" t="n">
        <v>1903</v>
      </c>
      <c r="B63" s="50" t="n">
        <f aca="false">B62+'Navy plan'!B63-IF($A63-Levers!$C$191&gt;=1846,INDEX('Navy plan'!B$6:B$92,$A63-1845-Levers!$C$191),0)</f>
        <v>2</v>
      </c>
      <c r="C63" s="50" t="n">
        <f aca="false">C62+'Navy plan'!C63-IF($A63-Levers!$D$191&gt;=1846,INDEX('Navy plan'!C$6:C$92,$A63-1845-Levers!$D$191),0)</f>
        <v>3</v>
      </c>
      <c r="D63" s="50" t="n">
        <f aca="false">D62+'Navy plan'!D63-IF($A63-Levers!$E$191&gt;=1846,INDEX('Navy plan'!D$6:D$92,$A63-1845-Levers!$E$191),0)</f>
        <v>8</v>
      </c>
      <c r="E63" s="50" t="n">
        <f aca="false">E62+'Navy plan'!E63-IF($A63-Levers!$F$191&gt;=1846,INDEX('Navy plan'!E$6:E$92,$A63-1845-Levers!$F$191),0)</f>
        <v>8</v>
      </c>
      <c r="F63" s="50" t="n">
        <f aca="false">F62+'Navy plan'!F63-IF($A63-Levers!$G$191&gt;=1846,INDEX('Navy plan'!F$6:F$92,$A63-1845-Levers!$G$191),0)</f>
        <v>31</v>
      </c>
      <c r="G63" s="50" t="n">
        <f aca="false">G62+'Navy plan'!G63-IF($A63-Levers!$H$191&gt;=1846,INDEX('Navy plan'!G$6:G$92,$A63-1845-Levers!$H$191),0)</f>
        <v>7</v>
      </c>
      <c r="H63" s="50" t="n">
        <f aca="false">H62+'Navy plan'!H63-IF($A63-Levers!$I$191&gt;=1846,INDEX('Navy plan'!H$6:H$92,$A63-1845-Levers!$I$191),0)</f>
        <v>1</v>
      </c>
      <c r="I63" s="50" t="n">
        <f aca="false">I62+'Navy plan'!I63-IF($A63-Levers!$J$191&gt;=1846,INDEX('Navy plan'!I$6:I$92,$A63-1845-Levers!$J$191),0)</f>
        <v>4</v>
      </c>
      <c r="J63" s="50" t="n">
        <f aca="false">J62+'Navy plan'!J63-IF($A63-Levers!$K$191&gt;=1846,INDEX('Navy plan'!J$6:J$92,$A63-1845-Levers!$K$191),0)</f>
        <v>0</v>
      </c>
      <c r="K63" s="50" t="n">
        <f aca="false">SUM(B63:J63)</f>
        <v>64</v>
      </c>
      <c r="L63" s="56" t="n">
        <f aca="false">0.5*SUMPRODUCT('Navy plan'!B63:J63,'Navy plan'!K63:S63)+0.5*SUMPRODUCT('Navy plan'!B64:J64,'Navy plan'!K64:S64)</f>
        <v>6.426</v>
      </c>
      <c r="M63" s="50" t="n">
        <f aca="false">SUMPRODUCT(B63:J63,Levers!$C$192:$K$192)</f>
        <v>10100</v>
      </c>
      <c r="N63" s="50" t="n">
        <f aca="false">SUMPRODUCT(B63:J63,Levers!$C$195:$K$195)</f>
        <v>12669.4871794872</v>
      </c>
      <c r="O63" s="50"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50" t="n">
        <f aca="false">AA63+'Navy plan'!T63</f>
        <v>1</v>
      </c>
      <c r="AC63" s="65" t="n">
        <f aca="false">'Navy plan'!U63</f>
        <v>0</v>
      </c>
      <c r="AD63" s="65" t="n">
        <f aca="false">'Navy plan'!V63</f>
        <v>0</v>
      </c>
      <c r="AE63" s="70" t="n">
        <f aca="false">IF(AC63&gt;0,AB63/AC63,0)</f>
        <v>0</v>
      </c>
    </row>
    <row r="64" customFormat="false" ht="14.25" hidden="false" customHeight="false" outlineLevel="0" collapsed="false">
      <c r="A64" s="61" t="n">
        <v>1904</v>
      </c>
      <c r="B64" s="50" t="n">
        <f aca="false">B63+'Navy plan'!B64-IF($A64-Levers!$C$191&gt;=1846,INDEX('Navy plan'!B$6:B$92,$A64-1845-Levers!$C$191),0)</f>
        <v>2</v>
      </c>
      <c r="C64" s="50" t="n">
        <f aca="false">C63+'Navy plan'!C64-IF($A64-Levers!$D$191&gt;=1846,INDEX('Navy plan'!C$6:C$92,$A64-1845-Levers!$D$191),0)</f>
        <v>1</v>
      </c>
      <c r="D64" s="50" t="n">
        <f aca="false">D63+'Navy plan'!D64-IF($A64-Levers!$E$191&gt;=1846,INDEX('Navy plan'!D$6:D$92,$A64-1845-Levers!$E$191),0)</f>
        <v>8</v>
      </c>
      <c r="E64" s="50" t="n">
        <f aca="false">E63+'Navy plan'!E64-IF($A64-Levers!$F$191&gt;=1846,INDEX('Navy plan'!E$6:E$92,$A64-1845-Levers!$F$191),0)</f>
        <v>8</v>
      </c>
      <c r="F64" s="50" t="n">
        <f aca="false">F63+'Navy plan'!F64-IF($A64-Levers!$G$191&gt;=1846,INDEX('Navy plan'!F$6:F$92,$A64-1845-Levers!$G$191),0)</f>
        <v>34</v>
      </c>
      <c r="G64" s="50" t="n">
        <f aca="false">G63+'Navy plan'!G64-IF($A64-Levers!$H$191&gt;=1846,INDEX('Navy plan'!G$6:G$92,$A64-1845-Levers!$H$191),0)</f>
        <v>7</v>
      </c>
      <c r="H64" s="50" t="n">
        <f aca="false">H63+'Navy plan'!H64-IF($A64-Levers!$I$191&gt;=1846,INDEX('Navy plan'!H$6:H$92,$A64-1845-Levers!$I$191),0)</f>
        <v>1</v>
      </c>
      <c r="I64" s="50" t="n">
        <f aca="false">I63+'Navy plan'!I64-IF($A64-Levers!$J$191&gt;=1846,INDEX('Navy plan'!I$6:I$92,$A64-1845-Levers!$J$191),0)</f>
        <v>6</v>
      </c>
      <c r="J64" s="50" t="n">
        <f aca="false">J63+'Navy plan'!J64-IF($A64-Levers!$K$191&gt;=1846,INDEX('Navy plan'!J$6:J$92,$A64-1845-Levers!$K$191),0)</f>
        <v>0</v>
      </c>
      <c r="K64" s="50" t="n">
        <f aca="false">SUM(B64:J64)</f>
        <v>67</v>
      </c>
      <c r="L64" s="56" t="n">
        <f aca="false">0.5*SUMPRODUCT('Navy plan'!B64:J64,'Navy plan'!K64:S64)+0.5*SUMPRODUCT('Navy plan'!B65:J65,'Navy plan'!K65:S65)</f>
        <v>7.111</v>
      </c>
      <c r="M64" s="50" t="n">
        <f aca="false">SUMPRODUCT(B64:J64,Levers!$C$192:$K$192)</f>
        <v>9930</v>
      </c>
      <c r="N64" s="50" t="n">
        <f aca="false">SUMPRODUCT(B64:J64,Levers!$C$195:$K$195)</f>
        <v>12592.5641025641</v>
      </c>
      <c r="O64" s="50"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50" t="n">
        <f aca="false">AA64+'Navy plan'!T64</f>
        <v>1</v>
      </c>
      <c r="AC64" s="65" t="n">
        <f aca="false">'Navy plan'!U64</f>
        <v>0</v>
      </c>
      <c r="AD64" s="65" t="n">
        <f aca="false">'Navy plan'!V64</f>
        <v>0</v>
      </c>
      <c r="AE64" s="70" t="n">
        <f aca="false">IF(AC64&gt;0,AB64/AC64,0)</f>
        <v>0</v>
      </c>
    </row>
    <row r="65" customFormat="false" ht="14.25" hidden="false" customHeight="false" outlineLevel="0" collapsed="false">
      <c r="A65" s="61" t="n">
        <v>1905</v>
      </c>
      <c r="B65" s="50" t="n">
        <f aca="false">B64+'Navy plan'!B65-IF($A65-Levers!$C$191&gt;=1846,INDEX('Navy plan'!B$6:B$92,$A65-1845-Levers!$C$191),0)</f>
        <v>2</v>
      </c>
      <c r="C65" s="50" t="n">
        <f aca="false">C64+'Navy plan'!C65-IF($A65-Levers!$D$191&gt;=1846,INDEX('Navy plan'!C$6:C$92,$A65-1845-Levers!$D$191),0)</f>
        <v>1</v>
      </c>
      <c r="D65" s="50" t="n">
        <f aca="false">D64+'Navy plan'!D65-IF($A65-Levers!$E$191&gt;=1846,INDEX('Navy plan'!D$6:D$92,$A65-1845-Levers!$E$191),0)</f>
        <v>4</v>
      </c>
      <c r="E65" s="50" t="n">
        <f aca="false">E64+'Navy plan'!E65-IF($A65-Levers!$F$191&gt;=1846,INDEX('Navy plan'!E$6:E$92,$A65-1845-Levers!$F$191),0)</f>
        <v>8</v>
      </c>
      <c r="F65" s="50" t="n">
        <f aca="false">F64+'Navy plan'!F65-IF($A65-Levers!$G$191&gt;=1846,INDEX('Navy plan'!F$6:F$92,$A65-1845-Levers!$G$191),0)</f>
        <v>37</v>
      </c>
      <c r="G65" s="50" t="n">
        <f aca="false">G64+'Navy plan'!G65-IF($A65-Levers!$H$191&gt;=1846,INDEX('Navy plan'!G$6:G$92,$A65-1845-Levers!$H$191),0)</f>
        <v>8</v>
      </c>
      <c r="H65" s="50" t="n">
        <f aca="false">H64+'Navy plan'!H65-IF($A65-Levers!$I$191&gt;=1846,INDEX('Navy plan'!H$6:H$92,$A65-1845-Levers!$I$191),0)</f>
        <v>2</v>
      </c>
      <c r="I65" s="50" t="n">
        <f aca="false">I64+'Navy plan'!I65-IF($A65-Levers!$J$191&gt;=1846,INDEX('Navy plan'!I$6:I$92,$A65-1845-Levers!$J$191),0)</f>
        <v>6</v>
      </c>
      <c r="J65" s="50" t="n">
        <f aca="false">J64+'Navy plan'!J65-IF($A65-Levers!$K$191&gt;=1846,INDEX('Navy plan'!J$6:J$92,$A65-1845-Levers!$K$191),0)</f>
        <v>0</v>
      </c>
      <c r="K65" s="50" t="n">
        <f aca="false">SUM(B65:J65)</f>
        <v>68</v>
      </c>
      <c r="L65" s="56" t="n">
        <f aca="false">0.5*SUMPRODUCT('Navy plan'!B65:J65,'Navy plan'!K65:S65)+0.5*SUMPRODUCT('Navy plan'!B66:J66,'Navy plan'!K66:S66)</f>
        <v>11.6455</v>
      </c>
      <c r="M65" s="50" t="n">
        <f aca="false">SUMPRODUCT(B65:J65,Levers!$C$192:$K$192)</f>
        <v>11520</v>
      </c>
      <c r="N65" s="50" t="n">
        <f aca="false">SUMPRODUCT(B65:J65,Levers!$C$195:$K$195)</f>
        <v>14631.0256410256</v>
      </c>
      <c r="O65" s="50"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50" t="n">
        <f aca="false">AA65+'Navy plan'!T65</f>
        <v>2</v>
      </c>
      <c r="AC65" s="65" t="n">
        <f aca="false">'Navy plan'!U65</f>
        <v>0</v>
      </c>
      <c r="AD65" s="65" t="n">
        <f aca="false">'Navy plan'!V65</f>
        <v>0</v>
      </c>
      <c r="AE65" s="70" t="n">
        <f aca="false">IF(AC65&gt;0,AB65/AC65,0)</f>
        <v>0</v>
      </c>
    </row>
    <row r="66" customFormat="false" ht="14.25" hidden="false" customHeight="false" outlineLevel="0" collapsed="false">
      <c r="A66" s="61" t="n">
        <v>1906</v>
      </c>
      <c r="B66" s="50" t="n">
        <f aca="false">B65+'Navy plan'!B66-IF($A66-Levers!$C$191&gt;=1846,INDEX('Navy plan'!B$6:B$92,$A66-1845-Levers!$C$191),0)</f>
        <v>1</v>
      </c>
      <c r="C66" s="50" t="n">
        <f aca="false">C65+'Navy plan'!C66-IF($A66-Levers!$D$191&gt;=1846,INDEX('Navy plan'!C$6:C$92,$A66-1845-Levers!$D$191),0)</f>
        <v>1</v>
      </c>
      <c r="D66" s="50" t="n">
        <f aca="false">D65+'Navy plan'!D66-IF($A66-Levers!$E$191&gt;=1846,INDEX('Navy plan'!D$6:D$92,$A66-1845-Levers!$E$191),0)</f>
        <v>4</v>
      </c>
      <c r="E66" s="50" t="n">
        <f aca="false">E65+'Navy plan'!E66-IF($A66-Levers!$F$191&gt;=1846,INDEX('Navy plan'!E$6:E$92,$A66-1845-Levers!$F$191),0)</f>
        <v>8</v>
      </c>
      <c r="F66" s="50" t="n">
        <f aca="false">F65+'Navy plan'!F66-IF($A66-Levers!$G$191&gt;=1846,INDEX('Navy plan'!F$6:F$92,$A66-1845-Levers!$G$191),0)</f>
        <v>41</v>
      </c>
      <c r="G66" s="50" t="n">
        <f aca="false">G65+'Navy plan'!G66-IF($A66-Levers!$H$191&gt;=1846,INDEX('Navy plan'!G$6:G$92,$A66-1845-Levers!$H$191),0)</f>
        <v>8</v>
      </c>
      <c r="H66" s="50" t="n">
        <f aca="false">H65+'Navy plan'!H66-IF($A66-Levers!$I$191&gt;=1846,INDEX('Navy plan'!H$6:H$92,$A66-1845-Levers!$I$191),0)</f>
        <v>3</v>
      </c>
      <c r="I66" s="50" t="n">
        <f aca="false">I65+'Navy plan'!I66-IF($A66-Levers!$J$191&gt;=1846,INDEX('Navy plan'!I$6:I$92,$A66-1845-Levers!$J$191),0)</f>
        <v>9</v>
      </c>
      <c r="J66" s="50" t="n">
        <f aca="false">J65+'Navy plan'!J66-IF($A66-Levers!$K$191&gt;=1846,INDEX('Navy plan'!J$6:J$92,$A66-1845-Levers!$K$191),0)</f>
        <v>0</v>
      </c>
      <c r="K66" s="50" t="n">
        <f aca="false">SUM(B66:J66)</f>
        <v>75</v>
      </c>
      <c r="L66" s="56" t="n">
        <f aca="false">0.5*SUMPRODUCT('Navy plan'!B66:J66,'Navy plan'!K66:S66)+0.5*SUMPRODUCT('Navy plan'!B67:J67,'Navy plan'!K67:S67)</f>
        <v>14.7805</v>
      </c>
      <c r="M66" s="50" t="n">
        <f aca="false">SUMPRODUCT(B66:J66,Levers!$C$192:$K$192)</f>
        <v>12850</v>
      </c>
      <c r="N66" s="50" t="n">
        <f aca="false">SUMPRODUCT(B66:J66,Levers!$C$195:$K$195)</f>
        <v>16370</v>
      </c>
      <c r="O66" s="50"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50" t="n">
        <f aca="false">AA66+'Navy plan'!T66</f>
        <v>3</v>
      </c>
      <c r="AC66" s="65" t="n">
        <f aca="false">'Navy plan'!U66</f>
        <v>1</v>
      </c>
      <c r="AD66" s="65" t="n">
        <f aca="false">'Navy plan'!V66</f>
        <v>0</v>
      </c>
      <c r="AE66" s="70" t="n">
        <f aca="false">IF(AC66&gt;0,AB66/AC66,0)</f>
        <v>3</v>
      </c>
    </row>
    <row r="67" customFormat="false" ht="14.25" hidden="false" customHeight="false" outlineLevel="0" collapsed="false">
      <c r="A67" s="61" t="n">
        <v>1907</v>
      </c>
      <c r="B67" s="50" t="n">
        <f aca="false">B66+'Navy plan'!B67-IF($A67-Levers!$C$191&gt;=1846,INDEX('Navy plan'!B$6:B$92,$A67-1845-Levers!$C$191),0)</f>
        <v>1</v>
      </c>
      <c r="C67" s="50" t="n">
        <f aca="false">C66+'Navy plan'!C67-IF($A67-Levers!$D$191&gt;=1846,INDEX('Navy plan'!C$6:C$92,$A67-1845-Levers!$D$191),0)</f>
        <v>0</v>
      </c>
      <c r="D67" s="50" t="n">
        <f aca="false">D66+'Navy plan'!D67-IF($A67-Levers!$E$191&gt;=1846,INDEX('Navy plan'!D$6:D$92,$A67-1845-Levers!$E$191),0)</f>
        <v>0</v>
      </c>
      <c r="E67" s="50" t="n">
        <f aca="false">E66+'Navy plan'!E67-IF($A67-Levers!$F$191&gt;=1846,INDEX('Navy plan'!E$6:E$92,$A67-1845-Levers!$F$191),0)</f>
        <v>8</v>
      </c>
      <c r="F67" s="50" t="n">
        <f aca="false">F66+'Navy plan'!F67-IF($A67-Levers!$G$191&gt;=1846,INDEX('Navy plan'!F$6:F$92,$A67-1845-Levers!$G$191),0)</f>
        <v>45</v>
      </c>
      <c r="G67" s="50" t="n">
        <f aca="false">G66+'Navy plan'!G67-IF($A67-Levers!$H$191&gt;=1846,INDEX('Navy plan'!G$6:G$92,$A67-1845-Levers!$H$191),0)</f>
        <v>10</v>
      </c>
      <c r="H67" s="50" t="n">
        <f aca="false">H66+'Navy plan'!H67-IF($A67-Levers!$I$191&gt;=1846,INDEX('Navy plan'!H$6:H$92,$A67-1845-Levers!$I$191),0)</f>
        <v>4</v>
      </c>
      <c r="I67" s="50" t="n">
        <f aca="false">I66+'Navy plan'!I67-IF($A67-Levers!$J$191&gt;=1846,INDEX('Navy plan'!I$6:I$92,$A67-1845-Levers!$J$191),0)</f>
        <v>9</v>
      </c>
      <c r="J67" s="50" t="n">
        <f aca="false">J66+'Navy plan'!J67-IF($A67-Levers!$K$191&gt;=1846,INDEX('Navy plan'!J$6:J$92,$A67-1845-Levers!$K$191),0)</f>
        <v>0</v>
      </c>
      <c r="K67" s="50" t="n">
        <f aca="false">SUM(B67:J67)</f>
        <v>77</v>
      </c>
      <c r="L67" s="56" t="n">
        <f aca="false">0.5*SUMPRODUCT('Navy plan'!B67:J67,'Navy plan'!K67:S67)+0.5*SUMPRODUCT('Navy plan'!B68:J68,'Navy plan'!K68:S68)</f>
        <v>10.996</v>
      </c>
      <c r="M67" s="50" t="n">
        <f aca="false">SUMPRODUCT(B67:J67,Levers!$C$192:$K$192)</f>
        <v>14680</v>
      </c>
      <c r="N67" s="50" t="n">
        <f aca="false">SUMPRODUCT(B67:J67,Levers!$C$195:$K$195)</f>
        <v>18786.6666666667</v>
      </c>
      <c r="O67" s="50"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50" t="n">
        <f aca="false">AA67+'Navy plan'!T67</f>
        <v>4</v>
      </c>
      <c r="AC67" s="65" t="n">
        <f aca="false">'Navy plan'!U67</f>
        <v>3</v>
      </c>
      <c r="AD67" s="65" t="n">
        <f aca="false">'Navy plan'!V67</f>
        <v>0</v>
      </c>
      <c r="AE67" s="70" t="n">
        <f aca="false">IF(AC67&gt;0,AB67/AC67,0)</f>
        <v>1.33333333333333</v>
      </c>
    </row>
    <row r="68" customFormat="false" ht="14.25" hidden="false" customHeight="false" outlineLevel="0" collapsed="false">
      <c r="A68" s="61" t="n">
        <v>1908</v>
      </c>
      <c r="B68" s="50" t="n">
        <f aca="false">B67+'Navy plan'!B68-IF($A68-Levers!$C$191&gt;=1846,INDEX('Navy plan'!B$6:B$92,$A68-1845-Levers!$C$191),0)</f>
        <v>1</v>
      </c>
      <c r="C68" s="50" t="n">
        <f aca="false">C67+'Navy plan'!C68-IF($A68-Levers!$D$191&gt;=1846,INDEX('Navy plan'!C$6:C$92,$A68-1845-Levers!$D$191),0)</f>
        <v>0</v>
      </c>
      <c r="D68" s="50" t="n">
        <f aca="false">D67+'Navy plan'!D68-IF($A68-Levers!$E$191&gt;=1846,INDEX('Navy plan'!D$6:D$92,$A68-1845-Levers!$E$191),0)</f>
        <v>0</v>
      </c>
      <c r="E68" s="50" t="n">
        <f aca="false">E67+'Navy plan'!E68-IF($A68-Levers!$F$191&gt;=1846,INDEX('Navy plan'!E$6:E$92,$A68-1845-Levers!$F$191),0)</f>
        <v>8</v>
      </c>
      <c r="F68" s="50" t="n">
        <f aca="false">F67+'Navy plan'!F68-IF($A68-Levers!$G$191&gt;=1846,INDEX('Navy plan'!F$6:F$92,$A68-1845-Levers!$G$191),0)</f>
        <v>49</v>
      </c>
      <c r="G68" s="50" t="n">
        <f aca="false">G67+'Navy plan'!G68-IF($A68-Levers!$H$191&gt;=1846,INDEX('Navy plan'!G$6:G$92,$A68-1845-Levers!$H$191),0)</f>
        <v>10</v>
      </c>
      <c r="H68" s="50" t="n">
        <f aca="false">H67+'Navy plan'!H68-IF($A68-Levers!$I$191&gt;=1846,INDEX('Navy plan'!H$6:H$92,$A68-1845-Levers!$I$191),0)</f>
        <v>4</v>
      </c>
      <c r="I68" s="50" t="n">
        <f aca="false">I67+'Navy plan'!I68-IF($A68-Levers!$J$191&gt;=1846,INDEX('Navy plan'!I$6:I$92,$A68-1845-Levers!$J$191),0)</f>
        <v>12</v>
      </c>
      <c r="J68" s="50" t="n">
        <f aca="false">J67+'Navy plan'!J68-IF($A68-Levers!$K$191&gt;=1846,INDEX('Navy plan'!J$6:J$92,$A68-1845-Levers!$K$191),0)</f>
        <v>0</v>
      </c>
      <c r="K68" s="50" t="n">
        <f aca="false">SUM(B68:J68)</f>
        <v>84</v>
      </c>
      <c r="L68" s="56" t="n">
        <f aca="false">0.5*SUMPRODUCT('Navy plan'!B68:J68,'Navy plan'!K68:S68)+0.5*SUMPRODUCT('Navy plan'!B69:J69,'Navy plan'!K69:S69)</f>
        <v>12.281</v>
      </c>
      <c r="M68" s="50" t="n">
        <f aca="false">SUMPRODUCT(B68:J68,Levers!$C$192:$K$192)</f>
        <v>15130</v>
      </c>
      <c r="N68" s="50" t="n">
        <f aca="false">SUMPRODUCT(B68:J68,Levers!$C$195:$K$195)</f>
        <v>19363.5897435897</v>
      </c>
      <c r="O68" s="50"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50" t="n">
        <f aca="false">AA68+'Navy plan'!T68</f>
        <v>4</v>
      </c>
      <c r="AC68" s="65" t="n">
        <f aca="false">'Navy plan'!U68</f>
        <v>5</v>
      </c>
      <c r="AD68" s="65" t="n">
        <f aca="false">'Navy plan'!V68</f>
        <v>0</v>
      </c>
      <c r="AE68" s="70" t="n">
        <f aca="false">IF(AC68&gt;0,AB68/AC68,0)</f>
        <v>0.8</v>
      </c>
    </row>
    <row r="69" customFormat="false" ht="14.25" hidden="false" customHeight="false" outlineLevel="0" collapsed="false">
      <c r="A69" s="61" t="n">
        <v>1909</v>
      </c>
      <c r="B69" s="50" t="n">
        <f aca="false">B68+'Navy plan'!B69-IF($A69-Levers!$C$191&gt;=1846,INDEX('Navy plan'!B$6:B$92,$A69-1845-Levers!$C$191),0)</f>
        <v>0</v>
      </c>
      <c r="C69" s="50" t="n">
        <f aca="false">C68+'Navy plan'!C69-IF($A69-Levers!$D$191&gt;=1846,INDEX('Navy plan'!C$6:C$92,$A69-1845-Levers!$D$191),0)</f>
        <v>0</v>
      </c>
      <c r="D69" s="50" t="n">
        <f aca="false">D68+'Navy plan'!D69-IF($A69-Levers!$E$191&gt;=1846,INDEX('Navy plan'!D$6:D$92,$A69-1845-Levers!$E$191),0)</f>
        <v>0</v>
      </c>
      <c r="E69" s="50" t="n">
        <f aca="false">E68+'Navy plan'!E69-IF($A69-Levers!$F$191&gt;=1846,INDEX('Navy plan'!E$6:E$92,$A69-1845-Levers!$F$191),0)</f>
        <v>8</v>
      </c>
      <c r="F69" s="50" t="n">
        <f aca="false">F68+'Navy plan'!F69-IF($A69-Levers!$G$191&gt;=1846,INDEX('Navy plan'!F$6:F$92,$A69-1845-Levers!$G$191),0)</f>
        <v>53</v>
      </c>
      <c r="G69" s="50" t="n">
        <f aca="false">G68+'Navy plan'!G69-IF($A69-Levers!$H$191&gt;=1846,INDEX('Navy plan'!G$6:G$92,$A69-1845-Levers!$H$191),0)</f>
        <v>12</v>
      </c>
      <c r="H69" s="50" t="n">
        <f aca="false">H68+'Navy plan'!H69-IF($A69-Levers!$I$191&gt;=1846,INDEX('Navy plan'!H$6:H$92,$A69-1845-Levers!$I$191),0)</f>
        <v>5</v>
      </c>
      <c r="I69" s="50" t="n">
        <f aca="false">I68+'Navy plan'!I69-IF($A69-Levers!$J$191&gt;=1846,INDEX('Navy plan'!I$6:I$92,$A69-1845-Levers!$J$191),0)</f>
        <v>12</v>
      </c>
      <c r="J69" s="50" t="n">
        <f aca="false">J68+'Navy plan'!J69-IF($A69-Levers!$K$191&gt;=1846,INDEX('Navy plan'!J$6:J$92,$A69-1845-Levers!$K$191),0)</f>
        <v>0</v>
      </c>
      <c r="K69" s="50" t="n">
        <f aca="false">SUM(B69:J69)</f>
        <v>90</v>
      </c>
      <c r="L69" s="56" t="n">
        <f aca="false">0.5*SUMPRODUCT('Navy plan'!B69:J69,'Navy plan'!K69:S69)+0.5*SUMPRODUCT('Navy plan'!B70:J70,'Navy plan'!K70:S70)</f>
        <v>18.195</v>
      </c>
      <c r="M69" s="50" t="n">
        <f aca="false">SUMPRODUCT(B69:J69,Levers!$C$192:$K$192)</f>
        <v>17170</v>
      </c>
      <c r="N69" s="50" t="n">
        <f aca="false">SUMPRODUCT(B69:J69,Levers!$C$195:$K$195)</f>
        <v>22012.8205128205</v>
      </c>
      <c r="O69" s="50"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50" t="n">
        <f aca="false">AA69+'Navy plan'!T69</f>
        <v>5</v>
      </c>
      <c r="AC69" s="65" t="n">
        <f aca="false">'Navy plan'!U69</f>
        <v>8</v>
      </c>
      <c r="AD69" s="65" t="n">
        <f aca="false">'Navy plan'!V69</f>
        <v>0</v>
      </c>
      <c r="AE69" s="70" t="n">
        <f aca="false">IF(AC69&gt;0,AB69/AC69,0)</f>
        <v>0.625</v>
      </c>
    </row>
    <row r="70" customFormat="false" ht="14.25" hidden="false" customHeight="false" outlineLevel="0" collapsed="false">
      <c r="A70" s="61" t="n">
        <v>1910</v>
      </c>
      <c r="B70" s="50" t="n">
        <f aca="false">B69+'Navy plan'!B70-IF($A70-Levers!$C$191&gt;=1846,INDEX('Navy plan'!B$6:B$92,$A70-1845-Levers!$C$191),0)</f>
        <v>0</v>
      </c>
      <c r="C70" s="50" t="n">
        <f aca="false">C69+'Navy plan'!C70-IF($A70-Levers!$D$191&gt;=1846,INDEX('Navy plan'!C$6:C$92,$A70-1845-Levers!$D$191),0)</f>
        <v>0</v>
      </c>
      <c r="D70" s="50" t="n">
        <f aca="false">D69+'Navy plan'!D70-IF($A70-Levers!$E$191&gt;=1846,INDEX('Navy plan'!D$6:D$92,$A70-1845-Levers!$E$191),0)</f>
        <v>0</v>
      </c>
      <c r="E70" s="50" t="n">
        <f aca="false">E69+'Navy plan'!E70-IF($A70-Levers!$F$191&gt;=1846,INDEX('Navy plan'!E$6:E$92,$A70-1845-Levers!$F$191),0)</f>
        <v>8</v>
      </c>
      <c r="F70" s="50" t="n">
        <f aca="false">F69+'Navy plan'!F70-IF($A70-Levers!$G$191&gt;=1846,INDEX('Navy plan'!F$6:F$92,$A70-1845-Levers!$G$191),0)</f>
        <v>57</v>
      </c>
      <c r="G70" s="50" t="n">
        <f aca="false">G69+'Navy plan'!G70-IF($A70-Levers!$H$191&gt;=1846,INDEX('Navy plan'!G$6:G$92,$A70-1845-Levers!$H$191),0)</f>
        <v>12</v>
      </c>
      <c r="H70" s="50" t="n">
        <f aca="false">H69+'Navy plan'!H70-IF($A70-Levers!$I$191&gt;=1846,INDEX('Navy plan'!H$6:H$92,$A70-1845-Levers!$I$191),0)</f>
        <v>6</v>
      </c>
      <c r="I70" s="50" t="n">
        <f aca="false">I69+'Navy plan'!I70-IF($A70-Levers!$J$191&gt;=1846,INDEX('Navy plan'!I$6:I$92,$A70-1845-Levers!$J$191),0)</f>
        <v>16</v>
      </c>
      <c r="J70" s="50" t="n">
        <f aca="false">J69+'Navy plan'!J70-IF($A70-Levers!$K$191&gt;=1846,INDEX('Navy plan'!J$6:J$92,$A70-1845-Levers!$K$191),0)</f>
        <v>0</v>
      </c>
      <c r="K70" s="50" t="n">
        <f aca="false">SUM(B70:J70)</f>
        <v>99</v>
      </c>
      <c r="L70" s="56" t="n">
        <f aca="false">0.5*SUMPRODUCT('Navy plan'!B70:J70,'Navy plan'!K70:S70)+0.5*SUMPRODUCT('Navy plan'!B71:J71,'Navy plan'!K71:S71)</f>
        <v>19.659</v>
      </c>
      <c r="M70" s="50" t="n">
        <f aca="false">SUMPRODUCT(B70:J70,Levers!$C$192:$K$192)</f>
        <v>18650</v>
      </c>
      <c r="N70" s="50" t="n">
        <f aca="false">SUMPRODUCT(B70:J70,Levers!$C$195:$K$195)</f>
        <v>23910.2564102564</v>
      </c>
      <c r="O70" s="50"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50" t="n">
        <f aca="false">AA70+'Navy plan'!T70</f>
        <v>8</v>
      </c>
      <c r="AC70" s="65" t="n">
        <f aca="false">'Navy plan'!U70</f>
        <v>10</v>
      </c>
      <c r="AD70" s="65" t="n">
        <f aca="false">'Navy plan'!V70</f>
        <v>4</v>
      </c>
      <c r="AE70" s="70" t="n">
        <f aca="false">IF(AC70&gt;0,AB70/AC70,0)</f>
        <v>0.8</v>
      </c>
    </row>
    <row r="71" customFormat="false" ht="14.25" hidden="false" customHeight="false" outlineLevel="0" collapsed="false">
      <c r="A71" s="61" t="n">
        <v>1911</v>
      </c>
      <c r="B71" s="50" t="n">
        <f aca="false">B70+'Navy plan'!B71-IF($A71-Levers!$C$191&gt;=1846,INDEX('Navy plan'!B$6:B$92,$A71-1845-Levers!$C$191),0)</f>
        <v>0</v>
      </c>
      <c r="C71" s="50" t="n">
        <f aca="false">C70+'Navy plan'!C71-IF($A71-Levers!$D$191&gt;=1846,INDEX('Navy plan'!C$6:C$92,$A71-1845-Levers!$D$191),0)</f>
        <v>0</v>
      </c>
      <c r="D71" s="50" t="n">
        <f aca="false">D70+'Navy plan'!D71-IF($A71-Levers!$E$191&gt;=1846,INDEX('Navy plan'!D$6:D$92,$A71-1845-Levers!$E$191),0)</f>
        <v>0</v>
      </c>
      <c r="E71" s="50" t="n">
        <f aca="false">E70+'Navy plan'!E71-IF($A71-Levers!$F$191&gt;=1846,INDEX('Navy plan'!E$6:E$92,$A71-1845-Levers!$F$191),0)</f>
        <v>8</v>
      </c>
      <c r="F71" s="50" t="n">
        <f aca="false">F70+'Navy plan'!F71-IF($A71-Levers!$G$191&gt;=1846,INDEX('Navy plan'!F$6:F$92,$A71-1845-Levers!$G$191),0)</f>
        <v>61</v>
      </c>
      <c r="G71" s="50" t="n">
        <f aca="false">G70+'Navy plan'!G71-IF($A71-Levers!$H$191&gt;=1846,INDEX('Navy plan'!G$6:G$92,$A71-1845-Levers!$H$191),0)</f>
        <v>14</v>
      </c>
      <c r="H71" s="50" t="n">
        <f aca="false">H70+'Navy plan'!H71-IF($A71-Levers!$I$191&gt;=1846,INDEX('Navy plan'!H$6:H$92,$A71-1845-Levers!$I$191),0)</f>
        <v>7</v>
      </c>
      <c r="I71" s="50" t="n">
        <f aca="false">I70+'Navy plan'!I71-IF($A71-Levers!$J$191&gt;=1846,INDEX('Navy plan'!I$6:I$92,$A71-1845-Levers!$J$191),0)</f>
        <v>16</v>
      </c>
      <c r="J71" s="50" t="n">
        <f aca="false">J70+'Navy plan'!J71-IF($A71-Levers!$K$191&gt;=1846,INDEX('Navy plan'!J$6:J$92,$A71-1845-Levers!$K$191),0)</f>
        <v>0</v>
      </c>
      <c r="K71" s="50" t="n">
        <f aca="false">SUM(B71:J71)</f>
        <v>106</v>
      </c>
      <c r="L71" s="56" t="n">
        <f aca="false">0.5*SUMPRODUCT('Navy plan'!B71:J71,'Navy plan'!K71:S71)+0.5*SUMPRODUCT('Navy plan'!B72:J72,'Navy plan'!K72:S72)</f>
        <v>21.383</v>
      </c>
      <c r="M71" s="50" t="n">
        <f aca="false">SUMPRODUCT(B71:J71,Levers!$C$192:$K$192)</f>
        <v>20810</v>
      </c>
      <c r="N71" s="50" t="n">
        <f aca="false">SUMPRODUCT(B71:J71,Levers!$C$195:$K$195)</f>
        <v>26679.4871794872</v>
      </c>
      <c r="O71" s="50"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50" t="n">
        <f aca="false">AA71+'Navy plan'!T71</f>
        <v>9</v>
      </c>
      <c r="AC71" s="65" t="n">
        <f aca="false">'Navy plan'!U71</f>
        <v>14</v>
      </c>
      <c r="AD71" s="65" t="n">
        <f aca="false">'Navy plan'!V71</f>
        <v>4</v>
      </c>
      <c r="AE71" s="70" t="n">
        <f aca="false">IF(AC71&gt;0,AB71/AC71,0)</f>
        <v>0.642857142857143</v>
      </c>
    </row>
    <row r="72" customFormat="false" ht="14.25" hidden="false" customHeight="false" outlineLevel="0" collapsed="false">
      <c r="A72" s="61" t="n">
        <v>1912</v>
      </c>
      <c r="B72" s="50" t="n">
        <f aca="false">B71+'Navy plan'!B72-IF($A72-Levers!$C$191&gt;=1846,INDEX('Navy plan'!B$6:B$92,$A72-1845-Levers!$C$191),0)</f>
        <v>0</v>
      </c>
      <c r="C72" s="50" t="n">
        <f aca="false">C71+'Navy plan'!C72-IF($A72-Levers!$D$191&gt;=1846,INDEX('Navy plan'!C$6:C$92,$A72-1845-Levers!$D$191),0)</f>
        <v>0</v>
      </c>
      <c r="D72" s="50" t="n">
        <f aca="false">D71+'Navy plan'!D72-IF($A72-Levers!$E$191&gt;=1846,INDEX('Navy plan'!D$6:D$92,$A72-1845-Levers!$E$191),0)</f>
        <v>0</v>
      </c>
      <c r="E72" s="50" t="n">
        <f aca="false">E71+'Navy plan'!E72-IF($A72-Levers!$F$191&gt;=1846,INDEX('Navy plan'!E$6:E$92,$A72-1845-Levers!$F$191),0)</f>
        <v>6</v>
      </c>
      <c r="F72" s="50" t="n">
        <f aca="false">F71+'Navy plan'!F72-IF($A72-Levers!$G$191&gt;=1846,INDEX('Navy plan'!F$6:F$92,$A72-1845-Levers!$G$191),0)</f>
        <v>63</v>
      </c>
      <c r="G72" s="50" t="n">
        <f aca="false">G71+'Navy plan'!G72-IF($A72-Levers!$H$191&gt;=1846,INDEX('Navy plan'!G$6:G$92,$A72-1845-Levers!$H$191),0)</f>
        <v>14</v>
      </c>
      <c r="H72" s="50" t="n">
        <f aca="false">H71+'Navy plan'!H72-IF($A72-Levers!$I$191&gt;=1846,INDEX('Navy plan'!H$6:H$92,$A72-1845-Levers!$I$191),0)</f>
        <v>8</v>
      </c>
      <c r="I72" s="50" t="n">
        <f aca="false">I71+'Navy plan'!I72-IF($A72-Levers!$J$191&gt;=1846,INDEX('Navy plan'!I$6:I$92,$A72-1845-Levers!$J$191),0)</f>
        <v>20</v>
      </c>
      <c r="J72" s="50" t="n">
        <f aca="false">J71+'Navy plan'!J72-IF($A72-Levers!$K$191&gt;=1846,INDEX('Navy plan'!J$6:J$92,$A72-1845-Levers!$K$191),0)</f>
        <v>0</v>
      </c>
      <c r="K72" s="50" t="n">
        <f aca="false">SUM(B72:J72)</f>
        <v>111</v>
      </c>
      <c r="L72" s="56" t="n">
        <f aca="false">0.5*SUMPRODUCT('Navy plan'!B72:J72,'Navy plan'!K72:S72)+0.5*SUMPRODUCT('Navy plan'!B73:J73,'Navy plan'!K73:S73)</f>
        <v>23.024</v>
      </c>
      <c r="M72" s="50" t="n">
        <f aca="false">SUMPRODUCT(B72:J72,Levers!$C$192:$K$192)</f>
        <v>21550</v>
      </c>
      <c r="N72" s="50" t="n">
        <f aca="false">SUMPRODUCT(B72:J72,Levers!$C$195:$K$195)</f>
        <v>27628.2051282051</v>
      </c>
      <c r="O72" s="50"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50" t="n">
        <f aca="false">AA72+'Navy plan'!T72</f>
        <v>11</v>
      </c>
      <c r="AC72" s="65" t="n">
        <f aca="false">'Navy plan'!U72</f>
        <v>18</v>
      </c>
      <c r="AD72" s="65" t="n">
        <f aca="false">'Navy plan'!V72</f>
        <v>6</v>
      </c>
      <c r="AE72" s="70" t="n">
        <f aca="false">IF(AC72&gt;0,AB72/AC72,0)</f>
        <v>0.611111111111111</v>
      </c>
    </row>
    <row r="73" customFormat="false" ht="14.25" hidden="false" customHeight="false" outlineLevel="0" collapsed="false">
      <c r="A73" s="61" t="n">
        <v>1913</v>
      </c>
      <c r="B73" s="50" t="n">
        <f aca="false">B72+'Navy plan'!B73-IF($A73-Levers!$C$191&gt;=1846,INDEX('Navy plan'!B$6:B$92,$A73-1845-Levers!$C$191),0)</f>
        <v>0</v>
      </c>
      <c r="C73" s="50" t="n">
        <f aca="false">C72+'Navy plan'!C73-IF($A73-Levers!$D$191&gt;=1846,INDEX('Navy plan'!C$6:C$92,$A73-1845-Levers!$D$191),0)</f>
        <v>0</v>
      </c>
      <c r="D73" s="50" t="n">
        <f aca="false">D72+'Navy plan'!D73-IF($A73-Levers!$E$191&gt;=1846,INDEX('Navy plan'!D$6:D$92,$A73-1845-Levers!$E$191),0)</f>
        <v>0</v>
      </c>
      <c r="E73" s="50" t="n">
        <f aca="false">E72+'Navy plan'!E73-IF($A73-Levers!$F$191&gt;=1846,INDEX('Navy plan'!E$6:E$92,$A73-1845-Levers!$F$191),0)</f>
        <v>6</v>
      </c>
      <c r="F73" s="50" t="n">
        <f aca="false">F72+'Navy plan'!F73-IF($A73-Levers!$G$191&gt;=1846,INDEX('Navy plan'!F$6:F$92,$A73-1845-Levers!$G$191),0)</f>
        <v>64</v>
      </c>
      <c r="G73" s="50" t="n">
        <f aca="false">G72+'Navy plan'!G73-IF($A73-Levers!$H$191&gt;=1846,INDEX('Navy plan'!G$6:G$92,$A73-1845-Levers!$H$191),0)</f>
        <v>16</v>
      </c>
      <c r="H73" s="50" t="n">
        <f aca="false">H72+'Navy plan'!H73-IF($A73-Levers!$I$191&gt;=1846,INDEX('Navy plan'!H$6:H$92,$A73-1845-Levers!$I$191),0)</f>
        <v>9</v>
      </c>
      <c r="I73" s="50" t="n">
        <f aca="false">I72+'Navy plan'!I73-IF($A73-Levers!$J$191&gt;=1846,INDEX('Navy plan'!I$6:I$92,$A73-1845-Levers!$J$191),0)</f>
        <v>20</v>
      </c>
      <c r="J73" s="50" t="n">
        <f aca="false">J72+'Navy plan'!J73-IF($A73-Levers!$K$191&gt;=1846,INDEX('Navy plan'!J$6:J$92,$A73-1845-Levers!$K$191),0)</f>
        <v>0</v>
      </c>
      <c r="K73" s="50" t="n">
        <f aca="false">SUM(B73:J73)</f>
        <v>115</v>
      </c>
      <c r="L73" s="56" t="n">
        <f aca="false">0.5*SUMPRODUCT('Navy plan'!B73:J73,'Navy plan'!K73:S73)+0.5*SUMPRODUCT('Navy plan'!B74:J74,'Navy plan'!K74:S74)</f>
        <v>27.135</v>
      </c>
      <c r="M73" s="50" t="n">
        <f aca="false">SUMPRODUCT(B73:J73,Levers!$C$192:$K$192)</f>
        <v>23440</v>
      </c>
      <c r="N73" s="50" t="n">
        <f aca="false">SUMPRODUCT(B73:J73,Levers!$C$195:$K$195)</f>
        <v>30051.2820512821</v>
      </c>
      <c r="O73" s="50"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50" t="n">
        <f aca="false">AA73+'Navy plan'!T73</f>
        <v>13</v>
      </c>
      <c r="AC73" s="65" t="n">
        <f aca="false">'Navy plan'!U73</f>
        <v>22</v>
      </c>
      <c r="AD73" s="65" t="n">
        <f aca="false">'Navy plan'!V73</f>
        <v>6</v>
      </c>
      <c r="AE73" s="70" t="n">
        <f aca="false">IF(AC73&gt;0,AB73/AC73,0)</f>
        <v>0.590909090909091</v>
      </c>
    </row>
    <row r="74" customFormat="false" ht="14.25" hidden="false" customHeight="false" outlineLevel="0" collapsed="false">
      <c r="A74" s="61" t="n">
        <v>1914</v>
      </c>
      <c r="B74" s="50" t="n">
        <f aca="false">B73+'Navy plan'!B74-IF($A74-Levers!$C$191&gt;=1846,INDEX('Navy plan'!B$6:B$92,$A74-1845-Levers!$C$191),0)</f>
        <v>0</v>
      </c>
      <c r="C74" s="50" t="n">
        <f aca="false">C73+'Navy plan'!C74-IF($A74-Levers!$D$191&gt;=1846,INDEX('Navy plan'!C$6:C$92,$A74-1845-Levers!$D$191),0)</f>
        <v>0</v>
      </c>
      <c r="D74" s="50" t="n">
        <f aca="false">D73+'Navy plan'!D74-IF($A74-Levers!$E$191&gt;=1846,INDEX('Navy plan'!D$6:D$92,$A74-1845-Levers!$E$191),0)</f>
        <v>0</v>
      </c>
      <c r="E74" s="50" t="n">
        <f aca="false">E73+'Navy plan'!E74-IF($A74-Levers!$F$191&gt;=1846,INDEX('Navy plan'!E$6:E$92,$A74-1845-Levers!$F$191),0)</f>
        <v>4</v>
      </c>
      <c r="F74" s="50" t="n">
        <f aca="false">F73+'Navy plan'!F74-IF($A74-Levers!$G$191&gt;=1846,INDEX('Navy plan'!F$6:F$92,$A74-1845-Levers!$G$191),0)</f>
        <v>67</v>
      </c>
      <c r="G74" s="50" t="n">
        <f aca="false">G73+'Navy plan'!G74-IF($A74-Levers!$H$191&gt;=1846,INDEX('Navy plan'!G$6:G$92,$A74-1845-Levers!$H$191),0)</f>
        <v>16</v>
      </c>
      <c r="H74" s="50" t="n">
        <f aca="false">H73+'Navy plan'!H74-IF($A74-Levers!$I$191&gt;=1846,INDEX('Navy plan'!H$6:H$92,$A74-1845-Levers!$I$191),0)</f>
        <v>10</v>
      </c>
      <c r="I74" s="50" t="n">
        <f aca="false">I73+'Navy plan'!I74-IF($A74-Levers!$J$191&gt;=1846,INDEX('Navy plan'!I$6:I$92,$A74-1845-Levers!$J$191),0)</f>
        <v>26</v>
      </c>
      <c r="J74" s="50" t="n">
        <f aca="false">J73+'Navy plan'!J74-IF($A74-Levers!$K$191&gt;=1846,INDEX('Navy plan'!J$6:J$92,$A74-1845-Levers!$K$191),0)</f>
        <v>0</v>
      </c>
      <c r="K74" s="50" t="n">
        <f aca="false">SUM(B74:J74)</f>
        <v>123</v>
      </c>
      <c r="L74" s="56" t="n">
        <f aca="false">0.5*SUMPRODUCT('Navy plan'!B74:J74,'Navy plan'!K74:S74)+0.5*SUMPRODUCT('Navy plan'!B75:J75,'Navy plan'!K75:S75)</f>
        <v>38.544</v>
      </c>
      <c r="M74" s="50" t="n">
        <f aca="false">SUMPRODUCT(B74:J74,Levers!$C$192:$K$192)</f>
        <v>24330</v>
      </c>
      <c r="N74" s="50" t="n">
        <f aca="false">SUMPRODUCT(B74:J74,Levers!$C$195:$K$195)</f>
        <v>31192.3076923077</v>
      </c>
      <c r="O74" s="50"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50" t="n">
        <f aca="false">AA74+'Navy plan'!T74</f>
        <v>14</v>
      </c>
      <c r="AC74" s="65" t="n">
        <f aca="false">'Navy plan'!U74</f>
        <v>29</v>
      </c>
      <c r="AD74" s="65" t="n">
        <f aca="false">'Navy plan'!V74</f>
        <v>8</v>
      </c>
      <c r="AE74" s="70" t="n">
        <f aca="false">IF(AC74&gt;0,AB74/AC74,0)</f>
        <v>0.482758620689655</v>
      </c>
    </row>
    <row r="75" customFormat="false" ht="14.25" hidden="false" customHeight="false" outlineLevel="0" collapsed="false">
      <c r="A75" s="61" t="n">
        <v>1915</v>
      </c>
      <c r="B75" s="50" t="n">
        <f aca="false">B74+'Navy plan'!B75-IF($A75-Levers!$C$191&gt;=1846,INDEX('Navy plan'!B$6:B$92,$A75-1845-Levers!$C$191),0)</f>
        <v>0</v>
      </c>
      <c r="C75" s="50" t="n">
        <f aca="false">C74+'Navy plan'!C75-IF($A75-Levers!$D$191&gt;=1846,INDEX('Navy plan'!C$6:C$92,$A75-1845-Levers!$D$191),0)</f>
        <v>0</v>
      </c>
      <c r="D75" s="50" t="n">
        <f aca="false">D74+'Navy plan'!D75-IF($A75-Levers!$E$191&gt;=1846,INDEX('Navy plan'!D$6:D$92,$A75-1845-Levers!$E$191),0)</f>
        <v>0</v>
      </c>
      <c r="E75" s="50" t="n">
        <f aca="false">E74+'Navy plan'!E75-IF($A75-Levers!$F$191&gt;=1846,INDEX('Navy plan'!E$6:E$92,$A75-1845-Levers!$F$191),0)</f>
        <v>4</v>
      </c>
      <c r="F75" s="50" t="n">
        <f aca="false">F74+'Navy plan'!F75-IF($A75-Levers!$G$191&gt;=1846,INDEX('Navy plan'!F$6:F$92,$A75-1845-Levers!$G$191),0)</f>
        <v>74</v>
      </c>
      <c r="G75" s="50" t="n">
        <f aca="false">G74+'Navy plan'!G75-IF($A75-Levers!$H$191&gt;=1846,INDEX('Navy plan'!G$6:G$92,$A75-1845-Levers!$H$191),0)</f>
        <v>18</v>
      </c>
      <c r="H75" s="50" t="n">
        <f aca="false">H74+'Navy plan'!H75-IF($A75-Levers!$I$191&gt;=1846,INDEX('Navy plan'!H$6:H$92,$A75-1845-Levers!$I$191),0)</f>
        <v>11</v>
      </c>
      <c r="I75" s="50" t="n">
        <f aca="false">I74+'Navy plan'!I75-IF($A75-Levers!$J$191&gt;=1846,INDEX('Navy plan'!I$6:I$92,$A75-1845-Levers!$J$191),0)</f>
        <v>32</v>
      </c>
      <c r="J75" s="50" t="n">
        <f aca="false">J74+'Navy plan'!J75-IF($A75-Levers!$K$191&gt;=1846,INDEX('Navy plan'!J$6:J$92,$A75-1845-Levers!$K$191),0)</f>
        <v>0</v>
      </c>
      <c r="K75" s="50" t="n">
        <f aca="false">SUM(B75:J75)</f>
        <v>139</v>
      </c>
      <c r="L75" s="56" t="n">
        <f aca="false">0.5*SUMPRODUCT('Navy plan'!B75:J75,'Navy plan'!K75:S75)+0.5*SUMPRODUCT('Navy plan'!B76:J76,'Navy plan'!K76:S76)</f>
        <v>56.868</v>
      </c>
      <c r="M75" s="50" t="n">
        <f aca="false">SUMPRODUCT(B75:J75,Levers!$C$192:$K$192)</f>
        <v>26940</v>
      </c>
      <c r="N75" s="50" t="n">
        <f aca="false">SUMPRODUCT(B75:J75,Levers!$C$195:$K$195)</f>
        <v>34538.4615384615</v>
      </c>
      <c r="O75" s="50"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50" t="n">
        <f aca="false">AA75+'Navy plan'!T75</f>
        <v>17</v>
      </c>
      <c r="AC75" s="65" t="n">
        <f aca="false">'Navy plan'!U75</f>
        <v>33</v>
      </c>
      <c r="AD75" s="65" t="n">
        <f aca="false">'Navy plan'!V75</f>
        <v>8</v>
      </c>
      <c r="AE75" s="70" t="n">
        <f aca="false">IF(AC75&gt;0,AB75/AC75,0)</f>
        <v>0.515151515151515</v>
      </c>
    </row>
    <row r="76" customFormat="false" ht="14.25" hidden="false" customHeight="false" outlineLevel="0" collapsed="false">
      <c r="A76" s="61" t="n">
        <v>1916</v>
      </c>
      <c r="B76" s="50" t="n">
        <f aca="false">B75+'Navy plan'!B76-IF($A76-Levers!$C$191&gt;=1846,INDEX('Navy plan'!B$6:B$92,$A76-1845-Levers!$C$191),0)</f>
        <v>0</v>
      </c>
      <c r="C76" s="50" t="n">
        <f aca="false">C75+'Navy plan'!C76-IF($A76-Levers!$D$191&gt;=1846,INDEX('Navy plan'!C$6:C$92,$A76-1845-Levers!$D$191),0)</f>
        <v>0</v>
      </c>
      <c r="D76" s="50" t="n">
        <f aca="false">D75+'Navy plan'!D76-IF($A76-Levers!$E$191&gt;=1846,INDEX('Navy plan'!D$6:D$92,$A76-1845-Levers!$E$191),0)</f>
        <v>0</v>
      </c>
      <c r="E76" s="50" t="n">
        <f aca="false">E75+'Navy plan'!E76-IF($A76-Levers!$F$191&gt;=1846,INDEX('Navy plan'!E$6:E$92,$A76-1845-Levers!$F$191),0)</f>
        <v>2</v>
      </c>
      <c r="F76" s="50" t="n">
        <f aca="false">F75+'Navy plan'!F76-IF($A76-Levers!$G$191&gt;=1846,INDEX('Navy plan'!F$6:F$92,$A76-1845-Levers!$G$191),0)</f>
        <v>80</v>
      </c>
      <c r="G76" s="50" t="n">
        <f aca="false">G75+'Navy plan'!G76-IF($A76-Levers!$H$191&gt;=1846,INDEX('Navy plan'!G$6:G$92,$A76-1845-Levers!$H$191),0)</f>
        <v>21</v>
      </c>
      <c r="H76" s="50" t="n">
        <f aca="false">H75+'Navy plan'!H76-IF($A76-Levers!$I$191&gt;=1846,INDEX('Navy plan'!H$6:H$92,$A76-1845-Levers!$I$191),0)</f>
        <v>12</v>
      </c>
      <c r="I76" s="50" t="n">
        <f aca="false">I75+'Navy plan'!I76-IF($A76-Levers!$J$191&gt;=1846,INDEX('Navy plan'!I$6:I$92,$A76-1845-Levers!$J$191),0)</f>
        <v>40</v>
      </c>
      <c r="J76" s="50" t="n">
        <f aca="false">J75+'Navy plan'!J76-IF($A76-Levers!$K$191&gt;=1846,INDEX('Navy plan'!J$6:J$92,$A76-1845-Levers!$K$191),0)</f>
        <v>0</v>
      </c>
      <c r="K76" s="50" t="n">
        <f aca="false">SUM(B76:J76)</f>
        <v>155</v>
      </c>
      <c r="L76" s="56" t="n">
        <f aca="false">0.5*SUMPRODUCT('Navy plan'!B76:J76,'Navy plan'!K76:S76)+0.5*SUMPRODUCT('Navy plan'!B77:J77,'Navy plan'!K77:S77)</f>
        <v>66.859</v>
      </c>
      <c r="M76" s="50" t="n">
        <f aca="false">SUMPRODUCT(B76:J76,Levers!$C$192:$K$192)</f>
        <v>29360</v>
      </c>
      <c r="N76" s="50" t="n">
        <f aca="false">SUMPRODUCT(B76:J76,Levers!$C$195:$K$195)</f>
        <v>37641.0256410256</v>
      </c>
      <c r="O76" s="50"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50" t="n">
        <f aca="false">AA76+'Navy plan'!T76</f>
        <v>18</v>
      </c>
      <c r="AC76" s="65" t="n">
        <f aca="false">'Navy plan'!U76</f>
        <v>37</v>
      </c>
      <c r="AD76" s="65" t="n">
        <f aca="false">'Navy plan'!V76</f>
        <v>10</v>
      </c>
      <c r="AE76" s="70" t="n">
        <f aca="false">IF(AC76&gt;0,AB76/AC76,0)</f>
        <v>0.486486486486487</v>
      </c>
    </row>
    <row r="77" customFormat="false" ht="14.25" hidden="false" customHeight="false" outlineLevel="0" collapsed="false">
      <c r="A77" s="61" t="n">
        <v>1917</v>
      </c>
      <c r="B77" s="50" t="n">
        <f aca="false">B76+'Navy plan'!B77-IF($A77-Levers!$C$191&gt;=1846,INDEX('Navy plan'!B$6:B$92,$A77-1845-Levers!$C$191),0)</f>
        <v>0</v>
      </c>
      <c r="C77" s="50" t="n">
        <f aca="false">C76+'Navy plan'!C77-IF($A77-Levers!$D$191&gt;=1846,INDEX('Navy plan'!C$6:C$92,$A77-1845-Levers!$D$191),0)</f>
        <v>0</v>
      </c>
      <c r="D77" s="50" t="n">
        <f aca="false">D76+'Navy plan'!D77-IF($A77-Levers!$E$191&gt;=1846,INDEX('Navy plan'!D$6:D$92,$A77-1845-Levers!$E$191),0)</f>
        <v>0</v>
      </c>
      <c r="E77" s="50" t="n">
        <f aca="false">E76+'Navy plan'!E77-IF($A77-Levers!$F$191&gt;=1846,INDEX('Navy plan'!E$6:E$92,$A77-1845-Levers!$F$191),0)</f>
        <v>2</v>
      </c>
      <c r="F77" s="50" t="n">
        <f aca="false">F76+'Navy plan'!F77-IF($A77-Levers!$G$191&gt;=1846,INDEX('Navy plan'!F$6:F$92,$A77-1845-Levers!$G$191),0)</f>
        <v>86</v>
      </c>
      <c r="G77" s="50" t="n">
        <f aca="false">G76+'Navy plan'!G77-IF($A77-Levers!$H$191&gt;=1846,INDEX('Navy plan'!G$6:G$92,$A77-1845-Levers!$H$191),0)</f>
        <v>24</v>
      </c>
      <c r="H77" s="50" t="n">
        <f aca="false">H76+'Navy plan'!H77-IF($A77-Levers!$I$191&gt;=1846,INDEX('Navy plan'!H$6:H$92,$A77-1845-Levers!$I$191),0)</f>
        <v>13</v>
      </c>
      <c r="I77" s="50" t="n">
        <f aca="false">I76+'Navy plan'!I77-IF($A77-Levers!$J$191&gt;=1846,INDEX('Navy plan'!I$6:I$92,$A77-1845-Levers!$J$191),0)</f>
        <v>46</v>
      </c>
      <c r="J77" s="50" t="n">
        <f aca="false">J76+'Navy plan'!J77-IF($A77-Levers!$K$191&gt;=1846,INDEX('Navy plan'!J$6:J$92,$A77-1845-Levers!$K$191),0)</f>
        <v>0</v>
      </c>
      <c r="K77" s="50" t="n">
        <f aca="false">SUM(B77:J77)</f>
        <v>171</v>
      </c>
      <c r="L77" s="56" t="n">
        <f aca="false">0.5*SUMPRODUCT('Navy plan'!B77:J77,'Navy plan'!K77:S77)+0.5*SUMPRODUCT('Navy plan'!B78:J78,'Navy plan'!K78:S78)</f>
        <v>66.4125</v>
      </c>
      <c r="M77" s="50" t="n">
        <f aca="false">SUMPRODUCT(B77:J77,Levers!$C$192:$K$192)</f>
        <v>32280</v>
      </c>
      <c r="N77" s="50" t="n">
        <f aca="false">SUMPRODUCT(B77:J77,Levers!$C$195:$K$195)</f>
        <v>41384.6153846154</v>
      </c>
      <c r="O77" s="50"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50" t="n">
        <f aca="false">AA77+'Navy plan'!T77</f>
        <v>21</v>
      </c>
      <c r="AC77" s="65" t="n">
        <f aca="false">'Navy plan'!U77</f>
        <v>40</v>
      </c>
      <c r="AD77" s="65" t="n">
        <f aca="false">'Navy plan'!V77</f>
        <v>10</v>
      </c>
      <c r="AE77" s="70" t="n">
        <f aca="false">IF(AC77&gt;0,AB77/AC77,0)</f>
        <v>0.525</v>
      </c>
    </row>
    <row r="78" customFormat="false" ht="14.25" hidden="false" customHeight="false" outlineLevel="0" collapsed="false">
      <c r="A78" s="61" t="n">
        <v>1918</v>
      </c>
      <c r="B78" s="50" t="n">
        <f aca="false">B77+'Navy plan'!B78-IF($A78-Levers!$C$191&gt;=1846,INDEX('Navy plan'!B$6:B$92,$A78-1845-Levers!$C$191),0)</f>
        <v>0</v>
      </c>
      <c r="C78" s="50" t="n">
        <f aca="false">C77+'Navy plan'!C78-IF($A78-Levers!$D$191&gt;=1846,INDEX('Navy plan'!C$6:C$92,$A78-1845-Levers!$D$191),0)</f>
        <v>0</v>
      </c>
      <c r="D78" s="50" t="n">
        <f aca="false">D77+'Navy plan'!D78-IF($A78-Levers!$E$191&gt;=1846,INDEX('Navy plan'!D$6:D$92,$A78-1845-Levers!$E$191),0)</f>
        <v>0</v>
      </c>
      <c r="E78" s="50" t="n">
        <f aca="false">E77+'Navy plan'!E78-IF($A78-Levers!$F$191&gt;=1846,INDEX('Navy plan'!E$6:E$92,$A78-1845-Levers!$F$191),0)</f>
        <v>0</v>
      </c>
      <c r="F78" s="50" t="n">
        <f aca="false">F77+'Navy plan'!F78-IF($A78-Levers!$G$191&gt;=1846,INDEX('Navy plan'!F$6:F$92,$A78-1845-Levers!$G$191),0)</f>
        <v>91</v>
      </c>
      <c r="G78" s="50" t="n">
        <f aca="false">G77+'Navy plan'!G78-IF($A78-Levers!$H$191&gt;=1846,INDEX('Navy plan'!G$6:G$92,$A78-1845-Levers!$H$191),0)</f>
        <v>26</v>
      </c>
      <c r="H78" s="50" t="n">
        <f aca="false">H77+'Navy plan'!H78-IF($A78-Levers!$I$191&gt;=1846,INDEX('Navy plan'!H$6:H$92,$A78-1845-Levers!$I$191),0)</f>
        <v>14</v>
      </c>
      <c r="I78" s="50" t="n">
        <f aca="false">I77+'Navy plan'!I78-IF($A78-Levers!$J$191&gt;=1846,INDEX('Navy plan'!I$6:I$92,$A78-1845-Levers!$J$191),0)</f>
        <v>52</v>
      </c>
      <c r="J78" s="50" t="n">
        <f aca="false">J77+'Navy plan'!J78-IF($A78-Levers!$K$191&gt;=1846,INDEX('Navy plan'!J$6:J$92,$A78-1845-Levers!$K$191),0)</f>
        <v>0</v>
      </c>
      <c r="K78" s="50" t="n">
        <f aca="false">SUM(B78:J78)</f>
        <v>183</v>
      </c>
      <c r="L78" s="56" t="n">
        <f aca="false">0.5*SUMPRODUCT('Navy plan'!B78:J78,'Navy plan'!K78:S78)+0.5*SUMPRODUCT('Navy plan'!B79:J79,'Navy plan'!K79:S79)</f>
        <v>33.1795</v>
      </c>
      <c r="M78" s="50" t="n">
        <f aca="false">SUMPRODUCT(B78:J78,Levers!$C$192:$K$192)</f>
        <v>34150</v>
      </c>
      <c r="N78" s="50" t="n">
        <f aca="false">SUMPRODUCT(B78:J78,Levers!$C$195:$K$195)</f>
        <v>43782.0512820513</v>
      </c>
      <c r="O78" s="50"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50" t="n">
        <f aca="false">AA78+'Navy plan'!T78</f>
        <v>22</v>
      </c>
      <c r="AC78" s="65" t="n">
        <f aca="false">'Navy plan'!U78</f>
        <v>42</v>
      </c>
      <c r="AD78" s="65" t="n">
        <f aca="false">'Navy plan'!V78</f>
        <v>12</v>
      </c>
      <c r="AE78" s="70" t="n">
        <f aca="false">IF(AC78&gt;0,AB78/AC78,0)</f>
        <v>0.523809523809524</v>
      </c>
    </row>
    <row r="79" customFormat="false" ht="14.25" hidden="false" customHeight="false" outlineLevel="0" collapsed="false">
      <c r="A79" s="61" t="n">
        <v>1919</v>
      </c>
      <c r="B79" s="50" t="n">
        <f aca="false">B78+'Navy plan'!B79-IF($A79-Levers!$C$191&gt;=1846,INDEX('Navy plan'!B$6:B$92,$A79-1845-Levers!$C$191),0)</f>
        <v>0</v>
      </c>
      <c r="C79" s="50" t="n">
        <f aca="false">C78+'Navy plan'!C79-IF($A79-Levers!$D$191&gt;=1846,INDEX('Navy plan'!C$6:C$92,$A79-1845-Levers!$D$191),0)</f>
        <v>0</v>
      </c>
      <c r="D79" s="50" t="n">
        <f aca="false">D78+'Navy plan'!D79-IF($A79-Levers!$E$191&gt;=1846,INDEX('Navy plan'!D$6:D$92,$A79-1845-Levers!$E$191),0)</f>
        <v>0</v>
      </c>
      <c r="E79" s="50" t="n">
        <f aca="false">E78+'Navy plan'!E79-IF($A79-Levers!$F$191&gt;=1846,INDEX('Navy plan'!E$6:E$92,$A79-1845-Levers!$F$191),0)</f>
        <v>0</v>
      </c>
      <c r="F79" s="50" t="n">
        <f aca="false">F78+'Navy plan'!F79-IF($A79-Levers!$G$191&gt;=1846,INDEX('Navy plan'!F$6:F$92,$A79-1845-Levers!$G$191),0)</f>
        <v>90</v>
      </c>
      <c r="G79" s="50" t="n">
        <f aca="false">G78+'Navy plan'!G79-IF($A79-Levers!$H$191&gt;=1846,INDEX('Navy plan'!G$6:G$92,$A79-1845-Levers!$H$191),0)</f>
        <v>26</v>
      </c>
      <c r="H79" s="50" t="n">
        <f aca="false">H78+'Navy plan'!H79-IF($A79-Levers!$I$191&gt;=1846,INDEX('Navy plan'!H$6:H$92,$A79-1845-Levers!$I$191),0)</f>
        <v>14</v>
      </c>
      <c r="I79" s="50" t="n">
        <f aca="false">I78+'Navy plan'!I79-IF($A79-Levers!$J$191&gt;=1846,INDEX('Navy plan'!I$6:I$92,$A79-1845-Levers!$J$191),0)</f>
        <v>50</v>
      </c>
      <c r="J79" s="50" t="n">
        <f aca="false">J78+'Navy plan'!J79-IF($A79-Levers!$K$191&gt;=1846,INDEX('Navy plan'!J$6:J$92,$A79-1845-Levers!$K$191),0)</f>
        <v>0</v>
      </c>
      <c r="K79" s="50" t="n">
        <f aca="false">SUM(B79:J79)</f>
        <v>180</v>
      </c>
      <c r="L79" s="56" t="n">
        <f aca="false">0.5*SUMPRODUCT('Navy plan'!B79:J79,'Navy plan'!K79:S79)+0.5*SUMPRODUCT('Navy plan'!B80:J80,'Navy plan'!K80:S80)</f>
        <v>6.179</v>
      </c>
      <c r="M79" s="50" t="n">
        <f aca="false">SUMPRODUCT(B79:J79,Levers!$C$192:$K$192)</f>
        <v>34000</v>
      </c>
      <c r="N79" s="50" t="n">
        <f aca="false">SUMPRODUCT(B79:J79,Levers!$C$195:$K$195)</f>
        <v>43589.7435897436</v>
      </c>
      <c r="O79" s="50"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50" t="n">
        <f aca="false">AA79+'Navy plan'!T79</f>
        <v>24</v>
      </c>
      <c r="AC79" s="65" t="n">
        <f aca="false">'Navy plan'!U79</f>
        <v>42</v>
      </c>
      <c r="AD79" s="65" t="n">
        <f aca="false">'Navy plan'!V79</f>
        <v>12</v>
      </c>
      <c r="AE79" s="70" t="n">
        <f aca="false">IF(AC79&gt;0,AB79/AC79,0)</f>
        <v>0.571428571428571</v>
      </c>
    </row>
    <row r="80" customFormat="false" ht="14.25" hidden="false" customHeight="false" outlineLevel="0" collapsed="false">
      <c r="A80" s="61" t="n">
        <v>1920</v>
      </c>
      <c r="B80" s="50" t="n">
        <f aca="false">B79+'Navy plan'!B80-IF($A80-Levers!$C$191&gt;=1846,INDEX('Navy plan'!B$6:B$92,$A80-1845-Levers!$C$191),0)</f>
        <v>0</v>
      </c>
      <c r="C80" s="50" t="n">
        <f aca="false">C79+'Navy plan'!C80-IF($A80-Levers!$D$191&gt;=1846,INDEX('Navy plan'!C$6:C$92,$A80-1845-Levers!$D$191),0)</f>
        <v>0</v>
      </c>
      <c r="D80" s="50" t="n">
        <f aca="false">D79+'Navy plan'!D80-IF($A80-Levers!$E$191&gt;=1846,INDEX('Navy plan'!D$6:D$92,$A80-1845-Levers!$E$191),0)</f>
        <v>0</v>
      </c>
      <c r="E80" s="50" t="n">
        <f aca="false">E79+'Navy plan'!E80-IF($A80-Levers!$F$191&gt;=1846,INDEX('Navy plan'!E$6:E$92,$A80-1845-Levers!$F$191),0)</f>
        <v>0</v>
      </c>
      <c r="F80" s="50" t="n">
        <f aca="false">F79+'Navy plan'!F80-IF($A80-Levers!$G$191&gt;=1846,INDEX('Navy plan'!F$6:F$92,$A80-1845-Levers!$G$191),0)</f>
        <v>90</v>
      </c>
      <c r="G80" s="50" t="n">
        <f aca="false">G79+'Navy plan'!G80-IF($A80-Levers!$H$191&gt;=1846,INDEX('Navy plan'!G$6:G$92,$A80-1845-Levers!$H$191),0)</f>
        <v>24</v>
      </c>
      <c r="H80" s="50" t="n">
        <f aca="false">H79+'Navy plan'!H80-IF($A80-Levers!$I$191&gt;=1846,INDEX('Navy plan'!H$6:H$92,$A80-1845-Levers!$I$191),0)</f>
        <v>14</v>
      </c>
      <c r="I80" s="50" t="n">
        <f aca="false">I79+'Navy plan'!I80-IF($A80-Levers!$J$191&gt;=1846,INDEX('Navy plan'!I$6:I$92,$A80-1845-Levers!$J$191),0)</f>
        <v>52</v>
      </c>
      <c r="J80" s="50" t="n">
        <f aca="false">J79+'Navy plan'!J80-IF($A80-Levers!$K$191&gt;=1846,INDEX('Navy plan'!J$6:J$92,$A80-1845-Levers!$K$191),0)</f>
        <v>0</v>
      </c>
      <c r="K80" s="50" t="n">
        <f aca="false">SUM(B80:J80)</f>
        <v>180</v>
      </c>
      <c r="L80" s="56" t="n">
        <f aca="false">0.5*SUMPRODUCT('Navy plan'!B80:J80,'Navy plan'!K80:S80)+0.5*SUMPRODUCT('Navy plan'!B81:J81,'Navy plan'!K81:S81)</f>
        <v>11.9665</v>
      </c>
      <c r="M80" s="50" t="n">
        <f aca="false">SUMPRODUCT(B80:J80,Levers!$C$192:$K$192)</f>
        <v>33260</v>
      </c>
      <c r="N80" s="50" t="n">
        <f aca="false">SUMPRODUCT(B80:J80,Levers!$C$195:$K$195)</f>
        <v>42641.0256410256</v>
      </c>
      <c r="O80" s="50"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50" t="n">
        <f aca="false">AA80+'Navy plan'!T80</f>
        <v>24</v>
      </c>
      <c r="AC80" s="65" t="n">
        <f aca="false">'Navy plan'!U80</f>
        <v>36</v>
      </c>
      <c r="AD80" s="65" t="n">
        <f aca="false">'Navy plan'!V80</f>
        <v>15</v>
      </c>
      <c r="AE80" s="70" t="n">
        <f aca="false">IF(AC80&gt;0,AB80/AC80,0)</f>
        <v>0.666666666666667</v>
      </c>
    </row>
    <row r="81" customFormat="false" ht="14.25" hidden="false" customHeight="false" outlineLevel="0" collapsed="false">
      <c r="A81" s="61" t="n">
        <v>1921</v>
      </c>
      <c r="B81" s="50" t="n">
        <f aca="false">B80+'Navy plan'!B81-IF($A81-Levers!$C$191&gt;=1846,INDEX('Navy plan'!B$6:B$92,$A81-1845-Levers!$C$191),0)</f>
        <v>0</v>
      </c>
      <c r="C81" s="50" t="n">
        <f aca="false">C80+'Navy plan'!C81-IF($A81-Levers!$D$191&gt;=1846,INDEX('Navy plan'!C$6:C$92,$A81-1845-Levers!$D$191),0)</f>
        <v>0</v>
      </c>
      <c r="D81" s="50" t="n">
        <f aca="false">D80+'Navy plan'!D81-IF($A81-Levers!$E$191&gt;=1846,INDEX('Navy plan'!D$6:D$92,$A81-1845-Levers!$E$191),0)</f>
        <v>0</v>
      </c>
      <c r="E81" s="50" t="n">
        <f aca="false">E80+'Navy plan'!E81-IF($A81-Levers!$F$191&gt;=1846,INDEX('Navy plan'!E$6:E$92,$A81-1845-Levers!$F$191),0)</f>
        <v>0</v>
      </c>
      <c r="F81" s="50" t="n">
        <f aca="false">F80+'Navy plan'!F81-IF($A81-Levers!$G$191&gt;=1846,INDEX('Navy plan'!F$6:F$92,$A81-1845-Levers!$G$191),0)</f>
        <v>90</v>
      </c>
      <c r="G81" s="50" t="n">
        <f aca="false">G80+'Navy plan'!G81-IF($A81-Levers!$H$191&gt;=1846,INDEX('Navy plan'!G$6:G$92,$A81-1845-Levers!$H$191),0)</f>
        <v>23</v>
      </c>
      <c r="H81" s="50" t="n">
        <f aca="false">H80+'Navy plan'!H81-IF($A81-Levers!$I$191&gt;=1846,INDEX('Navy plan'!H$6:H$92,$A81-1845-Levers!$I$191),0)</f>
        <v>14</v>
      </c>
      <c r="I81" s="50" t="n">
        <f aca="false">I80+'Navy plan'!I81-IF($A81-Levers!$J$191&gt;=1846,INDEX('Navy plan'!I$6:I$92,$A81-1845-Levers!$J$191),0)</f>
        <v>49</v>
      </c>
      <c r="J81" s="50" t="n">
        <f aca="false">J80+'Navy plan'!J81-IF($A81-Levers!$K$191&gt;=1846,INDEX('Navy plan'!J$6:J$92,$A81-1845-Levers!$K$191),0)</f>
        <v>0</v>
      </c>
      <c r="K81" s="50" t="n">
        <f aca="false">SUM(B81:J81)</f>
        <v>176</v>
      </c>
      <c r="L81" s="56" t="n">
        <f aca="false">0.5*SUMPRODUCT('Navy plan'!B81:J81,'Navy plan'!K81:S81)+0.5*SUMPRODUCT('Navy plan'!B82:J82,'Navy plan'!K82:S82)</f>
        <v>20.99</v>
      </c>
      <c r="M81" s="50" t="n">
        <f aca="false">SUMPRODUCT(B81:J81,Levers!$C$192:$K$192)</f>
        <v>32770</v>
      </c>
      <c r="N81" s="50" t="n">
        <f aca="false">SUMPRODUCT(B81:J81,Levers!$C$195:$K$195)</f>
        <v>42012.8205128205</v>
      </c>
      <c r="O81" s="50"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50" t="n">
        <f aca="false">AA81+'Navy plan'!T81</f>
        <v>24</v>
      </c>
      <c r="AC81" s="65" t="n">
        <f aca="false">'Navy plan'!U81</f>
        <v>30</v>
      </c>
      <c r="AD81" s="65" t="n">
        <f aca="false">'Navy plan'!V81</f>
        <v>15</v>
      </c>
      <c r="AE81" s="70" t="n">
        <f aca="false">IF(AC81&gt;0,AB81/AC81,0)</f>
        <v>0.8</v>
      </c>
    </row>
    <row r="82" customFormat="false" ht="14.25" hidden="false" customHeight="false" outlineLevel="0" collapsed="false">
      <c r="A82" s="61" t="n">
        <v>1922</v>
      </c>
      <c r="B82" s="50" t="n">
        <f aca="false">B81+'Navy plan'!B82-IF($A82-Levers!$C$191&gt;=1846,INDEX('Navy plan'!B$6:B$92,$A82-1845-Levers!$C$191),0)</f>
        <v>0</v>
      </c>
      <c r="C82" s="50" t="n">
        <f aca="false">C81+'Navy plan'!C82-IF($A82-Levers!$D$191&gt;=1846,INDEX('Navy plan'!C$6:C$92,$A82-1845-Levers!$D$191),0)</f>
        <v>0</v>
      </c>
      <c r="D82" s="50" t="n">
        <f aca="false">D81+'Navy plan'!D82-IF($A82-Levers!$E$191&gt;=1846,INDEX('Navy plan'!D$6:D$92,$A82-1845-Levers!$E$191),0)</f>
        <v>0</v>
      </c>
      <c r="E82" s="50" t="n">
        <f aca="false">E81+'Navy plan'!E82-IF($A82-Levers!$F$191&gt;=1846,INDEX('Navy plan'!E$6:E$92,$A82-1845-Levers!$F$191),0)</f>
        <v>0</v>
      </c>
      <c r="F82" s="50" t="n">
        <f aca="false">F81+'Navy plan'!F82-IF($A82-Levers!$G$191&gt;=1846,INDEX('Navy plan'!F$6:F$92,$A82-1845-Levers!$G$191),0)</f>
        <v>90</v>
      </c>
      <c r="G82" s="50" t="n">
        <f aca="false">G81+'Navy plan'!G82-IF($A82-Levers!$H$191&gt;=1846,INDEX('Navy plan'!G$6:G$92,$A82-1845-Levers!$H$191),0)</f>
        <v>23</v>
      </c>
      <c r="H82" s="50" t="n">
        <f aca="false">H81+'Navy plan'!H82-IF($A82-Levers!$I$191&gt;=1846,INDEX('Navy plan'!H$6:H$92,$A82-1845-Levers!$I$191),0)</f>
        <v>14</v>
      </c>
      <c r="I82" s="50" t="n">
        <f aca="false">I81+'Navy plan'!I82-IF($A82-Levers!$J$191&gt;=1846,INDEX('Navy plan'!I$6:I$92,$A82-1845-Levers!$J$191),0)</f>
        <v>52</v>
      </c>
      <c r="J82" s="50" t="n">
        <f aca="false">J81+'Navy plan'!J82-IF($A82-Levers!$K$191&gt;=1846,INDEX('Navy plan'!J$6:J$92,$A82-1845-Levers!$K$191),0)</f>
        <v>1</v>
      </c>
      <c r="K82" s="50" t="n">
        <f aca="false">SUM(B82:J82)</f>
        <v>180</v>
      </c>
      <c r="L82" s="56" t="n">
        <f aca="false">0.5*SUMPRODUCT('Navy plan'!B82:J82,'Navy plan'!K82:S82)+0.5*SUMPRODUCT('Navy plan'!B83:J83,'Navy plan'!K83:S83)</f>
        <v>23.15</v>
      </c>
      <c r="M82" s="50" t="n">
        <f aca="false">SUMPRODUCT(B82:J82,Levers!$C$192:$K$192)</f>
        <v>34360</v>
      </c>
      <c r="N82" s="50" t="n">
        <f aca="false">SUMPRODUCT(B82:J82,Levers!$C$195:$K$195)</f>
        <v>44051.2820512821</v>
      </c>
      <c r="O82" s="50"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50" t="n">
        <f aca="false">AA82+'Navy plan'!T82</f>
        <v>24</v>
      </c>
      <c r="AC82" s="65" t="n">
        <f aca="false">'Navy plan'!U82</f>
        <v>24</v>
      </c>
      <c r="AD82" s="65" t="n">
        <f aca="false">'Navy plan'!V82</f>
        <v>16</v>
      </c>
      <c r="AE82" s="70" t="n">
        <f aca="false">IF(AC82&gt;0,AB82/AC82,0)</f>
        <v>1</v>
      </c>
    </row>
    <row r="83" customFormat="false" ht="14.25" hidden="false" customHeight="false" outlineLevel="0" collapsed="false">
      <c r="A83" s="61" t="n">
        <v>1923</v>
      </c>
      <c r="B83" s="50" t="n">
        <f aca="false">B82+'Navy plan'!B83-IF($A83-Levers!$C$191&gt;=1846,INDEX('Navy plan'!B$6:B$92,$A83-1845-Levers!$C$191),0)</f>
        <v>0</v>
      </c>
      <c r="C83" s="50" t="n">
        <f aca="false">C82+'Navy plan'!C83-IF($A83-Levers!$D$191&gt;=1846,INDEX('Navy plan'!C$6:C$92,$A83-1845-Levers!$D$191),0)</f>
        <v>0</v>
      </c>
      <c r="D83" s="50" t="n">
        <f aca="false">D82+'Navy plan'!D83-IF($A83-Levers!$E$191&gt;=1846,INDEX('Navy plan'!D$6:D$92,$A83-1845-Levers!$E$191),0)</f>
        <v>0</v>
      </c>
      <c r="E83" s="50" t="n">
        <f aca="false">E82+'Navy plan'!E83-IF($A83-Levers!$F$191&gt;=1846,INDEX('Navy plan'!E$6:E$92,$A83-1845-Levers!$F$191),0)</f>
        <v>0</v>
      </c>
      <c r="F83" s="50" t="n">
        <f aca="false">F82+'Navy plan'!F83-IF($A83-Levers!$G$191&gt;=1846,INDEX('Navy plan'!F$6:F$92,$A83-1845-Levers!$G$191),0)</f>
        <v>90</v>
      </c>
      <c r="G83" s="50" t="n">
        <f aca="false">G82+'Navy plan'!G83-IF($A83-Levers!$H$191&gt;=1846,INDEX('Navy plan'!G$6:G$92,$A83-1845-Levers!$H$191),0)</f>
        <v>22</v>
      </c>
      <c r="H83" s="50" t="n">
        <f aca="false">H82+'Navy plan'!H83-IF($A83-Levers!$I$191&gt;=1846,INDEX('Navy plan'!H$6:H$92,$A83-1845-Levers!$I$191),0)</f>
        <v>14</v>
      </c>
      <c r="I83" s="50" t="n">
        <f aca="false">I82+'Navy plan'!I83-IF($A83-Levers!$J$191&gt;=1846,INDEX('Navy plan'!I$6:I$92,$A83-1845-Levers!$J$191),0)</f>
        <v>52</v>
      </c>
      <c r="J83" s="50" t="n">
        <f aca="false">J82+'Navy plan'!J83-IF($A83-Levers!$K$191&gt;=1846,INDEX('Navy plan'!J$6:J$92,$A83-1845-Levers!$K$191),0)</f>
        <v>1</v>
      </c>
      <c r="K83" s="50" t="n">
        <f aca="false">SUM(B83:J83)</f>
        <v>179</v>
      </c>
      <c r="L83" s="56" t="n">
        <f aca="false">0.5*SUMPRODUCT('Navy plan'!B83:J83,'Navy plan'!K83:S83)+0.5*SUMPRODUCT('Navy plan'!B84:J84,'Navy plan'!K84:S84)</f>
        <v>14.7675</v>
      </c>
      <c r="M83" s="50" t="n">
        <f aca="false">SUMPRODUCT(B83:J83,Levers!$C$192:$K$192)</f>
        <v>33960</v>
      </c>
      <c r="N83" s="50" t="n">
        <f aca="false">SUMPRODUCT(B83:J83,Levers!$C$195:$K$195)</f>
        <v>43538.4615384615</v>
      </c>
      <c r="O83" s="50"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50" t="n">
        <f aca="false">AA83+'Navy plan'!T83</f>
        <v>24</v>
      </c>
      <c r="AC83" s="65" t="n">
        <f aca="false">'Navy plan'!U83</f>
        <v>24</v>
      </c>
      <c r="AD83" s="65" t="n">
        <f aca="false">'Navy plan'!V83</f>
        <v>16</v>
      </c>
      <c r="AE83" s="70" t="n">
        <f aca="false">IF(AC83&gt;0,AB83/AC83,0)</f>
        <v>1</v>
      </c>
    </row>
    <row r="84" customFormat="false" ht="14.25" hidden="false" customHeight="false" outlineLevel="0" collapsed="false">
      <c r="A84" s="61" t="n">
        <v>1924</v>
      </c>
      <c r="B84" s="50" t="n">
        <f aca="false">B83+'Navy plan'!B84-IF($A84-Levers!$C$191&gt;=1846,INDEX('Navy plan'!B$6:B$92,$A84-1845-Levers!$C$191),0)</f>
        <v>0</v>
      </c>
      <c r="C84" s="50" t="n">
        <f aca="false">C83+'Navy plan'!C84-IF($A84-Levers!$D$191&gt;=1846,INDEX('Navy plan'!C$6:C$92,$A84-1845-Levers!$D$191),0)</f>
        <v>0</v>
      </c>
      <c r="D84" s="50" t="n">
        <f aca="false">D83+'Navy plan'!D84-IF($A84-Levers!$E$191&gt;=1846,INDEX('Navy plan'!D$6:D$92,$A84-1845-Levers!$E$191),0)</f>
        <v>0</v>
      </c>
      <c r="E84" s="50" t="n">
        <f aca="false">E83+'Navy plan'!E84-IF($A84-Levers!$F$191&gt;=1846,INDEX('Navy plan'!E$6:E$92,$A84-1845-Levers!$F$191),0)</f>
        <v>0</v>
      </c>
      <c r="F84" s="50" t="n">
        <f aca="false">F83+'Navy plan'!F84-IF($A84-Levers!$G$191&gt;=1846,INDEX('Navy plan'!F$6:F$92,$A84-1845-Levers!$G$191),0)</f>
        <v>89</v>
      </c>
      <c r="G84" s="50" t="n">
        <f aca="false">G83+'Navy plan'!G84-IF($A84-Levers!$H$191&gt;=1846,INDEX('Navy plan'!G$6:G$92,$A84-1845-Levers!$H$191),0)</f>
        <v>22</v>
      </c>
      <c r="H84" s="50" t="n">
        <f aca="false">H83+'Navy plan'!H84-IF($A84-Levers!$I$191&gt;=1846,INDEX('Navy plan'!H$6:H$92,$A84-1845-Levers!$I$191),0)</f>
        <v>14</v>
      </c>
      <c r="I84" s="50" t="n">
        <f aca="false">I83+'Navy plan'!I84-IF($A84-Levers!$J$191&gt;=1846,INDEX('Navy plan'!I$6:I$92,$A84-1845-Levers!$J$191),0)</f>
        <v>55</v>
      </c>
      <c r="J84" s="50" t="n">
        <f aca="false">J83+'Navy plan'!J84-IF($A84-Levers!$K$191&gt;=1846,INDEX('Navy plan'!J$6:J$92,$A84-1845-Levers!$K$191),0)</f>
        <v>1</v>
      </c>
      <c r="K84" s="50" t="n">
        <f aca="false">SUM(B84:J84)</f>
        <v>181</v>
      </c>
      <c r="L84" s="56" t="n">
        <f aca="false">0.5*SUMPRODUCT('Navy plan'!B84:J84,'Navy plan'!K84:S84)+0.5*SUMPRODUCT('Navy plan'!B85:J85,'Navy plan'!K85:S85)</f>
        <v>39.903</v>
      </c>
      <c r="M84" s="50" t="n">
        <f aca="false">SUMPRODUCT(B84:J84,Levers!$C$192:$K$192)</f>
        <v>33960</v>
      </c>
      <c r="N84" s="50" t="n">
        <f aca="false">SUMPRODUCT(B84:J84,Levers!$C$195:$K$195)</f>
        <v>43538.4615384615</v>
      </c>
      <c r="O84" s="50"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50" t="n">
        <f aca="false">AA84+'Navy plan'!T84</f>
        <v>24</v>
      </c>
      <c r="AC84" s="65" t="n">
        <f aca="false">'Navy plan'!U84</f>
        <v>24</v>
      </c>
      <c r="AD84" s="65" t="n">
        <f aca="false">'Navy plan'!V84</f>
        <v>16</v>
      </c>
      <c r="AE84" s="70" t="n">
        <f aca="false">IF(AC84&gt;0,AB84/AC84,0)</f>
        <v>1</v>
      </c>
    </row>
    <row r="85" customFormat="false" ht="14.25" hidden="false" customHeight="false" outlineLevel="0" collapsed="false">
      <c r="A85" s="61" t="n">
        <v>1925</v>
      </c>
      <c r="B85" s="50" t="n">
        <f aca="false">B84+'Navy plan'!B85-IF($A85-Levers!$C$191&gt;=1846,INDEX('Navy plan'!B$6:B$92,$A85-1845-Levers!$C$191),0)</f>
        <v>0</v>
      </c>
      <c r="C85" s="50" t="n">
        <f aca="false">C84+'Navy plan'!C85-IF($A85-Levers!$D$191&gt;=1846,INDEX('Navy plan'!C$6:C$92,$A85-1845-Levers!$D$191),0)</f>
        <v>0</v>
      </c>
      <c r="D85" s="50" t="n">
        <f aca="false">D84+'Navy plan'!D85-IF($A85-Levers!$E$191&gt;=1846,INDEX('Navy plan'!D$6:D$92,$A85-1845-Levers!$E$191),0)</f>
        <v>0</v>
      </c>
      <c r="E85" s="50" t="n">
        <f aca="false">E84+'Navy plan'!E85-IF($A85-Levers!$F$191&gt;=1846,INDEX('Navy plan'!E$6:E$92,$A85-1845-Levers!$F$191),0)</f>
        <v>0</v>
      </c>
      <c r="F85" s="50" t="n">
        <f aca="false">F84+'Navy plan'!F85-IF($A85-Levers!$G$191&gt;=1846,INDEX('Navy plan'!F$6:F$92,$A85-1845-Levers!$G$191),0)</f>
        <v>88</v>
      </c>
      <c r="G85" s="50" t="n">
        <f aca="false">G84+'Navy plan'!G85-IF($A85-Levers!$H$191&gt;=1846,INDEX('Navy plan'!G$6:G$92,$A85-1845-Levers!$H$191),0)</f>
        <v>22</v>
      </c>
      <c r="H85" s="50" t="n">
        <f aca="false">H84+'Navy plan'!H85-IF($A85-Levers!$I$191&gt;=1846,INDEX('Navy plan'!H$6:H$92,$A85-1845-Levers!$I$191),0)</f>
        <v>14</v>
      </c>
      <c r="I85" s="50" t="n">
        <f aca="false">I84+'Navy plan'!I85-IF($A85-Levers!$J$191&gt;=1846,INDEX('Navy plan'!I$6:I$92,$A85-1845-Levers!$J$191),0)</f>
        <v>54</v>
      </c>
      <c r="J85" s="50" t="n">
        <f aca="false">J84+'Navy plan'!J85-IF($A85-Levers!$K$191&gt;=1846,INDEX('Navy plan'!J$6:J$92,$A85-1845-Levers!$K$191),0)</f>
        <v>2</v>
      </c>
      <c r="K85" s="50" t="n">
        <f aca="false">SUM(B85:J85)</f>
        <v>180</v>
      </c>
      <c r="L85" s="56" t="n">
        <f aca="false">0.5*SUMPRODUCT('Navy plan'!B85:J85,'Navy plan'!K85:S85)+0.5*SUMPRODUCT('Navy plan'!B86:J86,'Navy plan'!K86:S86)</f>
        <v>39.8355</v>
      </c>
      <c r="M85" s="50" t="n">
        <f aca="false">SUMPRODUCT(B85:J85,Levers!$C$192:$K$192)</f>
        <v>35340</v>
      </c>
      <c r="N85" s="50" t="n">
        <f aca="false">SUMPRODUCT(B85:J85,Levers!$C$195:$K$195)</f>
        <v>45307.6923076923</v>
      </c>
      <c r="O85" s="50"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50" t="n">
        <f aca="false">AA85+'Navy plan'!T85</f>
        <v>24</v>
      </c>
      <c r="AC85" s="65" t="n">
        <f aca="false">'Navy plan'!U85</f>
        <v>24</v>
      </c>
      <c r="AD85" s="65" t="n">
        <f aca="false">'Navy plan'!V85</f>
        <v>18</v>
      </c>
      <c r="AE85" s="70" t="n">
        <f aca="false">IF(AC85&gt;0,AB85/AC85,0)</f>
        <v>1</v>
      </c>
    </row>
    <row r="86" customFormat="false" ht="14.25" hidden="false" customHeight="false" outlineLevel="0" collapsed="false">
      <c r="A86" s="61" t="n">
        <v>1926</v>
      </c>
      <c r="B86" s="50" t="n">
        <f aca="false">B85+'Navy plan'!B86-IF($A86-Levers!$C$191&gt;=1846,INDEX('Navy plan'!B$6:B$92,$A86-1845-Levers!$C$191),0)</f>
        <v>0</v>
      </c>
      <c r="C86" s="50" t="n">
        <f aca="false">C85+'Navy plan'!C86-IF($A86-Levers!$D$191&gt;=1846,INDEX('Navy plan'!C$6:C$92,$A86-1845-Levers!$D$191),0)</f>
        <v>0</v>
      </c>
      <c r="D86" s="50" t="n">
        <f aca="false">D85+'Navy plan'!D86-IF($A86-Levers!$E$191&gt;=1846,INDEX('Navy plan'!D$6:D$92,$A86-1845-Levers!$E$191),0)</f>
        <v>0</v>
      </c>
      <c r="E86" s="50" t="n">
        <f aca="false">E85+'Navy plan'!E86-IF($A86-Levers!$F$191&gt;=1846,INDEX('Navy plan'!E$6:E$92,$A86-1845-Levers!$F$191),0)</f>
        <v>0</v>
      </c>
      <c r="F86" s="50" t="n">
        <f aca="false">F85+'Navy plan'!F86-IF($A86-Levers!$G$191&gt;=1846,INDEX('Navy plan'!F$6:F$92,$A86-1845-Levers!$G$191),0)</f>
        <v>87</v>
      </c>
      <c r="G86" s="50" t="n">
        <f aca="false">G85+'Navy plan'!G86-IF($A86-Levers!$H$191&gt;=1846,INDEX('Navy plan'!G$6:G$92,$A86-1845-Levers!$H$191),0)</f>
        <v>22</v>
      </c>
      <c r="H86" s="50" t="n">
        <f aca="false">H85+'Navy plan'!H86-IF($A86-Levers!$I$191&gt;=1846,INDEX('Navy plan'!H$6:H$92,$A86-1845-Levers!$I$191),0)</f>
        <v>14</v>
      </c>
      <c r="I86" s="50" t="n">
        <f aca="false">I85+'Navy plan'!I86-IF($A86-Levers!$J$191&gt;=1846,INDEX('Navy plan'!I$6:I$92,$A86-1845-Levers!$J$191),0)</f>
        <v>57</v>
      </c>
      <c r="J86" s="50" t="n">
        <f aca="false">J85+'Navy plan'!J86-IF($A86-Levers!$K$191&gt;=1846,INDEX('Navy plan'!J$6:J$92,$A86-1845-Levers!$K$191),0)</f>
        <v>2</v>
      </c>
      <c r="K86" s="50" t="n">
        <f aca="false">SUM(B86:J86)</f>
        <v>182</v>
      </c>
      <c r="L86" s="56" t="n">
        <f aca="false">0.5*SUMPRODUCT('Navy plan'!B86:J86,'Navy plan'!K86:S86)+0.5*SUMPRODUCT('Navy plan'!B87:J87,'Navy plan'!K87:S87)</f>
        <v>28.135</v>
      </c>
      <c r="M86" s="50" t="n">
        <f aca="false">SUMPRODUCT(B86:J86,Levers!$C$192:$K$192)</f>
        <v>35340</v>
      </c>
      <c r="N86" s="50" t="n">
        <f aca="false">SUMPRODUCT(B86:J86,Levers!$C$195:$K$195)</f>
        <v>45307.6923076923</v>
      </c>
      <c r="O86" s="50"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50" t="n">
        <f aca="false">AA86+'Navy plan'!T86</f>
        <v>24</v>
      </c>
      <c r="AC86" s="65" t="n">
        <f aca="false">'Navy plan'!U86</f>
        <v>24</v>
      </c>
      <c r="AD86" s="65" t="n">
        <f aca="false">'Navy plan'!V86</f>
        <v>18</v>
      </c>
      <c r="AE86" s="70" t="n">
        <f aca="false">IF(AC86&gt;0,AB86/AC86,0)</f>
        <v>1</v>
      </c>
    </row>
    <row r="87" customFormat="false" ht="14.25" hidden="false" customHeight="false" outlineLevel="0" collapsed="false">
      <c r="A87" s="61" t="n">
        <v>1927</v>
      </c>
      <c r="B87" s="50" t="n">
        <f aca="false">B86+'Navy plan'!B87-IF($A87-Levers!$C$191&gt;=1846,INDEX('Navy plan'!B$6:B$92,$A87-1845-Levers!$C$191),0)</f>
        <v>0</v>
      </c>
      <c r="C87" s="50" t="n">
        <f aca="false">C86+'Navy plan'!C87-IF($A87-Levers!$D$191&gt;=1846,INDEX('Navy plan'!C$6:C$92,$A87-1845-Levers!$D$191),0)</f>
        <v>0</v>
      </c>
      <c r="D87" s="50" t="n">
        <f aca="false">D86+'Navy plan'!D87-IF($A87-Levers!$E$191&gt;=1846,INDEX('Navy plan'!D$6:D$92,$A87-1845-Levers!$E$191),0)</f>
        <v>0</v>
      </c>
      <c r="E87" s="50" t="n">
        <f aca="false">E86+'Navy plan'!E87-IF($A87-Levers!$F$191&gt;=1846,INDEX('Navy plan'!E$6:E$92,$A87-1845-Levers!$F$191),0)</f>
        <v>0</v>
      </c>
      <c r="F87" s="50" t="n">
        <f aca="false">F86+'Navy plan'!F87-IF($A87-Levers!$G$191&gt;=1846,INDEX('Navy plan'!F$6:F$92,$A87-1845-Levers!$G$191),0)</f>
        <v>86</v>
      </c>
      <c r="G87" s="50" t="n">
        <f aca="false">G86+'Navy plan'!G87-IF($A87-Levers!$H$191&gt;=1846,INDEX('Navy plan'!G$6:G$92,$A87-1845-Levers!$H$191),0)</f>
        <v>22</v>
      </c>
      <c r="H87" s="50" t="n">
        <f aca="false">H86+'Navy plan'!H87-IF($A87-Levers!$I$191&gt;=1846,INDEX('Navy plan'!H$6:H$92,$A87-1845-Levers!$I$191),0)</f>
        <v>14</v>
      </c>
      <c r="I87" s="50" t="n">
        <f aca="false">I86+'Navy plan'!I87-IF($A87-Levers!$J$191&gt;=1846,INDEX('Navy plan'!I$6:I$92,$A87-1845-Levers!$J$191),0)</f>
        <v>56</v>
      </c>
      <c r="J87" s="50" t="n">
        <f aca="false">J86+'Navy plan'!J87-IF($A87-Levers!$K$191&gt;=1846,INDEX('Navy plan'!J$6:J$92,$A87-1845-Levers!$K$191),0)</f>
        <v>2</v>
      </c>
      <c r="K87" s="50" t="n">
        <f aca="false">SUM(B87:J87)</f>
        <v>180</v>
      </c>
      <c r="L87" s="56" t="n">
        <f aca="false">0.5*SUMPRODUCT('Navy plan'!B87:J87,'Navy plan'!K87:S87)+0.5*SUMPRODUCT('Navy plan'!B88:J88,'Navy plan'!K88:S88)</f>
        <v>53.863</v>
      </c>
      <c r="M87" s="50" t="n">
        <f aca="false">SUMPRODUCT(B87:J87,Levers!$C$192:$K$192)</f>
        <v>35220</v>
      </c>
      <c r="N87" s="50" t="n">
        <f aca="false">SUMPRODUCT(B87:J87,Levers!$C$195:$K$195)</f>
        <v>45153.8461538462</v>
      </c>
      <c r="O87" s="50"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50" t="n">
        <f aca="false">AA87+'Navy plan'!T87</f>
        <v>24</v>
      </c>
      <c r="AC87" s="65" t="n">
        <f aca="false">'Navy plan'!U87</f>
        <v>24</v>
      </c>
      <c r="AD87" s="65" t="n">
        <f aca="false">'Navy plan'!V87</f>
        <v>19</v>
      </c>
      <c r="AE87" s="70" t="n">
        <f aca="false">IF(AC87&gt;0,AB87/AC87,0)</f>
        <v>1</v>
      </c>
    </row>
    <row r="88" customFormat="false" ht="14.25" hidden="false" customHeight="false" outlineLevel="0" collapsed="false">
      <c r="A88" s="61" t="n">
        <v>1928</v>
      </c>
      <c r="B88" s="50" t="n">
        <f aca="false">B87+'Navy plan'!B88-IF($A88-Levers!$C$191&gt;=1846,INDEX('Navy plan'!B$6:B$92,$A88-1845-Levers!$C$191),0)</f>
        <v>0</v>
      </c>
      <c r="C88" s="50" t="n">
        <f aca="false">C87+'Navy plan'!C88-IF($A88-Levers!$D$191&gt;=1846,INDEX('Navy plan'!C$6:C$92,$A88-1845-Levers!$D$191),0)</f>
        <v>0</v>
      </c>
      <c r="D88" s="50" t="n">
        <f aca="false">D87+'Navy plan'!D88-IF($A88-Levers!$E$191&gt;=1846,INDEX('Navy plan'!D$6:D$92,$A88-1845-Levers!$E$191),0)</f>
        <v>0</v>
      </c>
      <c r="E88" s="50" t="n">
        <f aca="false">E87+'Navy plan'!E88-IF($A88-Levers!$F$191&gt;=1846,INDEX('Navy plan'!E$6:E$92,$A88-1845-Levers!$F$191),0)</f>
        <v>0</v>
      </c>
      <c r="F88" s="50" t="n">
        <f aca="false">F87+'Navy plan'!F88-IF($A88-Levers!$G$191&gt;=1846,INDEX('Navy plan'!F$6:F$92,$A88-1845-Levers!$G$191),0)</f>
        <v>85</v>
      </c>
      <c r="G88" s="50" t="n">
        <f aca="false">G87+'Navy plan'!G88-IF($A88-Levers!$H$191&gt;=1846,INDEX('Navy plan'!G$6:G$92,$A88-1845-Levers!$H$191),0)</f>
        <v>22</v>
      </c>
      <c r="H88" s="50" t="n">
        <f aca="false">H87+'Navy plan'!H88-IF($A88-Levers!$I$191&gt;=1846,INDEX('Navy plan'!H$6:H$92,$A88-1845-Levers!$I$191),0)</f>
        <v>14</v>
      </c>
      <c r="I88" s="50" t="n">
        <f aca="false">I87+'Navy plan'!I88-IF($A88-Levers!$J$191&gt;=1846,INDEX('Navy plan'!I$6:I$92,$A88-1845-Levers!$J$191),0)</f>
        <v>59</v>
      </c>
      <c r="J88" s="50" t="n">
        <f aca="false">J87+'Navy plan'!J88-IF($A88-Levers!$K$191&gt;=1846,INDEX('Navy plan'!J$6:J$92,$A88-1845-Levers!$K$191),0)</f>
        <v>3</v>
      </c>
      <c r="K88" s="50" t="n">
        <f aca="false">SUM(B88:J88)</f>
        <v>183</v>
      </c>
      <c r="L88" s="56" t="n">
        <f aca="false">0.5*SUMPRODUCT('Navy plan'!B88:J88,'Navy plan'!K88:S88)+0.5*SUMPRODUCT('Navy plan'!B89:J89,'Navy plan'!K89:S89)</f>
        <v>53.1645</v>
      </c>
      <c r="M88" s="50" t="n">
        <f aca="false">SUMPRODUCT(B88:J88,Levers!$C$192:$K$192)</f>
        <v>36720</v>
      </c>
      <c r="N88" s="50" t="n">
        <f aca="false">SUMPRODUCT(B88:J88,Levers!$C$195:$K$195)</f>
        <v>47076.9230769231</v>
      </c>
      <c r="O88" s="50"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50" t="n">
        <f aca="false">AA88+'Navy plan'!T88</f>
        <v>24</v>
      </c>
      <c r="AC88" s="65" t="n">
        <f aca="false">'Navy plan'!U88</f>
        <v>24</v>
      </c>
      <c r="AD88" s="65" t="n">
        <f aca="false">'Navy plan'!V88</f>
        <v>20</v>
      </c>
      <c r="AE88" s="70" t="n">
        <f aca="false">IF(AC88&gt;0,AB88/AC88,0)</f>
        <v>1</v>
      </c>
    </row>
    <row r="89" customFormat="false" ht="14.25" hidden="false" customHeight="false" outlineLevel="0" collapsed="false">
      <c r="A89" s="61" t="n">
        <v>1929</v>
      </c>
      <c r="B89" s="50" t="n">
        <f aca="false">B88+'Navy plan'!B89-IF($A89-Levers!$C$191&gt;=1846,INDEX('Navy plan'!B$6:B$92,$A89-1845-Levers!$C$191),0)</f>
        <v>0</v>
      </c>
      <c r="C89" s="50" t="n">
        <f aca="false">C88+'Navy plan'!C89-IF($A89-Levers!$D$191&gt;=1846,INDEX('Navy plan'!C$6:C$92,$A89-1845-Levers!$D$191),0)</f>
        <v>0</v>
      </c>
      <c r="D89" s="50" t="n">
        <f aca="false">D88+'Navy plan'!D89-IF($A89-Levers!$E$191&gt;=1846,INDEX('Navy plan'!D$6:D$92,$A89-1845-Levers!$E$191),0)</f>
        <v>0</v>
      </c>
      <c r="E89" s="50" t="n">
        <f aca="false">E88+'Navy plan'!E89-IF($A89-Levers!$F$191&gt;=1846,INDEX('Navy plan'!E$6:E$92,$A89-1845-Levers!$F$191),0)</f>
        <v>0</v>
      </c>
      <c r="F89" s="50" t="n">
        <f aca="false">F88+'Navy plan'!F89-IF($A89-Levers!$G$191&gt;=1846,INDEX('Navy plan'!F$6:F$92,$A89-1845-Levers!$G$191),0)</f>
        <v>84</v>
      </c>
      <c r="G89" s="50" t="n">
        <f aca="false">G88+'Navy plan'!G89-IF($A89-Levers!$H$191&gt;=1846,INDEX('Navy plan'!G$6:G$92,$A89-1845-Levers!$H$191),0)</f>
        <v>21</v>
      </c>
      <c r="H89" s="50" t="n">
        <f aca="false">H88+'Navy plan'!H89-IF($A89-Levers!$I$191&gt;=1846,INDEX('Navy plan'!H$6:H$92,$A89-1845-Levers!$I$191),0)</f>
        <v>14</v>
      </c>
      <c r="I89" s="50" t="n">
        <f aca="false">I88+'Navy plan'!I89-IF($A89-Levers!$J$191&gt;=1846,INDEX('Navy plan'!I$6:I$92,$A89-1845-Levers!$J$191),0)</f>
        <v>56</v>
      </c>
      <c r="J89" s="50" t="n">
        <f aca="false">J88+'Navy plan'!J89-IF($A89-Levers!$K$191&gt;=1846,INDEX('Navy plan'!J$6:J$92,$A89-1845-Levers!$K$191),0)</f>
        <v>3</v>
      </c>
      <c r="K89" s="50" t="n">
        <f aca="false">SUM(B89:J89)</f>
        <v>178</v>
      </c>
      <c r="L89" s="56" t="n">
        <f aca="false">0.5*SUMPRODUCT('Navy plan'!B89:J89,'Navy plan'!K89:S89)+0.5*SUMPRODUCT('Navy plan'!B90:J90,'Navy plan'!K90:S90)</f>
        <v>37.2945</v>
      </c>
      <c r="M89" s="50" t="n">
        <f aca="false">SUMPRODUCT(B89:J89,Levers!$C$192:$K$192)</f>
        <v>36140</v>
      </c>
      <c r="N89" s="50" t="n">
        <f aca="false">SUMPRODUCT(B89:J89,Levers!$C$195:$K$195)</f>
        <v>46333.3333333333</v>
      </c>
      <c r="O89" s="50"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50" t="n">
        <f aca="false">AA89+'Navy plan'!T89</f>
        <v>24</v>
      </c>
      <c r="AC89" s="65" t="n">
        <f aca="false">'Navy plan'!U89</f>
        <v>24</v>
      </c>
      <c r="AD89" s="65" t="n">
        <f aca="false">'Navy plan'!V89</f>
        <v>21</v>
      </c>
      <c r="AE89" s="70" t="n">
        <f aca="false">IF(AC89&gt;0,AB89/AC89,0)</f>
        <v>1</v>
      </c>
    </row>
    <row r="90" customFormat="false" ht="14.25" hidden="false" customHeight="false" outlineLevel="0" collapsed="false">
      <c r="A90" s="61" t="n">
        <v>1930</v>
      </c>
      <c r="B90" s="50" t="n">
        <f aca="false">B89+'Navy plan'!B90-IF($A90-Levers!$C$191&gt;=1846,INDEX('Navy plan'!B$6:B$92,$A90-1845-Levers!$C$191),0)</f>
        <v>0</v>
      </c>
      <c r="C90" s="50" t="n">
        <f aca="false">C89+'Navy plan'!C90-IF($A90-Levers!$D$191&gt;=1846,INDEX('Navy plan'!C$6:C$92,$A90-1845-Levers!$D$191),0)</f>
        <v>0</v>
      </c>
      <c r="D90" s="50" t="n">
        <f aca="false">D89+'Navy plan'!D90-IF($A90-Levers!$E$191&gt;=1846,INDEX('Navy plan'!D$6:D$92,$A90-1845-Levers!$E$191),0)</f>
        <v>0</v>
      </c>
      <c r="E90" s="50" t="n">
        <f aca="false">E89+'Navy plan'!E90-IF($A90-Levers!$F$191&gt;=1846,INDEX('Navy plan'!E$6:E$92,$A90-1845-Levers!$F$191),0)</f>
        <v>0</v>
      </c>
      <c r="F90" s="50" t="n">
        <f aca="false">F89+'Navy plan'!F90-IF($A90-Levers!$G$191&gt;=1846,INDEX('Navy plan'!F$6:F$92,$A90-1845-Levers!$G$191),0)</f>
        <v>84</v>
      </c>
      <c r="G90" s="50" t="n">
        <f aca="false">G89+'Navy plan'!G90-IF($A90-Levers!$H$191&gt;=1846,INDEX('Navy plan'!G$6:G$92,$A90-1845-Levers!$H$191),0)</f>
        <v>23</v>
      </c>
      <c r="H90" s="50" t="n">
        <f aca="false">H89+'Navy plan'!H90-IF($A90-Levers!$I$191&gt;=1846,INDEX('Navy plan'!H$6:H$92,$A90-1845-Levers!$I$191),0)</f>
        <v>14</v>
      </c>
      <c r="I90" s="50" t="n">
        <f aca="false">I89+'Navy plan'!I90-IF($A90-Levers!$J$191&gt;=1846,INDEX('Navy plan'!I$6:I$92,$A90-1845-Levers!$J$191),0)</f>
        <v>51</v>
      </c>
      <c r="J90" s="50" t="n">
        <f aca="false">J89+'Navy plan'!J90-IF($A90-Levers!$K$191&gt;=1846,INDEX('Navy plan'!J$6:J$92,$A90-1845-Levers!$K$191),0)</f>
        <v>3</v>
      </c>
      <c r="K90" s="50" t="n">
        <f aca="false">SUM(B90:J90)</f>
        <v>175</v>
      </c>
      <c r="L90" s="56" t="n">
        <f aca="false">0.5*SUMPRODUCT('Navy plan'!B90:J90,'Navy plan'!K90:S90)+0.5*SUMPRODUCT('Navy plan'!B91:J91,'Navy plan'!K91:S91)</f>
        <v>45.337</v>
      </c>
      <c r="M90" s="50" t="n">
        <f aca="false">SUMPRODUCT(B90:J90,Levers!$C$192:$K$192)</f>
        <v>36790</v>
      </c>
      <c r="N90" s="50" t="n">
        <f aca="false">SUMPRODUCT(B90:J90,Levers!$C$195:$K$195)</f>
        <v>47166.6666666667</v>
      </c>
      <c r="O90" s="50"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50" t="n">
        <f aca="false">AA90+'Navy plan'!T90</f>
        <v>24</v>
      </c>
      <c r="AC90" s="65" t="n">
        <f aca="false">'Navy plan'!U90</f>
        <v>24</v>
      </c>
      <c r="AD90" s="65" t="n">
        <f aca="false">'Navy plan'!V90</f>
        <v>21</v>
      </c>
      <c r="AE90" s="70" t="n">
        <f aca="false">IF(AC90&gt;0,AB90/AC90,0)</f>
        <v>1</v>
      </c>
    </row>
    <row r="91" customFormat="false" ht="14.25" hidden="false" customHeight="false" outlineLevel="0" collapsed="false">
      <c r="A91" s="61" t="n">
        <v>1931</v>
      </c>
      <c r="B91" s="50" t="n">
        <f aca="false">B90+'Navy plan'!B91-IF($A91-Levers!$C$191&gt;=1846,INDEX('Navy plan'!B$6:B$92,$A91-1845-Levers!$C$191),0)</f>
        <v>0</v>
      </c>
      <c r="C91" s="50" t="n">
        <f aca="false">C90+'Navy plan'!C91-IF($A91-Levers!$D$191&gt;=1846,INDEX('Navy plan'!C$6:C$92,$A91-1845-Levers!$D$191),0)</f>
        <v>0</v>
      </c>
      <c r="D91" s="50" t="n">
        <f aca="false">D90+'Navy plan'!D91-IF($A91-Levers!$E$191&gt;=1846,INDEX('Navy plan'!D$6:D$92,$A91-1845-Levers!$E$191),0)</f>
        <v>0</v>
      </c>
      <c r="E91" s="50" t="n">
        <f aca="false">E90+'Navy plan'!E91-IF($A91-Levers!$F$191&gt;=1846,INDEX('Navy plan'!E$6:E$92,$A91-1845-Levers!$F$191),0)</f>
        <v>0</v>
      </c>
      <c r="F91" s="50" t="n">
        <f aca="false">F90+'Navy plan'!F91-IF($A91-Levers!$G$191&gt;=1846,INDEX('Navy plan'!F$6:F$92,$A91-1845-Levers!$G$191),0)</f>
        <v>84</v>
      </c>
      <c r="G91" s="50" t="n">
        <f aca="false">G90+'Navy plan'!G91-IF($A91-Levers!$H$191&gt;=1846,INDEX('Navy plan'!G$6:G$92,$A91-1845-Levers!$H$191),0)</f>
        <v>21</v>
      </c>
      <c r="H91" s="50" t="n">
        <f aca="false">H90+'Navy plan'!H91-IF($A91-Levers!$I$191&gt;=1846,INDEX('Navy plan'!H$6:H$92,$A91-1845-Levers!$I$191),0)</f>
        <v>14</v>
      </c>
      <c r="I91" s="50" t="n">
        <f aca="false">I90+'Navy plan'!I91-IF($A91-Levers!$J$191&gt;=1846,INDEX('Navy plan'!I$6:I$92,$A91-1845-Levers!$J$191),0)</f>
        <v>46</v>
      </c>
      <c r="J91" s="50" t="n">
        <f aca="false">J90+'Navy plan'!J91-IF($A91-Levers!$K$191&gt;=1846,INDEX('Navy plan'!J$6:J$92,$A91-1845-Levers!$K$191),0)</f>
        <v>4</v>
      </c>
      <c r="K91" s="50" t="n">
        <f aca="false">SUM(B91:J91)</f>
        <v>169</v>
      </c>
      <c r="L91" s="56" t="n">
        <f aca="false">0.5*SUMPRODUCT('Navy plan'!B91:J91,'Navy plan'!K91:S91)+0.5*SUMPRODUCT('Navy plan'!B92:J92,'Navy plan'!K92:S92)</f>
        <v>48.3935</v>
      </c>
      <c r="M91" s="50" t="n">
        <f aca="false">SUMPRODUCT(B91:J91,Levers!$C$192:$K$192)</f>
        <v>37340</v>
      </c>
      <c r="N91" s="50" t="n">
        <f aca="false">SUMPRODUCT(B91:J91,Levers!$C$195:$K$195)</f>
        <v>47871.7948717949</v>
      </c>
      <c r="O91" s="50"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50" t="n">
        <f aca="false">AA91+'Navy plan'!T91</f>
        <v>24</v>
      </c>
      <c r="AC91" s="65" t="n">
        <f aca="false">'Navy plan'!U91</f>
        <v>24</v>
      </c>
      <c r="AD91" s="65" t="n">
        <f aca="false">'Navy plan'!V91</f>
        <v>21</v>
      </c>
      <c r="AE91" s="70" t="n">
        <f aca="false">IF(AC91&gt;0,AB91/AC91,0)</f>
        <v>1</v>
      </c>
    </row>
    <row r="92" customFormat="false" ht="14.25" hidden="false" customHeight="false" outlineLevel="0" collapsed="false">
      <c r="A92" s="61" t="n">
        <v>1932</v>
      </c>
      <c r="B92" s="50" t="n">
        <f aca="false">B91+'Navy plan'!B92-IF($A92-Levers!$C$191&gt;=1846,INDEX('Navy plan'!B$6:B$92,$A92-1845-Levers!$C$191),0)</f>
        <v>0</v>
      </c>
      <c r="C92" s="50" t="n">
        <f aca="false">C91+'Navy plan'!C92-IF($A92-Levers!$D$191&gt;=1846,INDEX('Navy plan'!C$6:C$92,$A92-1845-Levers!$D$191),0)</f>
        <v>0</v>
      </c>
      <c r="D92" s="50" t="n">
        <f aca="false">D91+'Navy plan'!D92-IF($A92-Levers!$E$191&gt;=1846,INDEX('Navy plan'!D$6:D$92,$A92-1845-Levers!$E$191),0)</f>
        <v>0</v>
      </c>
      <c r="E92" s="50" t="n">
        <f aca="false">E91+'Navy plan'!E92-IF($A92-Levers!$F$191&gt;=1846,INDEX('Navy plan'!E$6:E$92,$A92-1845-Levers!$F$191),0)</f>
        <v>0</v>
      </c>
      <c r="F92" s="50" t="n">
        <f aca="false">F91+'Navy plan'!F92-IF($A92-Levers!$G$191&gt;=1846,INDEX('Navy plan'!F$6:F$92,$A92-1845-Levers!$G$191),0)</f>
        <v>82</v>
      </c>
      <c r="G92" s="50" t="n">
        <f aca="false">G91+'Navy plan'!G92-IF($A92-Levers!$H$191&gt;=1846,INDEX('Navy plan'!G$6:G$92,$A92-1845-Levers!$H$191),0)</f>
        <v>21</v>
      </c>
      <c r="H92" s="50" t="n">
        <f aca="false">H91+'Navy plan'!H92-IF($A92-Levers!$I$191&gt;=1846,INDEX('Navy plan'!H$6:H$92,$A92-1845-Levers!$I$191),0)</f>
        <v>14</v>
      </c>
      <c r="I92" s="50" t="n">
        <f aca="false">I91+'Navy plan'!I92-IF($A92-Levers!$J$191&gt;=1846,INDEX('Navy plan'!I$6:I$92,$A92-1845-Levers!$J$191),0)</f>
        <v>41</v>
      </c>
      <c r="J92" s="50" t="n">
        <f aca="false">J91+'Navy plan'!J92-IF($A92-Levers!$K$191&gt;=1846,INDEX('Navy plan'!J$6:J$92,$A92-1845-Levers!$K$191),0)</f>
        <v>4</v>
      </c>
      <c r="K92" s="50" t="n">
        <f aca="false">SUM(B92:J92)</f>
        <v>162</v>
      </c>
      <c r="L92" s="56" t="n">
        <f aca="false">0.5*SUMPRODUCT('Navy plan'!B92:J92,'Navy plan'!K92:S92)+0.5*SUMPRODUCT('Navy plan'!B93:J93,'Navy plan'!K93:S93)</f>
        <v>17.8</v>
      </c>
      <c r="M92" s="50" t="n">
        <f aca="false">SUMPRODUCT(B92:J92,Levers!$C$192:$K$192)</f>
        <v>37010</v>
      </c>
      <c r="N92" s="50" t="n">
        <f aca="false">SUMPRODUCT(B92:J92,Levers!$C$195:$K$195)</f>
        <v>47448.7179487179</v>
      </c>
      <c r="O92" s="50"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50"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55" hidden="false" customHeight="false" outlineLevel="0" collapsed="false">
      <c r="A1" s="19" t="s">
        <v>41</v>
      </c>
    </row>
    <row r="2" customFormat="false" ht="14.25" hidden="false" customHeight="false" outlineLevel="0" collapsed="false">
      <c r="A2" s="3" t="s">
        <v>1589</v>
      </c>
      <c r="AD2" s="29" t="s">
        <v>1590</v>
      </c>
    </row>
    <row r="3" customFormat="false" ht="14.25" hidden="false" customHeight="false" outlineLevel="0" collapsed="false">
      <c r="A3" s="20" t="s">
        <v>1166</v>
      </c>
      <c r="AD3" s="1" t="str">
        <f aca="false">Levers!F4</f>
        <v>Story case</v>
      </c>
    </row>
    <row r="4" customFormat="false" ht="14.25" hidden="false" customHeight="false" outlineLevel="0" collapsed="false">
      <c r="B4" s="58" t="s">
        <v>65</v>
      </c>
      <c r="C4" s="58"/>
      <c r="D4" s="58"/>
      <c r="E4" s="58" t="s">
        <v>69</v>
      </c>
      <c r="F4" s="58"/>
      <c r="G4" s="58"/>
      <c r="H4" s="58"/>
      <c r="I4" s="58"/>
      <c r="J4" s="58"/>
      <c r="K4" s="58"/>
      <c r="L4" s="58"/>
      <c r="M4" s="58"/>
      <c r="N4" s="58"/>
      <c r="O4" s="58"/>
      <c r="P4" s="58"/>
      <c r="Q4" s="58"/>
      <c r="R4" s="58"/>
      <c r="S4" s="58" t="s">
        <v>1171</v>
      </c>
      <c r="T4" s="58"/>
      <c r="U4" s="58"/>
      <c r="V4" s="58"/>
      <c r="W4" s="58"/>
      <c r="X4" s="58" t="s">
        <v>1591</v>
      </c>
      <c r="Y4" s="58"/>
      <c r="Z4" s="58"/>
      <c r="AA4" s="58"/>
      <c r="AB4" s="58"/>
      <c r="AC4" s="58"/>
    </row>
    <row r="5" customFormat="false" ht="54" hidden="false" customHeight="true" outlineLevel="0" collapsed="false">
      <c r="A5" s="60" t="s">
        <v>103</v>
      </c>
      <c r="B5" s="7" t="s">
        <v>1592</v>
      </c>
      <c r="C5" s="7" t="s">
        <v>1593</v>
      </c>
      <c r="D5" s="7" t="s">
        <v>1594</v>
      </c>
      <c r="E5" s="7" t="s">
        <v>1595</v>
      </c>
      <c r="F5" s="7" t="s">
        <v>1596</v>
      </c>
      <c r="G5" s="7" t="s">
        <v>1597</v>
      </c>
      <c r="H5" s="7" t="s">
        <v>1598</v>
      </c>
      <c r="I5" s="7" t="s">
        <v>1599</v>
      </c>
      <c r="J5" s="7" t="s">
        <v>1600</v>
      </c>
      <c r="K5" s="7" t="s">
        <v>1601</v>
      </c>
      <c r="L5" s="7" t="s">
        <v>1602</v>
      </c>
      <c r="M5" s="7" t="s">
        <v>1603</v>
      </c>
      <c r="N5" s="7" t="s">
        <v>1604</v>
      </c>
      <c r="O5" s="7" t="s">
        <v>1605</v>
      </c>
      <c r="P5" s="7" t="s">
        <v>1606</v>
      </c>
      <c r="Q5" s="7" t="s">
        <v>1607</v>
      </c>
      <c r="R5" s="7" t="s">
        <v>1608</v>
      </c>
      <c r="S5" s="7" t="s">
        <v>1609</v>
      </c>
      <c r="T5" s="7" t="s">
        <v>1610</v>
      </c>
      <c r="U5" s="7" t="s">
        <v>1611</v>
      </c>
      <c r="V5" s="7" t="s">
        <v>1612</v>
      </c>
      <c r="W5" s="7" t="s">
        <v>1613</v>
      </c>
      <c r="X5" s="7" t="s">
        <v>1614</v>
      </c>
      <c r="Y5" s="7" t="s">
        <v>1615</v>
      </c>
      <c r="Z5" s="7" t="s">
        <v>1616</v>
      </c>
      <c r="AA5" s="7" t="s">
        <v>31</v>
      </c>
      <c r="AB5" s="7" t="s">
        <v>1617</v>
      </c>
      <c r="AC5" s="7" t="s">
        <v>1618</v>
      </c>
      <c r="AD5" s="76" t="s">
        <v>1619</v>
      </c>
      <c r="AE5" s="76" t="s">
        <v>1620</v>
      </c>
      <c r="AF5" s="76" t="s">
        <v>1621</v>
      </c>
      <c r="AG5" s="76" t="s">
        <v>1622</v>
      </c>
      <c r="AH5" s="76" t="s">
        <v>1623</v>
      </c>
      <c r="AI5" s="76" t="s">
        <v>1624</v>
      </c>
      <c r="AJ5" s="76" t="s">
        <v>1625</v>
      </c>
      <c r="AK5" s="76" t="s">
        <v>1626</v>
      </c>
      <c r="AL5" s="76" t="s">
        <v>1627</v>
      </c>
      <c r="AM5" s="76" t="s">
        <v>1628</v>
      </c>
      <c r="AN5" s="76" t="s">
        <v>1629</v>
      </c>
      <c r="AO5" s="76" t="s">
        <v>1630</v>
      </c>
      <c r="AP5" s="76" t="s">
        <v>1631</v>
      </c>
    </row>
    <row r="6" customFormat="false" ht="14.25" hidden="false" customHeight="false" outlineLevel="0" collapsed="false">
      <c r="A6" s="61" t="n">
        <v>1846</v>
      </c>
      <c r="B6" s="48" t="n">
        <v>0</v>
      </c>
      <c r="C6" s="77" t="n">
        <f aca="false">Partners!H6</f>
        <v>1</v>
      </c>
      <c r="D6" s="50"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78" t="n">
        <f aca="false">0</f>
        <v>0</v>
      </c>
      <c r="AE6" s="78" t="n">
        <f aca="false">AD6+G6+T6+U6+AP6-Q6-W6-AO6</f>
        <v>0</v>
      </c>
      <c r="AF6" s="78" t="n">
        <f aca="false">MAX(0,-AE6)</f>
        <v>-0</v>
      </c>
      <c r="AG6" s="78" t="n">
        <f aca="false">V6</f>
        <v>0</v>
      </c>
      <c r="AH6" s="78" t="n">
        <f aca="false">MIN(MAX(0,AE6),AG6)</f>
        <v>0</v>
      </c>
      <c r="AI6" s="78" t="n">
        <f aca="false">AE6+AF6-AH6</f>
        <v>0</v>
      </c>
      <c r="AJ6" s="78" t="n">
        <f aca="false">AI6</f>
        <v>0</v>
      </c>
      <c r="AK6" s="78" t="n">
        <f aca="false">0</f>
        <v>0</v>
      </c>
      <c r="AL6" s="78" t="n">
        <f aca="false">AJ6+AK6+AN6-Z6</f>
        <v>0</v>
      </c>
      <c r="AM6" s="78" t="n">
        <f aca="false">AJ6-(AD6+G6+T6+U6+AF6+AP6-Q6-W6-AH6-AO6)</f>
        <v>0</v>
      </c>
      <c r="AN6" s="78" t="n">
        <f aca="false">0</f>
        <v>0</v>
      </c>
      <c r="AO6" s="78" t="n">
        <f aca="false">0</f>
        <v>0</v>
      </c>
      <c r="AP6" s="78" t="n">
        <f aca="false">0</f>
        <v>0</v>
      </c>
    </row>
    <row r="7" customFormat="false" ht="14.25" hidden="false" customHeight="false" outlineLevel="0" collapsed="false">
      <c r="A7" s="61" t="n">
        <v>1847</v>
      </c>
      <c r="B7" s="48" t="n">
        <v>0</v>
      </c>
      <c r="C7" s="77" t="n">
        <f aca="false">Partners!H7</f>
        <v>1</v>
      </c>
      <c r="D7" s="50"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78" t="n">
        <f aca="false">AJ6</f>
        <v>0</v>
      </c>
      <c r="AE7" s="78" t="n">
        <f aca="false">AD7+G7+T7+U7+AP7-Q7-W7-AO7</f>
        <v>0</v>
      </c>
      <c r="AF7" s="78" t="n">
        <f aca="false">MAX(0,-AE7)</f>
        <v>-0</v>
      </c>
      <c r="AG7" s="78" t="n">
        <f aca="false">Y6+V7</f>
        <v>0</v>
      </c>
      <c r="AH7" s="78" t="n">
        <f aca="false">MIN(MAX(0,AE7),AG7)</f>
        <v>0</v>
      </c>
      <c r="AI7" s="78" t="n">
        <f aca="false">AE7+AF7-AH7</f>
        <v>0</v>
      </c>
      <c r="AJ7" s="78" t="n">
        <f aca="false">AI7</f>
        <v>0</v>
      </c>
      <c r="AK7" s="78" t="n">
        <f aca="false">AK6</f>
        <v>0</v>
      </c>
      <c r="AL7" s="78" t="n">
        <f aca="false">AJ7+AK7+AN7-Z7</f>
        <v>0</v>
      </c>
      <c r="AM7" s="78" t="n">
        <f aca="false">AJ7-(AD7+G7+T7+U7+AF7+AP7-Q7-W7-AH7-AO7)</f>
        <v>0</v>
      </c>
      <c r="AN7" s="78" t="n">
        <f aca="false">0</f>
        <v>0</v>
      </c>
      <c r="AO7" s="78" t="n">
        <f aca="false">0</f>
        <v>0</v>
      </c>
      <c r="AP7" s="78" t="n">
        <f aca="false">0</f>
        <v>0</v>
      </c>
    </row>
    <row r="8" customFormat="false" ht="14.25" hidden="false" customHeight="false" outlineLevel="0" collapsed="false">
      <c r="A8" s="61" t="n">
        <v>1848</v>
      </c>
      <c r="B8" s="48" t="n">
        <v>0</v>
      </c>
      <c r="C8" s="77" t="n">
        <f aca="false">Partners!H8</f>
        <v>1</v>
      </c>
      <c r="D8" s="50"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78" t="n">
        <f aca="false">AJ7</f>
        <v>0</v>
      </c>
      <c r="AE8" s="78" t="n">
        <f aca="false">AD8+G8+T8+U8+AP8-Q8-W8-AO8</f>
        <v>0</v>
      </c>
      <c r="AF8" s="78" t="n">
        <f aca="false">MAX(0,-AE8)</f>
        <v>-0</v>
      </c>
      <c r="AG8" s="78" t="n">
        <f aca="false">Y7+V8</f>
        <v>0</v>
      </c>
      <c r="AH8" s="78" t="n">
        <f aca="false">MIN(MAX(0,AE8),AG8)</f>
        <v>0</v>
      </c>
      <c r="AI8" s="78" t="n">
        <f aca="false">AE8+AF8-AH8</f>
        <v>0</v>
      </c>
      <c r="AJ8" s="78" t="n">
        <f aca="false">AI8</f>
        <v>0</v>
      </c>
      <c r="AK8" s="78" t="n">
        <f aca="false">AK7</f>
        <v>0</v>
      </c>
      <c r="AL8" s="78" t="n">
        <f aca="false">AJ8+AK8+AN8-Z8</f>
        <v>0</v>
      </c>
      <c r="AM8" s="78" t="n">
        <f aca="false">AJ8-(AD8+G8+T8+U8+AF8+AP8-Q8-W8-AH8-AO8)</f>
        <v>0</v>
      </c>
      <c r="AN8" s="78" t="n">
        <f aca="false">0</f>
        <v>0</v>
      </c>
      <c r="AO8" s="78" t="n">
        <f aca="false">0</f>
        <v>0</v>
      </c>
      <c r="AP8" s="78" t="n">
        <f aca="false">0</f>
        <v>0</v>
      </c>
    </row>
    <row r="9" customFormat="false" ht="14.25" hidden="false" customHeight="false" outlineLevel="0" collapsed="false">
      <c r="A9" s="61" t="n">
        <v>1849</v>
      </c>
      <c r="B9" s="48" t="n">
        <v>0</v>
      </c>
      <c r="C9" s="77" t="n">
        <f aca="false">Partners!H9</f>
        <v>1</v>
      </c>
      <c r="D9" s="50"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78" t="n">
        <f aca="false">AJ8</f>
        <v>0</v>
      </c>
      <c r="AE9" s="78" t="n">
        <f aca="false">AD9+G9+T9+U9+AP9-Q9-W9-AO9</f>
        <v>0</v>
      </c>
      <c r="AF9" s="78" t="n">
        <f aca="false">MAX(0,-AE9)</f>
        <v>-0</v>
      </c>
      <c r="AG9" s="78" t="n">
        <f aca="false">Y8+V9</f>
        <v>0</v>
      </c>
      <c r="AH9" s="78" t="n">
        <f aca="false">MIN(MAX(0,AE9),AG9)</f>
        <v>0</v>
      </c>
      <c r="AI9" s="78" t="n">
        <f aca="false">AE9+AF9-AH9</f>
        <v>0</v>
      </c>
      <c r="AJ9" s="78" t="n">
        <f aca="false">AI9</f>
        <v>0</v>
      </c>
      <c r="AK9" s="78" t="n">
        <f aca="false">AK8</f>
        <v>0</v>
      </c>
      <c r="AL9" s="78" t="n">
        <f aca="false">AJ9+AK9+AN9-Z9</f>
        <v>0</v>
      </c>
      <c r="AM9" s="78" t="n">
        <f aca="false">AJ9-(AD9+G9+T9+U9+AF9+AP9-Q9-W9-AH9-AO9)</f>
        <v>0</v>
      </c>
      <c r="AN9" s="78" t="n">
        <f aca="false">0</f>
        <v>0</v>
      </c>
      <c r="AO9" s="78" t="n">
        <f aca="false">0</f>
        <v>0</v>
      </c>
      <c r="AP9" s="78" t="n">
        <f aca="false">0</f>
        <v>0</v>
      </c>
    </row>
    <row r="10" customFormat="false" ht="14.25" hidden="false" customHeight="false" outlineLevel="0" collapsed="false">
      <c r="A10" s="61" t="n">
        <v>1850</v>
      </c>
      <c r="B10" s="48" t="n">
        <v>0</v>
      </c>
      <c r="C10" s="77" t="n">
        <f aca="false">Partners!H10</f>
        <v>1</v>
      </c>
      <c r="D10" s="50"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78" t="n">
        <f aca="false">AJ9</f>
        <v>0</v>
      </c>
      <c r="AE10" s="78" t="n">
        <f aca="false">AD10+G10+T10+U10+AP10-Q10-W10-AO10</f>
        <v>0</v>
      </c>
      <c r="AF10" s="78" t="n">
        <f aca="false">MAX(0,-AE10)</f>
        <v>-0</v>
      </c>
      <c r="AG10" s="78" t="n">
        <f aca="false">Y9+V10</f>
        <v>0</v>
      </c>
      <c r="AH10" s="78" t="n">
        <f aca="false">MIN(MAX(0,AE10),AG10)</f>
        <v>0</v>
      </c>
      <c r="AI10" s="78" t="n">
        <f aca="false">AE10+AF10-AH10</f>
        <v>0</v>
      </c>
      <c r="AJ10" s="78" t="n">
        <f aca="false">AI10</f>
        <v>0</v>
      </c>
      <c r="AK10" s="78" t="n">
        <f aca="false">AK9</f>
        <v>0</v>
      </c>
      <c r="AL10" s="78" t="n">
        <f aca="false">AJ10+AK10+AN10-Z10</f>
        <v>0</v>
      </c>
      <c r="AM10" s="78" t="n">
        <f aca="false">AJ10-(AD10+G10+T10+U10+AF10+AP10-Q10-W10-AH10-AO10)</f>
        <v>0</v>
      </c>
      <c r="AN10" s="78" t="n">
        <f aca="false">0</f>
        <v>0</v>
      </c>
      <c r="AO10" s="78" t="n">
        <f aca="false">0</f>
        <v>0</v>
      </c>
      <c r="AP10" s="78" t="n">
        <f aca="false">0</f>
        <v>0</v>
      </c>
    </row>
    <row r="11" customFormat="false" ht="14.25" hidden="false" customHeight="false" outlineLevel="0" collapsed="false">
      <c r="A11" s="61" t="n">
        <v>1851</v>
      </c>
      <c r="B11" s="48" t="n">
        <v>0</v>
      </c>
      <c r="C11" s="77" t="n">
        <f aca="false">Partners!H11</f>
        <v>1</v>
      </c>
      <c r="D11" s="50"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78" t="n">
        <f aca="false">AJ10</f>
        <v>0</v>
      </c>
      <c r="AE11" s="78" t="n">
        <f aca="false">AD11+G11+T11+U11+AP11-Q11-W11-AO11</f>
        <v>0</v>
      </c>
      <c r="AF11" s="78" t="n">
        <f aca="false">MAX(0,-AE11)</f>
        <v>-0</v>
      </c>
      <c r="AG11" s="78" t="n">
        <f aca="false">Y10+V11</f>
        <v>0</v>
      </c>
      <c r="AH11" s="78" t="n">
        <f aca="false">MIN(MAX(0,AE11),AG11)</f>
        <v>0</v>
      </c>
      <c r="AI11" s="78" t="n">
        <f aca="false">AE11+AF11-AH11</f>
        <v>0</v>
      </c>
      <c r="AJ11" s="78" t="n">
        <f aca="false">AI11</f>
        <v>0</v>
      </c>
      <c r="AK11" s="78" t="n">
        <f aca="false">AK10</f>
        <v>0</v>
      </c>
      <c r="AL11" s="78" t="n">
        <f aca="false">AJ11+AK11+AN11-Z11</f>
        <v>0</v>
      </c>
      <c r="AM11" s="78" t="n">
        <f aca="false">AJ11-(AD11+G11+T11+U11+AF11+AP11-Q11-W11-AH11-AO11)</f>
        <v>0</v>
      </c>
      <c r="AN11" s="78" t="n">
        <f aca="false">0</f>
        <v>0</v>
      </c>
      <c r="AO11" s="78" t="n">
        <f aca="false">0</f>
        <v>0</v>
      </c>
      <c r="AP11" s="78" t="n">
        <f aca="false">0</f>
        <v>0</v>
      </c>
    </row>
    <row r="12" customFormat="false" ht="14.25" hidden="false" customHeight="false" outlineLevel="0" collapsed="false">
      <c r="A12" s="61" t="n">
        <v>1852</v>
      </c>
      <c r="B12" s="48" t="n">
        <v>0</v>
      </c>
      <c r="C12" s="77" t="n">
        <f aca="false">Partners!H12</f>
        <v>1</v>
      </c>
      <c r="D12" s="50"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78" t="n">
        <f aca="false">AJ11</f>
        <v>0</v>
      </c>
      <c r="AE12" s="78" t="n">
        <f aca="false">AD12+G12+T12+U12+AP12-Q12-W12-AO12</f>
        <v>0</v>
      </c>
      <c r="AF12" s="78" t="n">
        <f aca="false">MAX(0,-AE12)</f>
        <v>-0</v>
      </c>
      <c r="AG12" s="78" t="n">
        <f aca="false">Y11+V12</f>
        <v>0</v>
      </c>
      <c r="AH12" s="78" t="n">
        <f aca="false">MIN(MAX(0,AE12),AG12)</f>
        <v>0</v>
      </c>
      <c r="AI12" s="78" t="n">
        <f aca="false">AE12+AF12-AH12</f>
        <v>0</v>
      </c>
      <c r="AJ12" s="78" t="n">
        <f aca="false">AI12</f>
        <v>0</v>
      </c>
      <c r="AK12" s="78" t="n">
        <f aca="false">AK11</f>
        <v>0</v>
      </c>
      <c r="AL12" s="78" t="n">
        <f aca="false">AJ12+AK12+AN12-Z12</f>
        <v>0</v>
      </c>
      <c r="AM12" s="78" t="n">
        <f aca="false">AJ12-(AD12+G12+T12+U12+AF12+AP12-Q12-W12-AH12-AO12)</f>
        <v>0</v>
      </c>
      <c r="AN12" s="78" t="n">
        <f aca="false">0</f>
        <v>0</v>
      </c>
      <c r="AO12" s="78" t="n">
        <f aca="false">0</f>
        <v>0</v>
      </c>
      <c r="AP12" s="78" t="n">
        <f aca="false">0</f>
        <v>0</v>
      </c>
    </row>
    <row r="13" customFormat="false" ht="14.25" hidden="false" customHeight="false" outlineLevel="0" collapsed="false">
      <c r="A13" s="61" t="n">
        <v>1853</v>
      </c>
      <c r="B13" s="48" t="n">
        <v>0</v>
      </c>
      <c r="C13" s="77" t="n">
        <f aca="false">Partners!H13</f>
        <v>1</v>
      </c>
      <c r="D13" s="50"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78" t="n">
        <f aca="false">AJ12</f>
        <v>0</v>
      </c>
      <c r="AE13" s="78" t="n">
        <f aca="false">AD13+G13+T13+U13+AP13-Q13-W13-AO13</f>
        <v>0</v>
      </c>
      <c r="AF13" s="78" t="n">
        <f aca="false">MAX(0,-AE13)</f>
        <v>-0</v>
      </c>
      <c r="AG13" s="78" t="n">
        <f aca="false">Y12+V13</f>
        <v>0</v>
      </c>
      <c r="AH13" s="78" t="n">
        <f aca="false">MIN(MAX(0,AE13),AG13)</f>
        <v>0</v>
      </c>
      <c r="AI13" s="78" t="n">
        <f aca="false">AE13+AF13-AH13</f>
        <v>0</v>
      </c>
      <c r="AJ13" s="78" t="n">
        <f aca="false">AI13</f>
        <v>0</v>
      </c>
      <c r="AK13" s="78" t="n">
        <f aca="false">AK12</f>
        <v>0</v>
      </c>
      <c r="AL13" s="78" t="n">
        <f aca="false">AJ13+AK13+AN13-Z13</f>
        <v>0</v>
      </c>
      <c r="AM13" s="78" t="n">
        <f aca="false">AJ13-(AD13+G13+T13+U13+AF13+AP13-Q13-W13-AH13-AO13)</f>
        <v>0</v>
      </c>
      <c r="AN13" s="78" t="n">
        <f aca="false">0</f>
        <v>0</v>
      </c>
      <c r="AO13" s="78" t="n">
        <f aca="false">0</f>
        <v>0</v>
      </c>
      <c r="AP13" s="78" t="n">
        <f aca="false">0</f>
        <v>0</v>
      </c>
    </row>
    <row r="14" customFormat="false" ht="14.25" hidden="false" customHeight="false" outlineLevel="0" collapsed="false">
      <c r="A14" s="61" t="n">
        <v>1854</v>
      </c>
      <c r="B14" s="48" t="n">
        <v>0</v>
      </c>
      <c r="C14" s="77" t="n">
        <f aca="false">Partners!H14</f>
        <v>1</v>
      </c>
      <c r="D14" s="50"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78" t="n">
        <f aca="false">AJ13</f>
        <v>0</v>
      </c>
      <c r="AE14" s="78" t="n">
        <f aca="false">AD14+G14+T14+U14+AP14-Q14-W14-AO14</f>
        <v>0</v>
      </c>
      <c r="AF14" s="78" t="n">
        <f aca="false">MAX(0,-AE14)</f>
        <v>-0</v>
      </c>
      <c r="AG14" s="78" t="n">
        <f aca="false">Y13+V14</f>
        <v>0</v>
      </c>
      <c r="AH14" s="78" t="n">
        <f aca="false">MIN(MAX(0,AE14),AG14)</f>
        <v>0</v>
      </c>
      <c r="AI14" s="78" t="n">
        <f aca="false">AE14+AF14-AH14</f>
        <v>0</v>
      </c>
      <c r="AJ14" s="78" t="n">
        <f aca="false">AI14</f>
        <v>0</v>
      </c>
      <c r="AK14" s="78" t="n">
        <f aca="false">AK13</f>
        <v>0</v>
      </c>
      <c r="AL14" s="78" t="n">
        <f aca="false">AJ14+AK14+AN14-Z14</f>
        <v>0</v>
      </c>
      <c r="AM14" s="78" t="n">
        <f aca="false">AJ14-(AD14+G14+T14+U14+AF14+AP14-Q14-W14-AH14-AO14)</f>
        <v>0</v>
      </c>
      <c r="AN14" s="78" t="n">
        <f aca="false">0</f>
        <v>0</v>
      </c>
      <c r="AO14" s="78" t="n">
        <f aca="false">0</f>
        <v>0</v>
      </c>
      <c r="AP14" s="78" t="n">
        <f aca="false">0</f>
        <v>0</v>
      </c>
    </row>
    <row r="15" customFormat="false" ht="14.25" hidden="false" customHeight="false" outlineLevel="0" collapsed="false">
      <c r="A15" s="61" t="n">
        <v>1855</v>
      </c>
      <c r="B15" s="48" t="n">
        <v>0</v>
      </c>
      <c r="C15" s="77" t="n">
        <f aca="false">Partners!H15</f>
        <v>1</v>
      </c>
      <c r="D15" s="50"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78" t="n">
        <f aca="false">AJ14</f>
        <v>0</v>
      </c>
      <c r="AE15" s="78" t="n">
        <f aca="false">AD15+G15+T15+U15+AP15-Q15-W15-AO15</f>
        <v>0</v>
      </c>
      <c r="AF15" s="78" t="n">
        <f aca="false">MAX(0,-AE15)</f>
        <v>-0</v>
      </c>
      <c r="AG15" s="78" t="n">
        <f aca="false">Y14+V15</f>
        <v>0</v>
      </c>
      <c r="AH15" s="78" t="n">
        <f aca="false">MIN(MAX(0,AE15),AG15)</f>
        <v>0</v>
      </c>
      <c r="AI15" s="78" t="n">
        <f aca="false">AE15+AF15-AH15</f>
        <v>0</v>
      </c>
      <c r="AJ15" s="78" t="n">
        <f aca="false">AI15</f>
        <v>0</v>
      </c>
      <c r="AK15" s="78" t="n">
        <f aca="false">AK14</f>
        <v>0</v>
      </c>
      <c r="AL15" s="78" t="n">
        <f aca="false">AJ15+AK15+AN15-Z15</f>
        <v>0</v>
      </c>
      <c r="AM15" s="78" t="n">
        <f aca="false">AJ15-(AD15+G15+T15+U15+AF15+AP15-Q15-W15-AH15-AO15)</f>
        <v>0</v>
      </c>
      <c r="AN15" s="78" t="n">
        <f aca="false">0</f>
        <v>0</v>
      </c>
      <c r="AO15" s="78" t="n">
        <f aca="false">0</f>
        <v>0</v>
      </c>
      <c r="AP15" s="78" t="n">
        <f aca="false">0</f>
        <v>0</v>
      </c>
    </row>
    <row r="16" customFormat="false" ht="14.25" hidden="false" customHeight="false" outlineLevel="0" collapsed="false">
      <c r="A16" s="61" t="n">
        <v>1856</v>
      </c>
      <c r="B16" s="48" t="n">
        <v>0</v>
      </c>
      <c r="C16" s="77" t="n">
        <f aca="false">Partners!H16</f>
        <v>1</v>
      </c>
      <c r="D16" s="50"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78" t="n">
        <f aca="false">AJ15</f>
        <v>0</v>
      </c>
      <c r="AE16" s="78" t="n">
        <f aca="false">AD16+G16+T16+U16+AP16-Q16-W16-AO16</f>
        <v>0</v>
      </c>
      <c r="AF16" s="78" t="n">
        <f aca="false">MAX(0,-AE16)</f>
        <v>-0</v>
      </c>
      <c r="AG16" s="78" t="n">
        <f aca="false">Y15+V16</f>
        <v>0</v>
      </c>
      <c r="AH16" s="78" t="n">
        <f aca="false">MIN(MAX(0,AE16),AG16)</f>
        <v>0</v>
      </c>
      <c r="AI16" s="78" t="n">
        <f aca="false">AE16+AF16-AH16</f>
        <v>0</v>
      </c>
      <c r="AJ16" s="78" t="n">
        <f aca="false">AI16</f>
        <v>0</v>
      </c>
      <c r="AK16" s="78" t="n">
        <f aca="false">AK15</f>
        <v>0</v>
      </c>
      <c r="AL16" s="78" t="n">
        <f aca="false">AJ16+AK16+AN16-Z16</f>
        <v>0</v>
      </c>
      <c r="AM16" s="78" t="n">
        <f aca="false">AJ16-(AD16+G16+T16+U16+AF16+AP16-Q16-W16-AH16-AO16)</f>
        <v>0</v>
      </c>
      <c r="AN16" s="78" t="n">
        <f aca="false">0</f>
        <v>0</v>
      </c>
      <c r="AO16" s="78" t="n">
        <f aca="false">0</f>
        <v>0</v>
      </c>
      <c r="AP16" s="78" t="n">
        <f aca="false">0</f>
        <v>0</v>
      </c>
    </row>
    <row r="17" customFormat="false" ht="14.25" hidden="false" customHeight="false" outlineLevel="0" collapsed="false">
      <c r="A17" s="61" t="n">
        <v>1857</v>
      </c>
      <c r="B17" s="48" t="n">
        <v>0</v>
      </c>
      <c r="C17" s="77" t="n">
        <f aca="false">Partners!H17</f>
        <v>1</v>
      </c>
      <c r="D17" s="50"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78" t="n">
        <f aca="false">AJ16</f>
        <v>0</v>
      </c>
      <c r="AE17" s="78" t="n">
        <f aca="false">AD17+G17+T17+U17+AP17-Q17-W17-AO17</f>
        <v>0</v>
      </c>
      <c r="AF17" s="78" t="n">
        <f aca="false">MAX(0,-AE17)</f>
        <v>-0</v>
      </c>
      <c r="AG17" s="78" t="n">
        <f aca="false">Y16+V17</f>
        <v>0</v>
      </c>
      <c r="AH17" s="78" t="n">
        <f aca="false">MIN(MAX(0,AE17),AG17)</f>
        <v>0</v>
      </c>
      <c r="AI17" s="78" t="n">
        <f aca="false">AE17+AF17-AH17</f>
        <v>0</v>
      </c>
      <c r="AJ17" s="78" t="n">
        <f aca="false">AI17</f>
        <v>0</v>
      </c>
      <c r="AK17" s="78" t="n">
        <f aca="false">AK16</f>
        <v>0</v>
      </c>
      <c r="AL17" s="78" t="n">
        <f aca="false">AJ17+AK17+AN17-Z17</f>
        <v>0</v>
      </c>
      <c r="AM17" s="78" t="n">
        <f aca="false">AJ17-(AD17+G17+T17+U17+AF17+AP17-Q17-W17-AH17-AO17)</f>
        <v>0</v>
      </c>
      <c r="AN17" s="78" t="n">
        <f aca="false">0</f>
        <v>0</v>
      </c>
      <c r="AO17" s="78" t="n">
        <f aca="false">0</f>
        <v>0</v>
      </c>
      <c r="AP17" s="78" t="n">
        <f aca="false">0</f>
        <v>0</v>
      </c>
    </row>
    <row r="18" customFormat="false" ht="14.25" hidden="false" customHeight="false" outlineLevel="0" collapsed="false">
      <c r="A18" s="61" t="n">
        <v>1858</v>
      </c>
      <c r="B18" s="48" t="n">
        <v>0</v>
      </c>
      <c r="C18" s="77" t="n">
        <f aca="false">Partners!H18</f>
        <v>1</v>
      </c>
      <c r="D18" s="50"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78" t="n">
        <f aca="false">AJ17</f>
        <v>0</v>
      </c>
      <c r="AE18" s="78" t="n">
        <f aca="false">AD18+G18+T18+U18+AP18-Q18-W18-AO18</f>
        <v>0</v>
      </c>
      <c r="AF18" s="78" t="n">
        <f aca="false">MAX(0,-AE18)</f>
        <v>-0</v>
      </c>
      <c r="AG18" s="78" t="n">
        <f aca="false">Y17+V18</f>
        <v>0</v>
      </c>
      <c r="AH18" s="78" t="n">
        <f aca="false">MIN(MAX(0,AE18),AG18)</f>
        <v>0</v>
      </c>
      <c r="AI18" s="78" t="n">
        <f aca="false">AE18+AF18-AH18</f>
        <v>0</v>
      </c>
      <c r="AJ18" s="78" t="n">
        <f aca="false">AI18</f>
        <v>0</v>
      </c>
      <c r="AK18" s="78" t="n">
        <f aca="false">AK17</f>
        <v>0</v>
      </c>
      <c r="AL18" s="78" t="n">
        <f aca="false">AJ18+AK18+AN18-Z18</f>
        <v>0</v>
      </c>
      <c r="AM18" s="78" t="n">
        <f aca="false">AJ18-(AD18+G18+T18+U18+AF18+AP18-Q18-W18-AH18-AO18)</f>
        <v>0</v>
      </c>
      <c r="AN18" s="78" t="n">
        <f aca="false">0</f>
        <v>0</v>
      </c>
      <c r="AO18" s="78" t="n">
        <f aca="false">0</f>
        <v>0</v>
      </c>
      <c r="AP18" s="78" t="n">
        <f aca="false">0</f>
        <v>0</v>
      </c>
    </row>
    <row r="19" customFormat="false" ht="14.25" hidden="false" customHeight="false" outlineLevel="0" collapsed="false">
      <c r="A19" s="61" t="n">
        <v>1859</v>
      </c>
      <c r="B19" s="48" t="n">
        <v>0</v>
      </c>
      <c r="C19" s="77" t="n">
        <f aca="false">Partners!H19</f>
        <v>1</v>
      </c>
      <c r="D19" s="50"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78" t="n">
        <f aca="false">AJ18</f>
        <v>0</v>
      </c>
      <c r="AE19" s="78" t="n">
        <f aca="false">AD19+G19+T19+U19+AP19-Q19-W19-AO19</f>
        <v>0</v>
      </c>
      <c r="AF19" s="78" t="n">
        <f aca="false">MAX(0,-AE19)</f>
        <v>-0</v>
      </c>
      <c r="AG19" s="78" t="n">
        <f aca="false">Y18+V19</f>
        <v>0</v>
      </c>
      <c r="AH19" s="78" t="n">
        <f aca="false">MIN(MAX(0,AE19),AG19)</f>
        <v>0</v>
      </c>
      <c r="AI19" s="78" t="n">
        <f aca="false">AE19+AF19-AH19</f>
        <v>0</v>
      </c>
      <c r="AJ19" s="78" t="n">
        <f aca="false">AI19</f>
        <v>0</v>
      </c>
      <c r="AK19" s="78" t="n">
        <f aca="false">AK18</f>
        <v>0</v>
      </c>
      <c r="AL19" s="78" t="n">
        <f aca="false">AJ19+AK19+AN19-Z19</f>
        <v>0</v>
      </c>
      <c r="AM19" s="78" t="n">
        <f aca="false">AJ19-(AD19+G19+T19+U19+AF19+AP19-Q19-W19-AH19-AO19)</f>
        <v>0</v>
      </c>
      <c r="AN19" s="78" t="n">
        <f aca="false">0</f>
        <v>0</v>
      </c>
      <c r="AO19" s="78" t="n">
        <f aca="false">0</f>
        <v>0</v>
      </c>
      <c r="AP19" s="78" t="n">
        <f aca="false">0</f>
        <v>0</v>
      </c>
    </row>
    <row r="20" customFormat="false" ht="14.25" hidden="false" customHeight="false" outlineLevel="0" collapsed="false">
      <c r="A20" s="61" t="n">
        <v>1860</v>
      </c>
      <c r="B20" s="48" t="n">
        <v>0</v>
      </c>
      <c r="C20" s="77" t="n">
        <f aca="false">Partners!H20</f>
        <v>1</v>
      </c>
      <c r="D20" s="50"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78" t="n">
        <f aca="false">AJ19</f>
        <v>0</v>
      </c>
      <c r="AE20" s="78" t="n">
        <f aca="false">AD20+G20+T20+U20+AP20-Q20-W20-AO20</f>
        <v>0</v>
      </c>
      <c r="AF20" s="78" t="n">
        <f aca="false">MAX(0,-AE20)</f>
        <v>-0</v>
      </c>
      <c r="AG20" s="78" t="n">
        <f aca="false">Y19+V20</f>
        <v>0</v>
      </c>
      <c r="AH20" s="78" t="n">
        <f aca="false">MIN(MAX(0,AE20),AG20)</f>
        <v>0</v>
      </c>
      <c r="AI20" s="78" t="n">
        <f aca="false">AE20+AF20-AH20</f>
        <v>0</v>
      </c>
      <c r="AJ20" s="78" t="n">
        <f aca="false">AI20</f>
        <v>0</v>
      </c>
      <c r="AK20" s="78" t="n">
        <f aca="false">AK19</f>
        <v>0</v>
      </c>
      <c r="AL20" s="78" t="n">
        <f aca="false">AJ20+AK20+AN20-Z20</f>
        <v>0</v>
      </c>
      <c r="AM20" s="78" t="n">
        <f aca="false">AJ20-(AD20+G20+T20+U20+AF20+AP20-Q20-W20-AH20-AO20)</f>
        <v>0</v>
      </c>
      <c r="AN20" s="78" t="n">
        <f aca="false">0</f>
        <v>0</v>
      </c>
      <c r="AO20" s="78" t="n">
        <f aca="false">0</f>
        <v>0</v>
      </c>
      <c r="AP20" s="78" t="n">
        <f aca="false">0</f>
        <v>0</v>
      </c>
    </row>
    <row r="21" customFormat="false" ht="14.25" hidden="false" customHeight="false" outlineLevel="0" collapsed="false">
      <c r="A21" s="64" t="n">
        <v>1861</v>
      </c>
      <c r="B21" s="48" t="n">
        <v>0</v>
      </c>
      <c r="C21" s="77" t="n">
        <f aca="false">Partners!H21</f>
        <v>1</v>
      </c>
      <c r="D21" s="50"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78" t="n">
        <f aca="false">AJ20</f>
        <v>0</v>
      </c>
      <c r="AE21" s="78" t="n">
        <f aca="false">AD21+G21+T21+U21+AP21-Q21-W21-AO21</f>
        <v>0</v>
      </c>
      <c r="AF21" s="78" t="n">
        <f aca="false">MAX(0,-AE21)</f>
        <v>-0</v>
      </c>
      <c r="AG21" s="78" t="n">
        <f aca="false">Y20+V21</f>
        <v>0</v>
      </c>
      <c r="AH21" s="78" t="n">
        <f aca="false">MIN(MAX(0,AE21),AG21)</f>
        <v>0</v>
      </c>
      <c r="AI21" s="78" t="n">
        <f aca="false">AE21+AF21-AH21</f>
        <v>0</v>
      </c>
      <c r="AJ21" s="78" t="n">
        <f aca="false">AI21</f>
        <v>0</v>
      </c>
      <c r="AK21" s="78" t="n">
        <f aca="false">AK20</f>
        <v>0</v>
      </c>
      <c r="AL21" s="78" t="n">
        <f aca="false">AJ21+AK21+AN21-Z21</f>
        <v>0</v>
      </c>
      <c r="AM21" s="78" t="n">
        <f aca="false">AJ21-(AD21+G21+T21+U21+AF21+AP21-Q21-W21-AH21-AO21)</f>
        <v>0</v>
      </c>
      <c r="AN21" s="78" t="n">
        <f aca="false">0</f>
        <v>0</v>
      </c>
      <c r="AO21" s="78" t="n">
        <f aca="false">0</f>
        <v>0</v>
      </c>
      <c r="AP21" s="78" t="n">
        <f aca="false">0</f>
        <v>0</v>
      </c>
    </row>
    <row r="22" customFormat="false" ht="14.25" hidden="false" customHeight="false" outlineLevel="0" collapsed="false">
      <c r="A22" s="64" t="n">
        <v>1862</v>
      </c>
      <c r="B22" s="48" t="n">
        <v>0</v>
      </c>
      <c r="C22" s="77" t="n">
        <f aca="false">Partners!H22</f>
        <v>1</v>
      </c>
      <c r="D22" s="50"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78" t="n">
        <f aca="false">AJ21</f>
        <v>0</v>
      </c>
      <c r="AE22" s="78" t="n">
        <f aca="false">AD22+G22+T22+U22+AP22-Q22-W22-AO22</f>
        <v>0</v>
      </c>
      <c r="AF22" s="78" t="n">
        <f aca="false">MAX(0,-AE22)</f>
        <v>-0</v>
      </c>
      <c r="AG22" s="78" t="n">
        <f aca="false">Y21+V22</f>
        <v>0</v>
      </c>
      <c r="AH22" s="78" t="n">
        <f aca="false">MIN(MAX(0,AE22),AG22)</f>
        <v>0</v>
      </c>
      <c r="AI22" s="78" t="n">
        <f aca="false">AE22+AF22-AH22</f>
        <v>0</v>
      </c>
      <c r="AJ22" s="78" t="n">
        <f aca="false">AI22</f>
        <v>0</v>
      </c>
      <c r="AK22" s="78" t="n">
        <f aca="false">AK21</f>
        <v>0</v>
      </c>
      <c r="AL22" s="78" t="n">
        <f aca="false">AJ22+AK22+AN22-Z22</f>
        <v>0</v>
      </c>
      <c r="AM22" s="78" t="n">
        <f aca="false">AJ22-(AD22+G22+T22+U22+AF22+AP22-Q22-W22-AH22-AO22)</f>
        <v>0</v>
      </c>
      <c r="AN22" s="78" t="n">
        <f aca="false">0</f>
        <v>0</v>
      </c>
      <c r="AO22" s="78" t="n">
        <f aca="false">0</f>
        <v>0</v>
      </c>
      <c r="AP22" s="78" t="n">
        <f aca="false">0</f>
        <v>0</v>
      </c>
    </row>
    <row r="23" customFormat="false" ht="14.25" hidden="false" customHeight="false" outlineLevel="0" collapsed="false">
      <c r="A23" s="64" t="n">
        <v>1863</v>
      </c>
      <c r="B23" s="48" t="n">
        <v>0</v>
      </c>
      <c r="C23" s="77" t="n">
        <f aca="false">Partners!H23</f>
        <v>1</v>
      </c>
      <c r="D23" s="50"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78" t="n">
        <f aca="false">AJ22</f>
        <v>0</v>
      </c>
      <c r="AE23" s="78" t="n">
        <f aca="false">AD23+G23+T23+U23+AP23-Q23-W23-AO23</f>
        <v>0</v>
      </c>
      <c r="AF23" s="78" t="n">
        <f aca="false">MAX(0,-AE23)</f>
        <v>-0</v>
      </c>
      <c r="AG23" s="78" t="n">
        <f aca="false">Y22+V23</f>
        <v>0</v>
      </c>
      <c r="AH23" s="78" t="n">
        <f aca="false">MIN(MAX(0,AE23),AG23)</f>
        <v>0</v>
      </c>
      <c r="AI23" s="78" t="n">
        <f aca="false">AE23+AF23-AH23</f>
        <v>0</v>
      </c>
      <c r="AJ23" s="78" t="n">
        <f aca="false">AI23</f>
        <v>0</v>
      </c>
      <c r="AK23" s="78" t="n">
        <f aca="false">AK22</f>
        <v>0</v>
      </c>
      <c r="AL23" s="78" t="n">
        <f aca="false">AJ23+AK23+AN23-Z23</f>
        <v>0</v>
      </c>
      <c r="AM23" s="78" t="n">
        <f aca="false">AJ23-(AD23+G23+T23+U23+AF23+AP23-Q23-W23-AH23-AO23)</f>
        <v>0</v>
      </c>
      <c r="AN23" s="78" t="n">
        <f aca="false">0</f>
        <v>0</v>
      </c>
      <c r="AO23" s="78" t="n">
        <f aca="false">0</f>
        <v>0</v>
      </c>
      <c r="AP23" s="78" t="n">
        <f aca="false">0</f>
        <v>0</v>
      </c>
    </row>
    <row r="24" customFormat="false" ht="14.25" hidden="false" customHeight="false" outlineLevel="0" collapsed="false">
      <c r="A24" s="64" t="n">
        <v>1864</v>
      </c>
      <c r="B24" s="48" t="n">
        <v>0</v>
      </c>
      <c r="C24" s="77" t="n">
        <f aca="false">Partners!H24</f>
        <v>1</v>
      </c>
      <c r="D24" s="50"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78" t="n">
        <f aca="false">AJ23</f>
        <v>0</v>
      </c>
      <c r="AE24" s="78" t="n">
        <f aca="false">AD24+G24+T24+U24+AP24-Q24-W24-AO24</f>
        <v>0</v>
      </c>
      <c r="AF24" s="78" t="n">
        <f aca="false">MAX(0,-AE24)</f>
        <v>-0</v>
      </c>
      <c r="AG24" s="78" t="n">
        <f aca="false">Y23+V24</f>
        <v>0</v>
      </c>
      <c r="AH24" s="78" t="n">
        <f aca="false">MIN(MAX(0,AE24),AG24)</f>
        <v>0</v>
      </c>
      <c r="AI24" s="78" t="n">
        <f aca="false">AE24+AF24-AH24</f>
        <v>0</v>
      </c>
      <c r="AJ24" s="78" t="n">
        <f aca="false">AI24</f>
        <v>0</v>
      </c>
      <c r="AK24" s="78" t="n">
        <f aca="false">AK23</f>
        <v>0</v>
      </c>
      <c r="AL24" s="78" t="n">
        <f aca="false">AJ24+AK24+AN24-Z24</f>
        <v>0</v>
      </c>
      <c r="AM24" s="78" t="n">
        <f aca="false">AJ24-(AD24+G24+T24+U24+AF24+AP24-Q24-W24-AH24-AO24)</f>
        <v>0</v>
      </c>
      <c r="AN24" s="78" t="n">
        <f aca="false">0</f>
        <v>0</v>
      </c>
      <c r="AO24" s="78" t="n">
        <f aca="false">0</f>
        <v>0</v>
      </c>
      <c r="AP24" s="78" t="n">
        <f aca="false">0</f>
        <v>0</v>
      </c>
    </row>
    <row r="25" customFormat="false" ht="14.25" hidden="false" customHeight="false" outlineLevel="0" collapsed="false">
      <c r="A25" s="64" t="n">
        <v>1865</v>
      </c>
      <c r="B25" s="48" t="n">
        <v>0</v>
      </c>
      <c r="C25" s="77" t="n">
        <f aca="false">Partners!H25</f>
        <v>1</v>
      </c>
      <c r="D25" s="50"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78" t="n">
        <f aca="false">AJ24</f>
        <v>0</v>
      </c>
      <c r="AE25" s="78" t="n">
        <f aca="false">AD25+G25+T25+U25+AP25-Q25-W25-AO25</f>
        <v>0</v>
      </c>
      <c r="AF25" s="78" t="n">
        <f aca="false">MAX(0,-AE25)</f>
        <v>-0</v>
      </c>
      <c r="AG25" s="78" t="n">
        <f aca="false">Y24+V25</f>
        <v>0</v>
      </c>
      <c r="AH25" s="78" t="n">
        <f aca="false">MIN(MAX(0,AE25),AG25)</f>
        <v>0</v>
      </c>
      <c r="AI25" s="78" t="n">
        <f aca="false">AE25+AF25-AH25</f>
        <v>0</v>
      </c>
      <c r="AJ25" s="78" t="n">
        <f aca="false">AI25</f>
        <v>0</v>
      </c>
      <c r="AK25" s="78" t="n">
        <f aca="false">AK24</f>
        <v>0</v>
      </c>
      <c r="AL25" s="78" t="n">
        <f aca="false">AJ25+AK25+AN25-Z25</f>
        <v>0</v>
      </c>
      <c r="AM25" s="78" t="n">
        <f aca="false">AJ25-(AD25+G25+T25+U25+AF25+AP25-Q25-W25-AH25-AO25)</f>
        <v>0</v>
      </c>
      <c r="AN25" s="78" t="n">
        <f aca="false">0</f>
        <v>0</v>
      </c>
      <c r="AO25" s="78" t="n">
        <f aca="false">0</f>
        <v>0</v>
      </c>
      <c r="AP25" s="78" t="n">
        <f aca="false">0</f>
        <v>0</v>
      </c>
    </row>
    <row r="26" customFormat="false" ht="14.25" hidden="false" customHeight="false" outlineLevel="0" collapsed="false">
      <c r="A26" s="61" t="n">
        <v>1866</v>
      </c>
      <c r="B26" s="48" t="n">
        <v>0</v>
      </c>
      <c r="C26" s="77" t="n">
        <f aca="false">Partners!H26</f>
        <v>1</v>
      </c>
      <c r="D26" s="50"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78" t="n">
        <f aca="false">AJ25</f>
        <v>0</v>
      </c>
      <c r="AE26" s="78" t="n">
        <f aca="false">AD26+G26+T26+U26+AP26-Q26-W26-AO26</f>
        <v>0</v>
      </c>
      <c r="AF26" s="78" t="n">
        <f aca="false">MAX(0,-AE26)</f>
        <v>-0</v>
      </c>
      <c r="AG26" s="78" t="n">
        <f aca="false">Y25+V26</f>
        <v>0</v>
      </c>
      <c r="AH26" s="78" t="n">
        <f aca="false">MIN(MAX(0,AE26),AG26)</f>
        <v>0</v>
      </c>
      <c r="AI26" s="78" t="n">
        <f aca="false">AE26+AF26-AH26</f>
        <v>0</v>
      </c>
      <c r="AJ26" s="78" t="n">
        <f aca="false">AI26</f>
        <v>0</v>
      </c>
      <c r="AK26" s="78" t="n">
        <f aca="false">AK25</f>
        <v>0</v>
      </c>
      <c r="AL26" s="78" t="n">
        <f aca="false">AJ26+AK26+AN26-Z26</f>
        <v>0</v>
      </c>
      <c r="AM26" s="78" t="n">
        <f aca="false">AJ26-(AD26+G26+T26+U26+AF26+AP26-Q26-W26-AH26-AO26)</f>
        <v>0</v>
      </c>
      <c r="AN26" s="78" t="n">
        <f aca="false">0</f>
        <v>0</v>
      </c>
      <c r="AO26" s="78" t="n">
        <f aca="false">0</f>
        <v>0</v>
      </c>
      <c r="AP26" s="78" t="n">
        <f aca="false">0</f>
        <v>0</v>
      </c>
    </row>
    <row r="27" customFormat="false" ht="14.25" hidden="false" customHeight="false" outlineLevel="0" collapsed="false">
      <c r="A27" s="61" t="n">
        <v>1867</v>
      </c>
      <c r="B27" s="48" t="n">
        <v>0</v>
      </c>
      <c r="C27" s="77" t="n">
        <f aca="false">Partners!H27</f>
        <v>1</v>
      </c>
      <c r="D27" s="50"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78" t="n">
        <f aca="false">AJ26</f>
        <v>0</v>
      </c>
      <c r="AE27" s="78" t="n">
        <f aca="false">AD27+G27+T27+U27+AP27-Q27-W27-AO27</f>
        <v>0</v>
      </c>
      <c r="AF27" s="78" t="n">
        <f aca="false">MAX(0,-AE27)</f>
        <v>-0</v>
      </c>
      <c r="AG27" s="78" t="n">
        <f aca="false">Y26+V27</f>
        <v>0</v>
      </c>
      <c r="AH27" s="78" t="n">
        <f aca="false">MIN(MAX(0,AE27),AG27)</f>
        <v>0</v>
      </c>
      <c r="AI27" s="78" t="n">
        <f aca="false">AE27+AF27-AH27</f>
        <v>0</v>
      </c>
      <c r="AJ27" s="78" t="n">
        <f aca="false">AI27</f>
        <v>0</v>
      </c>
      <c r="AK27" s="78" t="n">
        <f aca="false">AK26</f>
        <v>0</v>
      </c>
      <c r="AL27" s="78" t="n">
        <f aca="false">AJ27+AK27+AN27-Z27</f>
        <v>0</v>
      </c>
      <c r="AM27" s="78" t="n">
        <f aca="false">AJ27-(AD27+G27+T27+U27+AF27+AP27-Q27-W27-AH27-AO27)</f>
        <v>0</v>
      </c>
      <c r="AN27" s="78" t="n">
        <f aca="false">0</f>
        <v>0</v>
      </c>
      <c r="AO27" s="78" t="n">
        <f aca="false">0</f>
        <v>0</v>
      </c>
      <c r="AP27" s="78" t="n">
        <f aca="false">0</f>
        <v>0</v>
      </c>
    </row>
    <row r="28" customFormat="false" ht="14.25" hidden="false" customHeight="false" outlineLevel="0" collapsed="false">
      <c r="A28" s="61" t="n">
        <v>1868</v>
      </c>
      <c r="B28" s="48" t="n">
        <v>450</v>
      </c>
      <c r="C28" s="77" t="n">
        <f aca="false">Partners!H28</f>
        <v>1</v>
      </c>
      <c r="D28" s="50"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78" t="n">
        <f aca="false">AJ27</f>
        <v>0</v>
      </c>
      <c r="AE28" s="78" t="n">
        <f aca="false">AD28+G28+T28+U28+AP28-Q28-W28-AO28</f>
        <v>0</v>
      </c>
      <c r="AF28" s="78" t="n">
        <f aca="false">MAX(0,-AE28)</f>
        <v>-0</v>
      </c>
      <c r="AG28" s="78" t="n">
        <f aca="false">Y27+V28</f>
        <v>0</v>
      </c>
      <c r="AH28" s="78" t="n">
        <f aca="false">MIN(MAX(0,AE28),AG28)</f>
        <v>0</v>
      </c>
      <c r="AI28" s="78" t="n">
        <f aca="false">AE28+AF28-AH28</f>
        <v>0</v>
      </c>
      <c r="AJ28" s="78" t="n">
        <f aca="false">AI28</f>
        <v>0</v>
      </c>
      <c r="AK28" s="78" t="n">
        <f aca="false">AK27</f>
        <v>0</v>
      </c>
      <c r="AL28" s="78" t="n">
        <f aca="false">AJ28+AK28+AN28-Z28</f>
        <v>0</v>
      </c>
      <c r="AM28" s="78" t="n">
        <f aca="false">AJ28-(AD28+G28+T28+U28+AF28+AP28-Q28-W28-AH28-AO28)</f>
        <v>0</v>
      </c>
      <c r="AN28" s="78" t="n">
        <f aca="false">0</f>
        <v>0</v>
      </c>
      <c r="AO28" s="78" t="n">
        <f aca="false">0</f>
        <v>0</v>
      </c>
      <c r="AP28" s="78" t="n">
        <f aca="false">0</f>
        <v>0</v>
      </c>
    </row>
    <row r="29" customFormat="false" ht="14.25" hidden="false" customHeight="false" outlineLevel="0" collapsed="false">
      <c r="A29" s="61" t="n">
        <v>1869</v>
      </c>
      <c r="B29" s="48" t="n">
        <v>457</v>
      </c>
      <c r="C29" s="77" t="n">
        <f aca="false">Partners!H29</f>
        <v>1.00951365921613</v>
      </c>
      <c r="D29" s="50" t="n">
        <f aca="false">Partners!I29</f>
        <v>461.347742261773</v>
      </c>
      <c r="E29" s="62" t="n">
        <v>0.07</v>
      </c>
      <c r="F29" s="62" t="n">
        <v>0.066</v>
      </c>
      <c r="G29" s="56" t="n">
        <f aca="false">D29*E29</f>
        <v>32.2943419583241</v>
      </c>
      <c r="H29" s="56" t="n">
        <f aca="false">D29*F29</f>
        <v>30.448950989277</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30.448950989277</v>
      </c>
      <c r="R29" s="56" t="n">
        <f aca="false">Q29-G29</f>
        <v>-1.84539096904709</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78" t="n">
        <f aca="false">AJ28</f>
        <v>0</v>
      </c>
      <c r="AE29" s="78" t="n">
        <f aca="false">AD29+G29+T29+U29+AP29-Q29-W29-AO29</f>
        <v>1.84539096904709</v>
      </c>
      <c r="AF29" s="78" t="n">
        <f aca="false">MAX(0,-AE29)</f>
        <v>0</v>
      </c>
      <c r="AG29" s="78" t="n">
        <f aca="false">Y28+V29</f>
        <v>0</v>
      </c>
      <c r="AH29" s="78" t="n">
        <f aca="false">MIN(MAX(0,AE29),AG29)</f>
        <v>0</v>
      </c>
      <c r="AI29" s="78" t="n">
        <f aca="false">AE29+AF29-AH29</f>
        <v>1.84539096904709</v>
      </c>
      <c r="AJ29" s="78" t="n">
        <f aca="false">AI29</f>
        <v>1.84539096904709</v>
      </c>
      <c r="AK29" s="78" t="n">
        <f aca="false">AK28</f>
        <v>0</v>
      </c>
      <c r="AL29" s="78" t="n">
        <f aca="false">AJ29+AK29+AN29-Z29</f>
        <v>1.84539096904709</v>
      </c>
      <c r="AM29" s="78" t="n">
        <f aca="false">AJ29-(AD29+G29+T29+U29+AF29+AP29-Q29-W29-AH29-AO29)</f>
        <v>0</v>
      </c>
      <c r="AN29" s="78" t="n">
        <f aca="false">0</f>
        <v>0</v>
      </c>
      <c r="AO29" s="78" t="n">
        <f aca="false">0</f>
        <v>0</v>
      </c>
      <c r="AP29" s="78" t="n">
        <f aca="false">0</f>
        <v>0</v>
      </c>
    </row>
    <row r="30" customFormat="false" ht="14.25" hidden="false" customHeight="false" outlineLevel="0" collapsed="false">
      <c r="A30" s="64" t="n">
        <v>1870</v>
      </c>
      <c r="B30" s="48" t="n">
        <v>464</v>
      </c>
      <c r="C30" s="77" t="n">
        <f aca="false">Partners!H30</f>
        <v>1.01939924624056</v>
      </c>
      <c r="D30" s="50" t="n">
        <f aca="false">Partners!I30</f>
        <v>473.001250255619</v>
      </c>
      <c r="E30" s="62" t="n">
        <v>0.08</v>
      </c>
      <c r="F30" s="62" t="n">
        <v>0.072</v>
      </c>
      <c r="G30" s="56" t="n">
        <f aca="false">D30*E30</f>
        <v>37.8401000204495</v>
      </c>
      <c r="H30" s="56" t="n">
        <f aca="false">D30*F30</f>
        <v>34.0560900184046</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36.0560900184046</v>
      </c>
      <c r="R30" s="56" t="n">
        <f aca="false">Q30-G30</f>
        <v>-1.78401000204495</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0.0105707965830913</v>
      </c>
      <c r="AB30" s="66" t="n">
        <f aca="false">IF(G30&gt;0,P30/G30,0)</f>
        <v>0</v>
      </c>
      <c r="AC30" s="66" t="n">
        <f aca="false">IF(T30+AF30&gt;0,T30/(T30+AF30),0)</f>
        <v>1</v>
      </c>
      <c r="AD30" s="78" t="n">
        <f aca="false">AJ29</f>
        <v>1.84539096904709</v>
      </c>
      <c r="AE30" s="78" t="n">
        <f aca="false">AD30+G30+T30+U30+AP30-Q30-W30-AO30</f>
        <v>8.62940097109204</v>
      </c>
      <c r="AF30" s="78" t="n">
        <f aca="false">MAX(0,-AE30)</f>
        <v>0</v>
      </c>
      <c r="AG30" s="78" t="n">
        <f aca="false">Y29+V30</f>
        <v>0</v>
      </c>
      <c r="AH30" s="78" t="n">
        <f aca="false">MIN(MAX(0,AE30),AG30)</f>
        <v>0</v>
      </c>
      <c r="AI30" s="78" t="n">
        <f aca="false">AE30+AF30-AH30</f>
        <v>8.62940097109204</v>
      </c>
      <c r="AJ30" s="78" t="n">
        <f aca="false">AI30</f>
        <v>8.62940097109204</v>
      </c>
      <c r="AK30" s="78" t="n">
        <f aca="false">AK29</f>
        <v>0</v>
      </c>
      <c r="AL30" s="78" t="n">
        <f aca="false">AJ30+AK30+AN30-Z30</f>
        <v>3.62940097109204</v>
      </c>
      <c r="AM30" s="78" t="n">
        <f aca="false">AJ30-(AD30+G30+T30+U30+AF30+AP30-Q30-W30-AH30-AO30)</f>
        <v>0</v>
      </c>
      <c r="AN30" s="78" t="n">
        <f aca="false">0</f>
        <v>0</v>
      </c>
      <c r="AO30" s="78" t="n">
        <f aca="false">0</f>
        <v>0</v>
      </c>
      <c r="AP30" s="78" t="n">
        <f aca="false">0</f>
        <v>0</v>
      </c>
    </row>
    <row r="31" customFormat="false" ht="14.25" hidden="false" customHeight="false" outlineLevel="0" collapsed="false">
      <c r="A31" s="64" t="n">
        <v>1871</v>
      </c>
      <c r="B31" s="48" t="n">
        <v>471</v>
      </c>
      <c r="C31" s="77" t="n">
        <f aca="false">Partners!H31</f>
        <v>1.02965216393817</v>
      </c>
      <c r="D31" s="50" t="n">
        <f aca="false">Partners!I31</f>
        <v>484.966169214876</v>
      </c>
      <c r="E31" s="62" t="n">
        <v>0.09</v>
      </c>
      <c r="F31" s="62" t="n">
        <v>0.078</v>
      </c>
      <c r="G31" s="56" t="n">
        <f aca="false">D31*E31</f>
        <v>43.6469552293388</v>
      </c>
      <c r="H31" s="56" t="n">
        <f aca="false">D31*F31</f>
        <v>37.8273611987603</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40.2773611987603</v>
      </c>
      <c r="R31" s="56" t="n">
        <f aca="false">Q31-G31</f>
        <v>-3.3695940305785</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0.0100006975906212</v>
      </c>
      <c r="AB31" s="66" t="n">
        <f aca="false">IF(G31&gt;0,P31/G31,0)</f>
        <v>0.00572777639783574</v>
      </c>
      <c r="AC31" s="66" t="n">
        <f aca="false">IF(T31+AF31&gt;0,T31/(T31+AF31),0)</f>
        <v>0</v>
      </c>
      <c r="AD31" s="78" t="n">
        <f aca="false">AJ30</f>
        <v>8.62940097109204</v>
      </c>
      <c r="AE31" s="78" t="n">
        <f aca="false">AD31+G31+T31+U31+AP31-Q31-W31-AO31</f>
        <v>11.8489950016705</v>
      </c>
      <c r="AF31" s="78" t="n">
        <f aca="false">MAX(0,-AE31)</f>
        <v>0</v>
      </c>
      <c r="AG31" s="78" t="n">
        <f aca="false">Y30+V31</f>
        <v>0</v>
      </c>
      <c r="AH31" s="78" t="n">
        <f aca="false">MIN(MAX(0,AE31),AG31)</f>
        <v>0</v>
      </c>
      <c r="AI31" s="78" t="n">
        <f aca="false">AE31+AF31-AH31</f>
        <v>11.8489950016705</v>
      </c>
      <c r="AJ31" s="78" t="n">
        <f aca="false">AI31</f>
        <v>11.8489950016705</v>
      </c>
      <c r="AK31" s="78" t="n">
        <f aca="false">AK30</f>
        <v>0</v>
      </c>
      <c r="AL31" s="78" t="n">
        <f aca="false">AJ31+AK31+AN31-Z31</f>
        <v>6.99899500167054</v>
      </c>
      <c r="AM31" s="78" t="n">
        <f aca="false">AJ31-(AD31+G31+T31+U31+AF31+AP31-Q31-W31-AH31-AO31)</f>
        <v>0</v>
      </c>
      <c r="AN31" s="78" t="n">
        <f aca="false">0</f>
        <v>0</v>
      </c>
      <c r="AO31" s="78" t="n">
        <f aca="false">0</f>
        <v>0</v>
      </c>
      <c r="AP31" s="78" t="n">
        <f aca="false">0</f>
        <v>0</v>
      </c>
    </row>
    <row r="32" customFormat="false" ht="14.25" hidden="false" customHeight="false" outlineLevel="0" collapsed="false">
      <c r="A32" s="61" t="n">
        <v>1872</v>
      </c>
      <c r="B32" s="48" t="n">
        <v>479</v>
      </c>
      <c r="C32" s="77" t="n">
        <f aca="false">Partners!H32</f>
        <v>1.04022019509952</v>
      </c>
      <c r="D32" s="50" t="n">
        <f aca="false">Partners!I32</f>
        <v>498.265473452671</v>
      </c>
      <c r="E32" s="62" t="n">
        <v>0.1</v>
      </c>
      <c r="F32" s="62" t="n">
        <v>0.084</v>
      </c>
      <c r="G32" s="56" t="n">
        <f aca="false">D32*E32</f>
        <v>49.8265473452671</v>
      </c>
      <c r="H32" s="56" t="n">
        <f aca="false">D32*F32</f>
        <v>41.8542997700244</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44.4967997700244</v>
      </c>
      <c r="R32" s="56" t="n">
        <f aca="false">Q32-G32</f>
        <v>-5.32974757524274</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0.00944175394574448</v>
      </c>
      <c r="AB32" s="66" t="n">
        <f aca="false">IF(G32&gt;0,P32/G32,0)</f>
        <v>0.00486688347718788</v>
      </c>
      <c r="AC32" s="66" t="n">
        <f aca="false">IF(T32+AF32&gt;0,T32/(T32+AF32),0)</f>
        <v>0</v>
      </c>
      <c r="AD32" s="78" t="n">
        <f aca="false">AJ31</f>
        <v>11.8489950016705</v>
      </c>
      <c r="AE32" s="78" t="n">
        <f aca="false">AD32+G32+T32+U32+AP32-Q32-W32-AO32</f>
        <v>17.0332425769133</v>
      </c>
      <c r="AF32" s="78" t="n">
        <f aca="false">MAX(0,-AE32)</f>
        <v>0</v>
      </c>
      <c r="AG32" s="78" t="n">
        <f aca="false">Y31+V32</f>
        <v>0</v>
      </c>
      <c r="AH32" s="78" t="n">
        <f aca="false">MIN(MAX(0,AE32),AG32)</f>
        <v>0</v>
      </c>
      <c r="AI32" s="78" t="n">
        <f aca="false">AE32+AF32-AH32</f>
        <v>17.0332425769133</v>
      </c>
      <c r="AJ32" s="78" t="n">
        <f aca="false">AI32</f>
        <v>17.0332425769133</v>
      </c>
      <c r="AK32" s="78" t="n">
        <f aca="false">AK31</f>
        <v>0</v>
      </c>
      <c r="AL32" s="78" t="n">
        <f aca="false">AJ32+AK32+AN32-Z32</f>
        <v>12.3287425769133</v>
      </c>
      <c r="AM32" s="78" t="n">
        <f aca="false">AJ32-(AD32+G32+T32+U32+AF32+AP32-Q32-W32-AH32-AO32)</f>
        <v>0</v>
      </c>
      <c r="AN32" s="78" t="n">
        <f aca="false">0</f>
        <v>0</v>
      </c>
      <c r="AO32" s="78" t="n">
        <f aca="false">0</f>
        <v>0</v>
      </c>
      <c r="AP32" s="78" t="n">
        <f aca="false">0</f>
        <v>0</v>
      </c>
    </row>
    <row r="33" customFormat="false" ht="14.25" hidden="false" customHeight="false" outlineLevel="0" collapsed="false">
      <c r="A33" s="61" t="n">
        <v>1873</v>
      </c>
      <c r="B33" s="48" t="n">
        <v>486</v>
      </c>
      <c r="C33" s="77" t="n">
        <f aca="false">Partners!H33</f>
        <v>1.05113255748725</v>
      </c>
      <c r="D33" s="50" t="n">
        <f aca="false">Partners!I33</f>
        <v>510.850422938803</v>
      </c>
      <c r="E33" s="62" t="n">
        <v>0.11</v>
      </c>
      <c r="F33" s="62" t="n">
        <v>0.09</v>
      </c>
      <c r="G33" s="56" t="n">
        <f aca="false">D33*E33</f>
        <v>56.1935465232683</v>
      </c>
      <c r="H33" s="56" t="n">
        <f aca="false">D33*F33</f>
        <v>45.9765380644923</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48.8117630644923</v>
      </c>
      <c r="R33" s="56" t="n">
        <f aca="false">Q33-G33</f>
        <v>-7.38178345877606</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0.00893287897022386</v>
      </c>
      <c r="AB33" s="66" t="n">
        <f aca="false">IF(G33&gt;0,P33/G33,0)</f>
        <v>0.00418597889888653</v>
      </c>
      <c r="AC33" s="66" t="n">
        <f aca="false">IF(T33+AF33&gt;0,T33/(T33+AF33),0)</f>
        <v>0</v>
      </c>
      <c r="AD33" s="78" t="n">
        <f aca="false">AJ32</f>
        <v>17.0332425769133</v>
      </c>
      <c r="AE33" s="78" t="n">
        <f aca="false">AD33+G33+T33+U33+AP33-Q33-W33-AO33</f>
        <v>24.2738910356893</v>
      </c>
      <c r="AF33" s="78" t="n">
        <f aca="false">MAX(0,-AE33)</f>
        <v>0</v>
      </c>
      <c r="AG33" s="78" t="n">
        <f aca="false">Y32+V33</f>
        <v>0</v>
      </c>
      <c r="AH33" s="78" t="n">
        <f aca="false">MIN(MAX(0,AE33),AG33)</f>
        <v>0</v>
      </c>
      <c r="AI33" s="78" t="n">
        <f aca="false">AE33+AF33-AH33</f>
        <v>24.2738910356893</v>
      </c>
      <c r="AJ33" s="78" t="n">
        <f aca="false">AI33</f>
        <v>24.2738910356893</v>
      </c>
      <c r="AK33" s="78" t="n">
        <f aca="false">AK32</f>
        <v>0</v>
      </c>
      <c r="AL33" s="78" t="n">
        <f aca="false">AJ33+AK33+AN33-Z33</f>
        <v>19.7105260356893</v>
      </c>
      <c r="AM33" s="78" t="n">
        <f aca="false">AJ33-(AD33+G33+T33+U33+AF33+AP33-Q33-W33-AH33-AO33)</f>
        <v>0</v>
      </c>
      <c r="AN33" s="78" t="n">
        <f aca="false">0</f>
        <v>0</v>
      </c>
      <c r="AO33" s="78" t="n">
        <f aca="false">0</f>
        <v>0</v>
      </c>
      <c r="AP33" s="78" t="n">
        <f aca="false">0</f>
        <v>0</v>
      </c>
    </row>
    <row r="34" customFormat="false" ht="14.25" hidden="false" customHeight="false" outlineLevel="0" collapsed="false">
      <c r="A34" s="61" t="n">
        <v>1874</v>
      </c>
      <c r="B34" s="48" t="n">
        <v>493</v>
      </c>
      <c r="C34" s="77" t="n">
        <f aca="false">Partners!H34</f>
        <v>1.06232093382982</v>
      </c>
      <c r="D34" s="50" t="n">
        <f aca="false">Partners!I34</f>
        <v>523.724220378099</v>
      </c>
      <c r="E34" s="62" t="n">
        <v>0.11</v>
      </c>
      <c r="F34" s="62" t="n">
        <v>0.09</v>
      </c>
      <c r="G34" s="56" t="n">
        <f aca="false">D34*E34</f>
        <v>57.6096642415909</v>
      </c>
      <c r="H34" s="56" t="n">
        <f aca="false">D34*F34</f>
        <v>47.1351798340289</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50.1633480840289</v>
      </c>
      <c r="R34" s="56" t="n">
        <f aca="false">Q34-G34</f>
        <v>-7.44631615756199</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0.00845189868592357</v>
      </c>
      <c r="AB34" s="66" t="n">
        <f aca="false">IF(G34&gt;0,P34/G34,0)</f>
        <v>0.00396058982470645</v>
      </c>
      <c r="AC34" s="66" t="n">
        <f aca="false">IF(T34+AF34&gt;0,T34/(T34+AF34),0)</f>
        <v>0</v>
      </c>
      <c r="AD34" s="78" t="n">
        <f aca="false">AJ33</f>
        <v>24.2738910356893</v>
      </c>
      <c r="AE34" s="78" t="n">
        <f aca="false">AD34+G34+T34+U34+AP34-Q34-W34-AO34</f>
        <v>31.5833062432513</v>
      </c>
      <c r="AF34" s="78" t="n">
        <f aca="false">MAX(0,-AE34)</f>
        <v>0</v>
      </c>
      <c r="AG34" s="78" t="n">
        <f aca="false">Y33+V34</f>
        <v>0</v>
      </c>
      <c r="AH34" s="78" t="n">
        <f aca="false">MIN(MAX(0,AE34),AG34)</f>
        <v>0</v>
      </c>
      <c r="AI34" s="78" t="n">
        <f aca="false">AE34+AF34-AH34</f>
        <v>31.5833062432513</v>
      </c>
      <c r="AJ34" s="78" t="n">
        <f aca="false">AI34</f>
        <v>31.5833062432513</v>
      </c>
      <c r="AK34" s="78" t="n">
        <f aca="false">AK33</f>
        <v>0</v>
      </c>
      <c r="AL34" s="78" t="n">
        <f aca="false">AJ34+AK34+AN34-Z34</f>
        <v>27.1568421932513</v>
      </c>
      <c r="AM34" s="78" t="n">
        <f aca="false">AJ34-(AD34+G34+T34+U34+AF34+AP34-Q34-W34-AH34-AO34)</f>
        <v>0</v>
      </c>
      <c r="AN34" s="78" t="n">
        <f aca="false">0</f>
        <v>0</v>
      </c>
      <c r="AO34" s="78" t="n">
        <f aca="false">0</f>
        <v>0</v>
      </c>
      <c r="AP34" s="78" t="n">
        <f aca="false">0</f>
        <v>0</v>
      </c>
    </row>
    <row r="35" customFormat="false" ht="14.25" hidden="false" customHeight="false" outlineLevel="0" collapsed="false">
      <c r="A35" s="61" t="n">
        <v>1875</v>
      </c>
      <c r="B35" s="48" t="n">
        <v>500</v>
      </c>
      <c r="C35" s="77" t="n">
        <f aca="false">Partners!H35</f>
        <v>1.0737983055403</v>
      </c>
      <c r="D35" s="50" t="n">
        <f aca="false">Partners!I35</f>
        <v>536.89915277015</v>
      </c>
      <c r="E35" s="62" t="n">
        <v>0.11</v>
      </c>
      <c r="F35" s="62" t="n">
        <v>0.09</v>
      </c>
      <c r="G35" s="56" t="n">
        <f aca="false">D35*E35</f>
        <v>59.0589068047165</v>
      </c>
      <c r="H35" s="56" t="n">
        <f aca="false">D35*F35</f>
        <v>48.3209237493135</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51.5422469518135</v>
      </c>
      <c r="R35" s="56" t="n">
        <f aca="false">Q35-G35</f>
        <v>-7.516659852903</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0.00799716316620478</v>
      </c>
      <c r="AB35" s="66" t="n">
        <f aca="false">IF(G35&gt;0,P35/G35,0)</f>
        <v>0.00374749914067703</v>
      </c>
      <c r="AC35" s="66" t="n">
        <f aca="false">IF(T35+AF35&gt;0,T35/(T35+AF35),0)</f>
        <v>0</v>
      </c>
      <c r="AD35" s="78" t="n">
        <f aca="false">AJ34</f>
        <v>31.5833062432513</v>
      </c>
      <c r="AE35" s="78" t="n">
        <f aca="false">AD35+G35+T35+U35+AP35-Q35-W35-AO35</f>
        <v>38.9671721746543</v>
      </c>
      <c r="AF35" s="78" t="n">
        <f aca="false">MAX(0,-AE35)</f>
        <v>0</v>
      </c>
      <c r="AG35" s="78" t="n">
        <f aca="false">Y34+V35</f>
        <v>0</v>
      </c>
      <c r="AH35" s="78" t="n">
        <f aca="false">MIN(MAX(0,AE35),AG35)</f>
        <v>0</v>
      </c>
      <c r="AI35" s="78" t="n">
        <f aca="false">AE35+AF35-AH35</f>
        <v>38.9671721746543</v>
      </c>
      <c r="AJ35" s="78" t="n">
        <f aca="false">AI35</f>
        <v>38.9671721746543</v>
      </c>
      <c r="AK35" s="78" t="n">
        <f aca="false">AK34</f>
        <v>0</v>
      </c>
      <c r="AL35" s="78" t="n">
        <f aca="false">AJ35+AK35+AN35-Z35</f>
        <v>34.6735020461543</v>
      </c>
      <c r="AM35" s="78" t="n">
        <f aca="false">AJ35-(AD35+G35+T35+U35+AF35+AP35-Q35-W35-AH35-AO35)</f>
        <v>0</v>
      </c>
      <c r="AN35" s="78" t="n">
        <f aca="false">0</f>
        <v>0</v>
      </c>
      <c r="AO35" s="78" t="n">
        <f aca="false">0</f>
        <v>0</v>
      </c>
      <c r="AP35" s="78" t="n">
        <f aca="false">0</f>
        <v>0</v>
      </c>
    </row>
    <row r="36" customFormat="false" ht="14.25" hidden="false" customHeight="false" outlineLevel="0" collapsed="false">
      <c r="A36" s="61" t="n">
        <v>1876</v>
      </c>
      <c r="B36" s="48" t="n">
        <v>520</v>
      </c>
      <c r="C36" s="77" t="n">
        <f aca="false">Partners!H36</f>
        <v>1.08567376939831</v>
      </c>
      <c r="D36" s="50" t="n">
        <f aca="false">Partners!I36</f>
        <v>564.550360087123</v>
      </c>
      <c r="E36" s="62" t="n">
        <v>0.11</v>
      </c>
      <c r="F36" s="62" t="n">
        <v>0.09</v>
      </c>
      <c r="G36" s="56" t="n">
        <f aca="false">D36*E36</f>
        <v>62.1005396095835</v>
      </c>
      <c r="H36" s="56" t="n">
        <f aca="false">D36*F36</f>
        <v>50.809532407841</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54.224215914266</v>
      </c>
      <c r="R36" s="56" t="n">
        <f aca="false">Q36-G36</f>
        <v>-7.87632369531746</v>
      </c>
      <c r="S36" s="55" t="n">
        <v>0</v>
      </c>
      <c r="T36" s="56" t="n">
        <f aca="false">S36*IF($A36&gt;=1923,C36,1)</f>
        <v>0</v>
      </c>
      <c r="U36" s="55" t="n">
        <v>0</v>
      </c>
      <c r="V36" s="55" t="n">
        <v>170</v>
      </c>
      <c r="W36" s="56" t="n">
        <f aca="false">(X35-0)*jp_foreign_repay+0</f>
        <v>0.128810103855</v>
      </c>
      <c r="X36" s="56" t="n">
        <f aca="false">X35+T36-W36</f>
        <v>4.164860024645</v>
      </c>
      <c r="Y36" s="56" t="n">
        <f aca="false">AG36+AF36-AH36</f>
        <v>123.285314233883</v>
      </c>
      <c r="Z36" s="56" t="n">
        <f aca="false">X36+Y36</f>
        <v>127.450174258528</v>
      </c>
      <c r="AA36" s="66" t="n">
        <f aca="false">IF(D36&gt;0,Z36/D36,0)</f>
        <v>0.225755190801508</v>
      </c>
      <c r="AB36" s="66" t="n">
        <f aca="false">IF(G36&gt;0,P36/G36,0)</f>
        <v>0.00345703125568122</v>
      </c>
      <c r="AC36" s="66" t="n">
        <f aca="false">IF(T36+AF36&gt;0,T36/(T36+AF36),0)</f>
        <v>0</v>
      </c>
      <c r="AD36" s="78" t="n">
        <f aca="false">AJ35</f>
        <v>38.9671721746543</v>
      </c>
      <c r="AE36" s="78" t="n">
        <f aca="false">AD36+G36+T36+U36+AP36-Q36-W36-AO36</f>
        <v>46.7146857661168</v>
      </c>
      <c r="AF36" s="78" t="n">
        <f aca="false">MAX(0,-AE36)</f>
        <v>0</v>
      </c>
      <c r="AG36" s="78" t="n">
        <f aca="false">Y35+V36</f>
        <v>170</v>
      </c>
      <c r="AH36" s="78" t="n">
        <f aca="false">MIN(MAX(0,AE36),AG36)</f>
        <v>46.7146857661168</v>
      </c>
      <c r="AI36" s="78" t="n">
        <f aca="false">AE36+AF36-AH36</f>
        <v>0</v>
      </c>
      <c r="AJ36" s="78" t="n">
        <f aca="false">AI36</f>
        <v>0</v>
      </c>
      <c r="AK36" s="78" t="n">
        <f aca="false">AK35</f>
        <v>0</v>
      </c>
      <c r="AL36" s="78" t="n">
        <f aca="false">AJ36+AK36+AN36-Z36</f>
        <v>-127.450174258528</v>
      </c>
      <c r="AM36" s="78" t="n">
        <f aca="false">AJ36-(AD36+G36+T36+U36+AF36+AP36-Q36-W36-AH36-AO36)</f>
        <v>0</v>
      </c>
      <c r="AN36" s="78" t="n">
        <f aca="false">0</f>
        <v>0</v>
      </c>
      <c r="AO36" s="78" t="n">
        <f aca="false">0</f>
        <v>0</v>
      </c>
      <c r="AP36" s="78" t="n">
        <f aca="false">0</f>
        <v>0</v>
      </c>
    </row>
    <row r="37" customFormat="false" ht="14.25" hidden="false" customHeight="false" outlineLevel="0" collapsed="false">
      <c r="A37" s="61" t="n">
        <v>1877</v>
      </c>
      <c r="B37" s="48" t="n">
        <v>540</v>
      </c>
      <c r="C37" s="77" t="n">
        <f aca="false">Partners!H37</f>
        <v>1.09785796218064</v>
      </c>
      <c r="D37" s="50" t="n">
        <f aca="false">Partners!I37</f>
        <v>592.843299577548</v>
      </c>
      <c r="E37" s="62" t="n">
        <v>0.11</v>
      </c>
      <c r="F37" s="62" t="n">
        <v>0.09</v>
      </c>
      <c r="G37" s="56" t="n">
        <f aca="false">D37*E37</f>
        <v>65.2127629535303</v>
      </c>
      <c r="H37" s="56" t="n">
        <f aca="false">D37*F37</f>
        <v>53.3558969619793</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6.37250871292641</v>
      </c>
      <c r="Q37" s="56" t="n">
        <f aca="false">H37+J37+K37+L37+N37+O37+P37</f>
        <v>63.1284056749057</v>
      </c>
      <c r="R37" s="56" t="n">
        <f aca="false">Q37-G37</f>
        <v>-2.08435727862455</v>
      </c>
      <c r="S37" s="55" t="n">
        <v>0</v>
      </c>
      <c r="T37" s="56" t="n">
        <f aca="false">S37*IF($A37&gt;=1923,C37,1)</f>
        <v>0</v>
      </c>
      <c r="U37" s="55" t="n">
        <v>0</v>
      </c>
      <c r="V37" s="55" t="n">
        <v>0</v>
      </c>
      <c r="W37" s="56" t="n">
        <f aca="false">(X36-0)*jp_foreign_repay+0</f>
        <v>0.12494580073935</v>
      </c>
      <c r="X37" s="56" t="n">
        <f aca="false">X36+T37-W37</f>
        <v>4.03991422390565</v>
      </c>
      <c r="Y37" s="56" t="n">
        <f aca="false">AG37+AF37-AH37</f>
        <v>121.325902755998</v>
      </c>
      <c r="Z37" s="56" t="n">
        <f aca="false">X37+Y37</f>
        <v>125.365816979904</v>
      </c>
      <c r="AA37" s="66" t="n">
        <f aca="false">IF(D37&gt;0,Z37/D37,0)</f>
        <v>0.211465351922232</v>
      </c>
      <c r="AB37" s="66" t="n">
        <f aca="false">IF(G37&gt;0,P37/G37,0)</f>
        <v>0.0977187351725516</v>
      </c>
      <c r="AC37" s="66" t="n">
        <f aca="false">IF(T37+AF37&gt;0,T37/(T37+AF37),0)</f>
        <v>0</v>
      </c>
      <c r="AD37" s="78" t="n">
        <f aca="false">AJ36</f>
        <v>0</v>
      </c>
      <c r="AE37" s="78" t="n">
        <f aca="false">AD37+G37+T37+U37+AP37-Q37-W37-AO37</f>
        <v>1.9594114778852</v>
      </c>
      <c r="AF37" s="78" t="n">
        <f aca="false">MAX(0,-AE37)</f>
        <v>0</v>
      </c>
      <c r="AG37" s="78" t="n">
        <f aca="false">Y36+V37</f>
        <v>123.285314233883</v>
      </c>
      <c r="AH37" s="78" t="n">
        <f aca="false">MIN(MAX(0,AE37),AG37)</f>
        <v>1.9594114778852</v>
      </c>
      <c r="AI37" s="78" t="n">
        <f aca="false">AE37+AF37-AH37</f>
        <v>0</v>
      </c>
      <c r="AJ37" s="78" t="n">
        <f aca="false">AI37</f>
        <v>0</v>
      </c>
      <c r="AK37" s="78" t="n">
        <f aca="false">AK36</f>
        <v>0</v>
      </c>
      <c r="AL37" s="78" t="n">
        <f aca="false">AJ37+AK37+AN37-Z37</f>
        <v>-125.365816979904</v>
      </c>
      <c r="AM37" s="78" t="n">
        <f aca="false">AJ37-(AD37+G37+T37+U37+AF37+AP37-Q37-W37-AH37-AO37)</f>
        <v>0</v>
      </c>
      <c r="AN37" s="78" t="n">
        <f aca="false">0</f>
        <v>0</v>
      </c>
      <c r="AO37" s="78" t="n">
        <f aca="false">0</f>
        <v>0</v>
      </c>
      <c r="AP37" s="78" t="n">
        <f aca="false">0</f>
        <v>0</v>
      </c>
    </row>
    <row r="38" customFormat="false" ht="14.25" hidden="false" customHeight="false" outlineLevel="0" collapsed="false">
      <c r="A38" s="61" t="n">
        <v>1878</v>
      </c>
      <c r="B38" s="48" t="n">
        <v>560</v>
      </c>
      <c r="C38" s="77" t="n">
        <f aca="false">Partners!H38</f>
        <v>1.11020075801369</v>
      </c>
      <c r="D38" s="50" t="n">
        <f aca="false">Partners!I38</f>
        <v>621.712424487669</v>
      </c>
      <c r="E38" s="62" t="n">
        <v>0.11</v>
      </c>
      <c r="F38" s="62" t="n">
        <v>0.09</v>
      </c>
      <c r="G38" s="56" t="n">
        <f aca="false">D38*E38</f>
        <v>68.3883666936436</v>
      </c>
      <c r="H38" s="56" t="n">
        <f aca="false">D38*F38</f>
        <v>55.9541182038902</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6.26829084899519</v>
      </c>
      <c r="Q38" s="56" t="n">
        <f aca="false">H38+J38+K38+L38+N38+O38+P38</f>
        <v>65.8224090528854</v>
      </c>
      <c r="R38" s="56" t="n">
        <f aca="false">Q38-G38</f>
        <v>-2.5659576407582</v>
      </c>
      <c r="S38" s="55" t="n">
        <v>0</v>
      </c>
      <c r="T38" s="56" t="n">
        <f aca="false">S38*IF($A38&gt;=1923,C38,1)</f>
        <v>0</v>
      </c>
      <c r="U38" s="55" t="n">
        <v>0</v>
      </c>
      <c r="V38" s="55" t="n">
        <v>0</v>
      </c>
      <c r="W38" s="56" t="n">
        <f aca="false">(X37-0)*jp_foreign_repay+0</f>
        <v>0.121197426717169</v>
      </c>
      <c r="X38" s="56" t="n">
        <f aca="false">X37+T38-W38</f>
        <v>3.91871679718848</v>
      </c>
      <c r="Y38" s="56" t="n">
        <f aca="false">AG38+AF38-AH38</f>
        <v>118.881142541957</v>
      </c>
      <c r="Z38" s="56" t="n">
        <f aca="false">X38+Y38</f>
        <v>122.799859339145</v>
      </c>
      <c r="AA38" s="66" t="n">
        <f aca="false">IF(D38&gt;0,Z38/D38,0)</f>
        <v>0.197518747418214</v>
      </c>
      <c r="AB38" s="66" t="n">
        <f aca="false">IF(G38&gt;0,P38/G38,0)</f>
        <v>0.0916572679250402</v>
      </c>
      <c r="AC38" s="66" t="n">
        <f aca="false">IF(T38+AF38&gt;0,T38/(T38+AF38),0)</f>
        <v>0</v>
      </c>
      <c r="AD38" s="78" t="n">
        <f aca="false">AJ37</f>
        <v>0</v>
      </c>
      <c r="AE38" s="78" t="n">
        <f aca="false">AD38+G38+T38+U38+AP38-Q38-W38-AO38</f>
        <v>2.44476021404103</v>
      </c>
      <c r="AF38" s="78" t="n">
        <f aca="false">MAX(0,-AE38)</f>
        <v>0</v>
      </c>
      <c r="AG38" s="78" t="n">
        <f aca="false">Y37+V38</f>
        <v>121.325902755998</v>
      </c>
      <c r="AH38" s="78" t="n">
        <f aca="false">MIN(MAX(0,AE38),AG38)</f>
        <v>2.44476021404103</v>
      </c>
      <c r="AI38" s="78" t="n">
        <f aca="false">AE38+AF38-AH38</f>
        <v>0</v>
      </c>
      <c r="AJ38" s="78" t="n">
        <f aca="false">AI38</f>
        <v>0</v>
      </c>
      <c r="AK38" s="78" t="n">
        <f aca="false">AK37</f>
        <v>0</v>
      </c>
      <c r="AL38" s="78" t="n">
        <f aca="false">AJ38+AK38+AN38-Z38</f>
        <v>-122.799859339145</v>
      </c>
      <c r="AM38" s="78" t="n">
        <f aca="false">AJ38-(AD38+G38+T38+U38+AF38+AP38-Q38-W38-AH38-AO38)</f>
        <v>0</v>
      </c>
      <c r="AN38" s="78" t="n">
        <f aca="false">0</f>
        <v>0</v>
      </c>
      <c r="AO38" s="78" t="n">
        <f aca="false">0</f>
        <v>0</v>
      </c>
      <c r="AP38" s="78" t="n">
        <f aca="false">0</f>
        <v>0</v>
      </c>
    </row>
    <row r="39" customFormat="false" ht="14.25" hidden="false" customHeight="false" outlineLevel="0" collapsed="false">
      <c r="A39" s="61" t="n">
        <v>1879</v>
      </c>
      <c r="B39" s="48" t="n">
        <v>580</v>
      </c>
      <c r="C39" s="77" t="n">
        <f aca="false">Partners!H39</f>
        <v>1.12281689152469</v>
      </c>
      <c r="D39" s="50" t="n">
        <f aca="false">Partners!I39</f>
        <v>651.233797084323</v>
      </c>
      <c r="E39" s="62" t="n">
        <v>0.11</v>
      </c>
      <c r="F39" s="62" t="n">
        <v>0.09</v>
      </c>
      <c r="G39" s="56" t="n">
        <f aca="false">D39*E39</f>
        <v>71.6357176792755</v>
      </c>
      <c r="H39" s="56" t="n">
        <f aca="false">D39*F39</f>
        <v>58.6110417375891</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6.13999296695728</v>
      </c>
      <c r="Q39" s="56" t="n">
        <f aca="false">H39+J39+K39+L39+N39+O39+P39</f>
        <v>68.5510347045463</v>
      </c>
      <c r="R39" s="56" t="n">
        <f aca="false">Q39-G39</f>
        <v>-3.08468297472919</v>
      </c>
      <c r="S39" s="55" t="n">
        <v>0</v>
      </c>
      <c r="T39" s="56" t="n">
        <f aca="false">S39*IF($A39&gt;=1923,C39,1)</f>
        <v>0</v>
      </c>
      <c r="U39" s="55" t="n">
        <v>0</v>
      </c>
      <c r="V39" s="55" t="n">
        <v>0</v>
      </c>
      <c r="W39" s="56" t="n">
        <f aca="false">(X38-0)*jp_foreign_repay+0</f>
        <v>0.117561503915654</v>
      </c>
      <c r="X39" s="56" t="n">
        <f aca="false">X38+T39-W39</f>
        <v>3.80115529327283</v>
      </c>
      <c r="Y39" s="56" t="n">
        <f aca="false">AG39+AF39-AH39</f>
        <v>115.914021071143</v>
      </c>
      <c r="Z39" s="56" t="n">
        <f aca="false">X39+Y39</f>
        <v>119.715176364416</v>
      </c>
      <c r="AA39" s="66" t="n">
        <f aca="false">IF(D39&gt;0,Z39/D39,0)</f>
        <v>0.183828260910905</v>
      </c>
      <c r="AB39" s="66" t="n">
        <f aca="false">IF(G39&gt;0,P39/G39,0)</f>
        <v>0.0857113345949432</v>
      </c>
      <c r="AC39" s="66" t="n">
        <f aca="false">IF(T39+AF39&gt;0,T39/(T39+AF39),0)</f>
        <v>0</v>
      </c>
      <c r="AD39" s="78" t="n">
        <f aca="false">AJ38</f>
        <v>0</v>
      </c>
      <c r="AE39" s="78" t="n">
        <f aca="false">AD39+G39+T39+U39+AP39-Q39-W39-AO39</f>
        <v>2.96712147081354</v>
      </c>
      <c r="AF39" s="78" t="n">
        <f aca="false">MAX(0,-AE39)</f>
        <v>0</v>
      </c>
      <c r="AG39" s="78" t="n">
        <f aca="false">Y38+V39</f>
        <v>118.881142541957</v>
      </c>
      <c r="AH39" s="78" t="n">
        <f aca="false">MIN(MAX(0,AE39),AG39)</f>
        <v>2.96712147081354</v>
      </c>
      <c r="AI39" s="78" t="n">
        <f aca="false">AE39+AF39-AH39</f>
        <v>0</v>
      </c>
      <c r="AJ39" s="78" t="n">
        <f aca="false">AI39</f>
        <v>0</v>
      </c>
      <c r="AK39" s="78" t="n">
        <f aca="false">AK38</f>
        <v>0</v>
      </c>
      <c r="AL39" s="78" t="n">
        <f aca="false">AJ39+AK39+AN39-Z39</f>
        <v>-119.715176364416</v>
      </c>
      <c r="AM39" s="78" t="n">
        <f aca="false">AJ39-(AD39+G39+T39+U39+AF39+AP39-Q39-W39-AH39-AO39)</f>
        <v>0</v>
      </c>
      <c r="AN39" s="78" t="n">
        <f aca="false">0</f>
        <v>0</v>
      </c>
      <c r="AO39" s="78" t="n">
        <f aca="false">0</f>
        <v>0</v>
      </c>
      <c r="AP39" s="78" t="n">
        <f aca="false">0</f>
        <v>0</v>
      </c>
    </row>
    <row r="40" customFormat="false" ht="14.25" hidden="false" customHeight="false" outlineLevel="0" collapsed="false">
      <c r="A40" s="61" t="n">
        <v>1880</v>
      </c>
      <c r="B40" s="48" t="n">
        <v>600</v>
      </c>
      <c r="C40" s="77" t="n">
        <f aca="false">Partners!H40</f>
        <v>1.13561568277442</v>
      </c>
      <c r="D40" s="50" t="n">
        <f aca="false">Partners!I40</f>
        <v>681.369409664653</v>
      </c>
      <c r="E40" s="62" t="n">
        <v>0.11</v>
      </c>
      <c r="F40" s="62" t="n">
        <v>0.09</v>
      </c>
      <c r="G40" s="56" t="n">
        <f aca="false">D40*E40</f>
        <v>74.9506350631118</v>
      </c>
      <c r="H40" s="56" t="n">
        <f aca="false">D40*F40</f>
        <v>61.3232468698188</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5.98575881822082</v>
      </c>
      <c r="Q40" s="56" t="n">
        <f aca="false">H40+J40+K40+L40+N40+O40+P40</f>
        <v>71.3090056880396</v>
      </c>
      <c r="R40" s="56" t="n">
        <f aca="false">Q40-G40</f>
        <v>-3.64162937507224</v>
      </c>
      <c r="S40" s="55" t="n">
        <v>0</v>
      </c>
      <c r="T40" s="56" t="n">
        <f aca="false">S40*IF($A40&gt;=1923,C40,1)</f>
        <v>0</v>
      </c>
      <c r="U40" s="55" t="n">
        <v>0</v>
      </c>
      <c r="V40" s="55" t="n">
        <v>0</v>
      </c>
      <c r="W40" s="56" t="n">
        <f aca="false">(X39-0)*jp_foreign_repay+0</f>
        <v>0.114034658798185</v>
      </c>
      <c r="X40" s="56" t="n">
        <f aca="false">X39+T40-W40</f>
        <v>3.68712063447464</v>
      </c>
      <c r="Y40" s="56" t="n">
        <f aca="false">AG40+AF40-AH40</f>
        <v>112.386426354869</v>
      </c>
      <c r="Z40" s="56" t="n">
        <f aca="false">X40+Y40</f>
        <v>116.073546989344</v>
      </c>
      <c r="AA40" s="66" t="n">
        <f aca="false">IF(D40&gt;0,Z40/D40,0)</f>
        <v>0.170353328668617</v>
      </c>
      <c r="AB40" s="66" t="n">
        <f aca="false">IF(G40&gt;0,P40/G40,0)</f>
        <v>0.0798626831271081</v>
      </c>
      <c r="AC40" s="66" t="n">
        <f aca="false">IF(T40+AF40&gt;0,T40/(T40+AF40),0)</f>
        <v>0</v>
      </c>
      <c r="AD40" s="78" t="n">
        <f aca="false">AJ39</f>
        <v>0</v>
      </c>
      <c r="AE40" s="78" t="n">
        <f aca="false">AD40+G40+T40+U40+AP40-Q40-W40-AO40</f>
        <v>3.52759471627406</v>
      </c>
      <c r="AF40" s="78" t="n">
        <f aca="false">MAX(0,-AE40)</f>
        <v>0</v>
      </c>
      <c r="AG40" s="78" t="n">
        <f aca="false">Y39+V40</f>
        <v>115.914021071143</v>
      </c>
      <c r="AH40" s="78" t="n">
        <f aca="false">MIN(MAX(0,AE40),AG40)</f>
        <v>3.52759471627406</v>
      </c>
      <c r="AI40" s="78" t="n">
        <f aca="false">AE40+AF40-AH40</f>
        <v>0</v>
      </c>
      <c r="AJ40" s="78" t="n">
        <f aca="false">AI40</f>
        <v>0</v>
      </c>
      <c r="AK40" s="78" t="n">
        <f aca="false">AK39</f>
        <v>0</v>
      </c>
      <c r="AL40" s="78" t="n">
        <f aca="false">AJ40+AK40+AN40-Z40</f>
        <v>-116.073546989344</v>
      </c>
      <c r="AM40" s="78" t="n">
        <f aca="false">AJ40-(AD40+G40+T40+U40+AF40+AP40-Q40-W40-AH40-AO40)</f>
        <v>0</v>
      </c>
      <c r="AN40" s="78" t="n">
        <f aca="false">0</f>
        <v>0</v>
      </c>
      <c r="AO40" s="78" t="n">
        <f aca="false">0</f>
        <v>0</v>
      </c>
      <c r="AP40" s="78" t="n">
        <f aca="false">0</f>
        <v>0</v>
      </c>
    </row>
    <row r="41" customFormat="false" ht="14.25" hidden="false" customHeight="false" outlineLevel="0" collapsed="false">
      <c r="A41" s="61" t="n">
        <v>1881</v>
      </c>
      <c r="B41" s="48" t="n">
        <v>610</v>
      </c>
      <c r="C41" s="77" t="n">
        <f aca="false">Partners!H41</f>
        <v>1.14904845414108</v>
      </c>
      <c r="D41" s="50" t="n">
        <f aca="false">Partners!I41</f>
        <v>700.919557026061</v>
      </c>
      <c r="E41" s="62" t="n">
        <v>0.109</v>
      </c>
      <c r="F41" s="62" t="n">
        <v>0.0895</v>
      </c>
      <c r="G41" s="56" t="n">
        <f aca="false">D41*E41</f>
        <v>76.4002317158407</v>
      </c>
      <c r="H41" s="56" t="n">
        <f aca="false">D41*F41</f>
        <v>62.7323003538325</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5.8036773494672</v>
      </c>
      <c r="Q41" s="56" t="n">
        <f aca="false">H41+J41+K41+L41+N41+O41+P41</f>
        <v>72.9359777032997</v>
      </c>
      <c r="R41" s="56" t="n">
        <f aca="false">Q41-G41</f>
        <v>-3.46425401254099</v>
      </c>
      <c r="S41" s="55" t="n">
        <v>0</v>
      </c>
      <c r="T41" s="56" t="n">
        <f aca="false">S41*IF($A41&gt;=1923,C41,1)</f>
        <v>0</v>
      </c>
      <c r="U41" s="55" t="n">
        <v>0</v>
      </c>
      <c r="V41" s="55" t="n">
        <v>0</v>
      </c>
      <c r="W41" s="56" t="n">
        <f aca="false">(X40-0)*jp_foreign_repay+0</f>
        <v>0.110613619034239</v>
      </c>
      <c r="X41" s="56" t="n">
        <f aca="false">X40+T41-W41</f>
        <v>3.5765070154404</v>
      </c>
      <c r="Y41" s="56" t="n">
        <f aca="false">AG41+AF41-AH41</f>
        <v>109.032785961363</v>
      </c>
      <c r="Z41" s="56" t="n">
        <f aca="false">X41+Y41</f>
        <v>112.609292976803</v>
      </c>
      <c r="AA41" s="66" t="n">
        <f aca="false">IF(D41&gt;0,Z41/D41,0)</f>
        <v>0.160659367894647</v>
      </c>
      <c r="AB41" s="66" t="n">
        <f aca="false">IF(G41&gt;0,P41/G41,0)</f>
        <v>0.0759641328190354</v>
      </c>
      <c r="AC41" s="66" t="n">
        <f aca="false">IF(T41+AF41&gt;0,T41/(T41+AF41),0)</f>
        <v>0</v>
      </c>
      <c r="AD41" s="78" t="n">
        <f aca="false">AJ40</f>
        <v>0</v>
      </c>
      <c r="AE41" s="78" t="n">
        <f aca="false">AD41+G41+T41+U41+AP41-Q41-W41-AO41</f>
        <v>3.35364039350675</v>
      </c>
      <c r="AF41" s="78" t="n">
        <f aca="false">MAX(0,-AE41)</f>
        <v>0</v>
      </c>
      <c r="AG41" s="78" t="n">
        <f aca="false">Y40+V41</f>
        <v>112.386426354869</v>
      </c>
      <c r="AH41" s="78" t="n">
        <f aca="false">MIN(MAX(0,AE41),AG41)</f>
        <v>3.35364039350675</v>
      </c>
      <c r="AI41" s="78" t="n">
        <f aca="false">AE41+AF41-AH41</f>
        <v>0</v>
      </c>
      <c r="AJ41" s="78" t="n">
        <f aca="false">AI41</f>
        <v>0</v>
      </c>
      <c r="AK41" s="78" t="n">
        <f aca="false">AK40</f>
        <v>0</v>
      </c>
      <c r="AL41" s="78" t="n">
        <f aca="false">AJ41+AK41+AN41-Z41</f>
        <v>-112.609292976803</v>
      </c>
      <c r="AM41" s="78" t="n">
        <f aca="false">AJ41-(AD41+G41+T41+U41+AF41+AP41-Q41-W41-AH41-AO41)</f>
        <v>0</v>
      </c>
      <c r="AN41" s="78" t="n">
        <f aca="false">0</f>
        <v>0</v>
      </c>
      <c r="AO41" s="78" t="n">
        <f aca="false">0</f>
        <v>0</v>
      </c>
      <c r="AP41" s="78" t="n">
        <f aca="false">0</f>
        <v>0</v>
      </c>
    </row>
    <row r="42" customFormat="false" ht="14.25" hidden="false" customHeight="false" outlineLevel="0" collapsed="false">
      <c r="A42" s="61" t="n">
        <v>1882</v>
      </c>
      <c r="B42" s="48" t="n">
        <v>620</v>
      </c>
      <c r="C42" s="77" t="n">
        <f aca="false">Partners!H42</f>
        <v>1.16329290263788</v>
      </c>
      <c r="D42" s="50" t="n">
        <f aca="false">Partners!I42</f>
        <v>721.241599635483</v>
      </c>
      <c r="E42" s="62" t="n">
        <v>0.108</v>
      </c>
      <c r="F42" s="62" t="n">
        <v>0.089</v>
      </c>
      <c r="G42" s="56" t="n">
        <f aca="false">D42*E42</f>
        <v>77.8940927606322</v>
      </c>
      <c r="H42" s="56" t="n">
        <f aca="false">D42*F42</f>
        <v>64.190502367558</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5.63046464884015</v>
      </c>
      <c r="Q42" s="56" t="n">
        <f aca="false">H42+J42+K42+L42+N42+O42+P42</f>
        <v>74.6209670163981</v>
      </c>
      <c r="R42" s="56" t="n">
        <f aca="false">Q42-G42</f>
        <v>-3.27312574423402</v>
      </c>
      <c r="S42" s="55" t="n">
        <v>0</v>
      </c>
      <c r="T42" s="56" t="n">
        <f aca="false">S42*IF($A42&gt;=1923,C42,1)</f>
        <v>0</v>
      </c>
      <c r="U42" s="55" t="n">
        <v>0</v>
      </c>
      <c r="V42" s="55" t="n">
        <v>0</v>
      </c>
      <c r="W42" s="56" t="n">
        <f aca="false">(X41-0)*jp_foreign_repay+0</f>
        <v>0.107295210463212</v>
      </c>
      <c r="X42" s="56" t="n">
        <f aca="false">X41+T42-W42</f>
        <v>3.46921180497719</v>
      </c>
      <c r="Y42" s="56" t="n">
        <f aca="false">AG42+AF42-AH42</f>
        <v>105.866955427592</v>
      </c>
      <c r="Z42" s="56" t="n">
        <f aca="false">X42+Y42</f>
        <v>109.336167232569</v>
      </c>
      <c r="AA42" s="66" t="n">
        <f aca="false">IF(D42&gt;0,Z42/D42,0)</f>
        <v>0.151594371827454</v>
      </c>
      <c r="AB42" s="66" t="n">
        <f aca="false">IF(G42&gt;0,P42/G42,0)</f>
        <v>0.0722835897985553</v>
      </c>
      <c r="AC42" s="66" t="n">
        <f aca="false">IF(T42+AF42&gt;0,T42/(T42+AF42),0)</f>
        <v>0</v>
      </c>
      <c r="AD42" s="78" t="n">
        <f aca="false">AJ41</f>
        <v>0</v>
      </c>
      <c r="AE42" s="78" t="n">
        <f aca="false">AD42+G42+T42+U42+AP42-Q42-W42-AO42</f>
        <v>3.16583053377081</v>
      </c>
      <c r="AF42" s="78" t="n">
        <f aca="false">MAX(0,-AE42)</f>
        <v>0</v>
      </c>
      <c r="AG42" s="78" t="n">
        <f aca="false">Y41+V42</f>
        <v>109.032785961363</v>
      </c>
      <c r="AH42" s="78" t="n">
        <f aca="false">MIN(MAX(0,AE42),AG42)</f>
        <v>3.16583053377081</v>
      </c>
      <c r="AI42" s="78" t="n">
        <f aca="false">AE42+AF42-AH42</f>
        <v>0</v>
      </c>
      <c r="AJ42" s="78" t="n">
        <f aca="false">AI42</f>
        <v>0</v>
      </c>
      <c r="AK42" s="78" t="n">
        <f aca="false">AK41</f>
        <v>0</v>
      </c>
      <c r="AL42" s="78" t="n">
        <f aca="false">AJ42+AK42+AN42-Z42</f>
        <v>-109.336167232569</v>
      </c>
      <c r="AM42" s="78" t="n">
        <f aca="false">AJ42-(AD42+G42+T42+U42+AF42+AP42-Q42-W42-AH42-AO42)</f>
        <v>0</v>
      </c>
      <c r="AN42" s="78" t="n">
        <f aca="false">0</f>
        <v>0</v>
      </c>
      <c r="AO42" s="78" t="n">
        <f aca="false">0</f>
        <v>0</v>
      </c>
      <c r="AP42" s="78" t="n">
        <f aca="false">0</f>
        <v>0</v>
      </c>
    </row>
    <row r="43" customFormat="false" ht="14.25" hidden="false" customHeight="false" outlineLevel="0" collapsed="false">
      <c r="A43" s="61" t="n">
        <v>1883</v>
      </c>
      <c r="B43" s="48" t="n">
        <v>630</v>
      </c>
      <c r="C43" s="77" t="n">
        <f aca="false">Partners!H43</f>
        <v>1.17832612485076</v>
      </c>
      <c r="D43" s="50" t="n">
        <f aca="false">Partners!I43</f>
        <v>742.345458655976</v>
      </c>
      <c r="E43" s="62" t="n">
        <v>0.107</v>
      </c>
      <c r="F43" s="62" t="n">
        <v>0.0885</v>
      </c>
      <c r="G43" s="56" t="n">
        <f aca="false">D43*E43</f>
        <v>79.4309640761894</v>
      </c>
      <c r="H43" s="56" t="n">
        <f aca="false">D43*F43</f>
        <v>65.6975730910539</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5.46680836162845</v>
      </c>
      <c r="Q43" s="56" t="n">
        <f aca="false">H43+J43+K43+L43+N43+O43+P43</f>
        <v>76.3643814526823</v>
      </c>
      <c r="R43" s="56" t="n">
        <f aca="false">Q43-G43</f>
        <v>-3.0665826235071</v>
      </c>
      <c r="S43" s="55" t="n">
        <v>0</v>
      </c>
      <c r="T43" s="56" t="n">
        <f aca="false">S43*IF($A43&gt;=1923,C43,1)</f>
        <v>0</v>
      </c>
      <c r="U43" s="55" t="n">
        <v>0</v>
      </c>
      <c r="V43" s="55" t="n">
        <v>0</v>
      </c>
      <c r="W43" s="56" t="n">
        <f aca="false">(X42-0)*jp_foreign_repay+0</f>
        <v>0.104076354149316</v>
      </c>
      <c r="X43" s="56" t="n">
        <f aca="false">X42+T43-W43</f>
        <v>3.36513545082787</v>
      </c>
      <c r="Y43" s="56" t="n">
        <f aca="false">AG43+AF43-AH43</f>
        <v>102.904449158234</v>
      </c>
      <c r="Z43" s="56" t="n">
        <f aca="false">X43+Y43</f>
        <v>106.269584609062</v>
      </c>
      <c r="AA43" s="66" t="n">
        <f aca="false">IF(D43&gt;0,Z43/D43,0)</f>
        <v>0.14315381520817</v>
      </c>
      <c r="AB43" s="66" t="n">
        <f aca="false">IF(G43&gt;0,P43/G43,0)</f>
        <v>0.0688246507543927</v>
      </c>
      <c r="AC43" s="66" t="n">
        <f aca="false">IF(T43+AF43&gt;0,T43/(T43+AF43),0)</f>
        <v>0</v>
      </c>
      <c r="AD43" s="78" t="n">
        <f aca="false">AJ42</f>
        <v>0</v>
      </c>
      <c r="AE43" s="78" t="n">
        <f aca="false">AD43+G43+T43+U43+AP43-Q43-W43-AO43</f>
        <v>2.96250626935779</v>
      </c>
      <c r="AF43" s="78" t="n">
        <f aca="false">MAX(0,-AE43)</f>
        <v>0</v>
      </c>
      <c r="AG43" s="78" t="n">
        <f aca="false">Y42+V43</f>
        <v>105.866955427592</v>
      </c>
      <c r="AH43" s="78" t="n">
        <f aca="false">MIN(MAX(0,AE43),AG43)</f>
        <v>2.96250626935779</v>
      </c>
      <c r="AI43" s="78" t="n">
        <f aca="false">AE43+AF43-AH43</f>
        <v>0</v>
      </c>
      <c r="AJ43" s="78" t="n">
        <f aca="false">AI43</f>
        <v>0</v>
      </c>
      <c r="AK43" s="78" t="n">
        <f aca="false">AK42</f>
        <v>0</v>
      </c>
      <c r="AL43" s="78" t="n">
        <f aca="false">AJ43+AK43+AN43-Z43</f>
        <v>-106.269584609062</v>
      </c>
      <c r="AM43" s="78" t="n">
        <f aca="false">AJ43-(AD43+G43+T43+U43+AF43+AP43-Q43-W43-AH43-AO43)</f>
        <v>0</v>
      </c>
      <c r="AN43" s="78" t="n">
        <f aca="false">0</f>
        <v>0</v>
      </c>
      <c r="AO43" s="78" t="n">
        <f aca="false">0</f>
        <v>0</v>
      </c>
      <c r="AP43" s="78" t="n">
        <f aca="false">0</f>
        <v>0</v>
      </c>
    </row>
    <row r="44" customFormat="false" ht="14.25" hidden="false" customHeight="false" outlineLevel="0" collapsed="false">
      <c r="A44" s="61" t="n">
        <v>1884</v>
      </c>
      <c r="B44" s="48" t="n">
        <v>640</v>
      </c>
      <c r="C44" s="77" t="n">
        <f aca="false">Partners!H44</f>
        <v>1.19419626735075</v>
      </c>
      <c r="D44" s="50" t="n">
        <f aca="false">Partners!I44</f>
        <v>764.28561110448</v>
      </c>
      <c r="E44" s="62" t="n">
        <v>0.106</v>
      </c>
      <c r="F44" s="62" t="n">
        <v>0.088</v>
      </c>
      <c r="G44" s="56" t="n">
        <f aca="false">D44*E44</f>
        <v>81.0142747770748</v>
      </c>
      <c r="H44" s="56" t="n">
        <f aca="false">D44*F44</f>
        <v>67.2571337771942</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5.3134792304531</v>
      </c>
      <c r="Q44" s="56" t="n">
        <f aca="false">H44+J44+K44+L44+N44+O44+P44</f>
        <v>78.1706130076473</v>
      </c>
      <c r="R44" s="56" t="n">
        <f aca="false">Q44-G44</f>
        <v>-2.84366176942754</v>
      </c>
      <c r="S44" s="55" t="n">
        <v>0</v>
      </c>
      <c r="T44" s="56" t="n">
        <f aca="false">S44*IF($A44&gt;=1923,C44,1)</f>
        <v>0</v>
      </c>
      <c r="U44" s="55" t="n">
        <v>0</v>
      </c>
      <c r="V44" s="55" t="n">
        <v>0</v>
      </c>
      <c r="W44" s="56" t="n">
        <f aca="false">(X43-0)*jp_foreign_repay+0</f>
        <v>0.100954063524836</v>
      </c>
      <c r="X44" s="56" t="n">
        <f aca="false">X43+T44-W44</f>
        <v>3.26418138730304</v>
      </c>
      <c r="Y44" s="56" t="n">
        <f aca="false">AG44+AF44-AH44</f>
        <v>100.161741452331</v>
      </c>
      <c r="Z44" s="56" t="n">
        <f aca="false">X44+Y44</f>
        <v>103.425922839634</v>
      </c>
      <c r="AA44" s="66" t="n">
        <f aca="false">IF(D44&gt;0,Z44/D44,0)</f>
        <v>0.135323655629434</v>
      </c>
      <c r="AB44" s="66" t="n">
        <f aca="false">IF(G44&gt;0,P44/G44,0)</f>
        <v>0.0655869505105623</v>
      </c>
      <c r="AC44" s="66" t="n">
        <f aca="false">IF(T44+AF44&gt;0,T44/(T44+AF44),0)</f>
        <v>0</v>
      </c>
      <c r="AD44" s="78" t="n">
        <f aca="false">AJ43</f>
        <v>0</v>
      </c>
      <c r="AE44" s="78" t="n">
        <f aca="false">AD44+G44+T44+U44+AP44-Q44-W44-AO44</f>
        <v>2.74270770590271</v>
      </c>
      <c r="AF44" s="78" t="n">
        <f aca="false">MAX(0,-AE44)</f>
        <v>0</v>
      </c>
      <c r="AG44" s="78" t="n">
        <f aca="false">Y43+V44</f>
        <v>102.904449158234</v>
      </c>
      <c r="AH44" s="78" t="n">
        <f aca="false">MIN(MAX(0,AE44),AG44)</f>
        <v>2.74270770590271</v>
      </c>
      <c r="AI44" s="78" t="n">
        <f aca="false">AE44+AF44-AH44</f>
        <v>0</v>
      </c>
      <c r="AJ44" s="78" t="n">
        <f aca="false">AI44</f>
        <v>0</v>
      </c>
      <c r="AK44" s="78" t="n">
        <f aca="false">AK43</f>
        <v>0</v>
      </c>
      <c r="AL44" s="78" t="n">
        <f aca="false">AJ44+AK44+AN44-Z44</f>
        <v>-103.425922839634</v>
      </c>
      <c r="AM44" s="78" t="n">
        <f aca="false">AJ44-(AD44+G44+T44+U44+AF44+AP44-Q44-W44-AH44-AO44)</f>
        <v>0</v>
      </c>
      <c r="AN44" s="78" t="n">
        <f aca="false">0</f>
        <v>0</v>
      </c>
      <c r="AO44" s="78" t="n">
        <f aca="false">0</f>
        <v>0</v>
      </c>
      <c r="AP44" s="78" t="n">
        <f aca="false">0</f>
        <v>0</v>
      </c>
    </row>
    <row r="45" customFormat="false" ht="14.25" hidden="false" customHeight="false" outlineLevel="0" collapsed="false">
      <c r="A45" s="61" t="n">
        <v>1885</v>
      </c>
      <c r="B45" s="48" t="n">
        <v>650</v>
      </c>
      <c r="C45" s="77" t="n">
        <f aca="false">Partners!H45</f>
        <v>1.21076952028233</v>
      </c>
      <c r="D45" s="50" t="n">
        <f aca="false">Partners!I45</f>
        <v>787.000188183512</v>
      </c>
      <c r="E45" s="62" t="n">
        <v>0.105</v>
      </c>
      <c r="F45" s="62" t="n">
        <v>0.0875</v>
      </c>
      <c r="G45" s="56" t="n">
        <f aca="false">D45*E45</f>
        <v>82.6350197592688</v>
      </c>
      <c r="H45" s="56" t="n">
        <f aca="false">D45*F45</f>
        <v>68.8625164660573</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5.17129614198172</v>
      </c>
      <c r="Q45" s="56" t="n">
        <f aca="false">H45+J45+K45+L45+N45+O45+P45</f>
        <v>80.0338126080391</v>
      </c>
      <c r="R45" s="56" t="n">
        <f aca="false">Q45-G45</f>
        <v>-2.60120715122974</v>
      </c>
      <c r="S45" s="55" t="n">
        <v>0</v>
      </c>
      <c r="T45" s="56" t="n">
        <f aca="false">S45*IF($A45&gt;=1923,C45,1)</f>
        <v>0</v>
      </c>
      <c r="U45" s="55" t="n">
        <v>0</v>
      </c>
      <c r="V45" s="55" t="n">
        <v>0</v>
      </c>
      <c r="W45" s="56" t="n">
        <f aca="false">(X44-0)*jp_foreign_repay+0</f>
        <v>0.0979254416190911</v>
      </c>
      <c r="X45" s="56" t="n">
        <f aca="false">X44+T45-W45</f>
        <v>3.16625594568395</v>
      </c>
      <c r="Y45" s="56" t="n">
        <f aca="false">AG45+AF45-AH45</f>
        <v>97.6584597427207</v>
      </c>
      <c r="Z45" s="56" t="n">
        <f aca="false">X45+Y45</f>
        <v>100.824715688405</v>
      </c>
      <c r="AA45" s="66" t="n">
        <f aca="false">IF(D45&gt;0,Z45/D45,0)</f>
        <v>0.128112695781077</v>
      </c>
      <c r="AB45" s="66" t="n">
        <f aca="false">IF(G45&gt;0,P45/G45,0)</f>
        <v>0.0625799589211289</v>
      </c>
      <c r="AC45" s="66" t="n">
        <f aca="false">IF(T45+AF45&gt;0,T45/(T45+AF45),0)</f>
        <v>0</v>
      </c>
      <c r="AD45" s="78" t="n">
        <f aca="false">AJ44</f>
        <v>0</v>
      </c>
      <c r="AE45" s="78" t="n">
        <f aca="false">AD45+G45+T45+U45+AP45-Q45-W45-AO45</f>
        <v>2.50328170961065</v>
      </c>
      <c r="AF45" s="78" t="n">
        <f aca="false">MAX(0,-AE45)</f>
        <v>0</v>
      </c>
      <c r="AG45" s="78" t="n">
        <f aca="false">Y44+V45</f>
        <v>100.161741452331</v>
      </c>
      <c r="AH45" s="78" t="n">
        <f aca="false">MIN(MAX(0,AE45),AG45)</f>
        <v>2.50328170961065</v>
      </c>
      <c r="AI45" s="78" t="n">
        <f aca="false">AE45+AF45-AH45</f>
        <v>0</v>
      </c>
      <c r="AJ45" s="78" t="n">
        <f aca="false">AI45</f>
        <v>0</v>
      </c>
      <c r="AK45" s="78" t="n">
        <f aca="false">AK44</f>
        <v>0</v>
      </c>
      <c r="AL45" s="78" t="n">
        <f aca="false">AJ45+AK45+AN45-Z45</f>
        <v>-100.824715688405</v>
      </c>
      <c r="AM45" s="78" t="n">
        <f aca="false">AJ45-(AD45+G45+T45+U45+AF45+AP45-Q45-W45-AH45-AO45)</f>
        <v>0</v>
      </c>
      <c r="AN45" s="78" t="n">
        <f aca="false">0</f>
        <v>0</v>
      </c>
      <c r="AO45" s="78" t="n">
        <f aca="false">0</f>
        <v>0</v>
      </c>
      <c r="AP45" s="78" t="n">
        <f aca="false">0</f>
        <v>0</v>
      </c>
    </row>
    <row r="46" customFormat="false" ht="14.25" hidden="false" customHeight="false" outlineLevel="0" collapsed="false">
      <c r="A46" s="61" t="n">
        <v>1886</v>
      </c>
      <c r="B46" s="48" t="n">
        <v>680</v>
      </c>
      <c r="C46" s="77" t="n">
        <f aca="false">Partners!H46</f>
        <v>1.22821990895483</v>
      </c>
      <c r="D46" s="50" t="n">
        <f aca="false">Partners!I46</f>
        <v>835.189538089286</v>
      </c>
      <c r="E46" s="62" t="n">
        <v>0.104</v>
      </c>
      <c r="F46" s="62" t="n">
        <v>0.087</v>
      </c>
      <c r="G46" s="56" t="n">
        <f aca="false">D46*E46</f>
        <v>86.8597119612857</v>
      </c>
      <c r="H46" s="56" t="n">
        <f aca="false">D46*F46</f>
        <v>72.6614898137679</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5.04123578442023</v>
      </c>
      <c r="Q46" s="56" t="n">
        <f aca="false">H46+J46+K46+L46+N46+O46+P46</f>
        <v>84.1027255981881</v>
      </c>
      <c r="R46" s="56" t="n">
        <f aca="false">Q46-G46</f>
        <v>-2.75698636309761</v>
      </c>
      <c r="S46" s="55" t="n">
        <v>0</v>
      </c>
      <c r="T46" s="56" t="n">
        <f aca="false">S46*IF($A46&gt;=1923,C46,1)</f>
        <v>0</v>
      </c>
      <c r="U46" s="55" t="n">
        <v>0</v>
      </c>
      <c r="V46" s="55" t="n">
        <v>0</v>
      </c>
      <c r="W46" s="56" t="n">
        <f aca="false">(X45-0)*jp_foreign_repay+0</f>
        <v>0.0949876783705184</v>
      </c>
      <c r="X46" s="56" t="n">
        <f aca="false">X45+T46-W46</f>
        <v>3.07126826731343</v>
      </c>
      <c r="Y46" s="56" t="n">
        <f aca="false">AG46+AF46-AH46</f>
        <v>94.9964610579936</v>
      </c>
      <c r="Z46" s="56" t="n">
        <f aca="false">X46+Y46</f>
        <v>98.067729325307</v>
      </c>
      <c r="AA46" s="66" t="n">
        <f aca="false">IF(D46&gt;0,Z46/D46,0)</f>
        <v>0.117419729118809</v>
      </c>
      <c r="AB46" s="66" t="n">
        <f aca="false">IF(G46&gt;0,P46/G46,0)</f>
        <v>0.0580388268690917</v>
      </c>
      <c r="AC46" s="66" t="n">
        <f aca="false">IF(T46+AF46&gt;0,T46/(T46+AF46),0)</f>
        <v>0</v>
      </c>
      <c r="AD46" s="78" t="n">
        <f aca="false">AJ45</f>
        <v>0</v>
      </c>
      <c r="AE46" s="78" t="n">
        <f aca="false">AD46+G46+T46+U46+AP46-Q46-W46-AO46</f>
        <v>2.66199868472709</v>
      </c>
      <c r="AF46" s="78" t="n">
        <f aca="false">MAX(0,-AE46)</f>
        <v>0</v>
      </c>
      <c r="AG46" s="78" t="n">
        <f aca="false">Y45+V46</f>
        <v>97.6584597427207</v>
      </c>
      <c r="AH46" s="78" t="n">
        <f aca="false">MIN(MAX(0,AE46),AG46)</f>
        <v>2.66199868472709</v>
      </c>
      <c r="AI46" s="78" t="n">
        <f aca="false">AE46+AF46-AH46</f>
        <v>0</v>
      </c>
      <c r="AJ46" s="78" t="n">
        <f aca="false">AI46</f>
        <v>0</v>
      </c>
      <c r="AK46" s="78" t="n">
        <f aca="false">AK45</f>
        <v>0</v>
      </c>
      <c r="AL46" s="78" t="n">
        <f aca="false">AJ46+AK46+AN46-Z46</f>
        <v>-98.067729325307</v>
      </c>
      <c r="AM46" s="78" t="n">
        <f aca="false">AJ46-(AD46+G46+T46+U46+AF46+AP46-Q46-W46-AH46-AO46)</f>
        <v>0</v>
      </c>
      <c r="AN46" s="78" t="n">
        <f aca="false">0</f>
        <v>0</v>
      </c>
      <c r="AO46" s="78" t="n">
        <f aca="false">0</f>
        <v>0</v>
      </c>
      <c r="AP46" s="78" t="n">
        <f aca="false">0</f>
        <v>0</v>
      </c>
    </row>
    <row r="47" customFormat="false" ht="14.25" hidden="false" customHeight="false" outlineLevel="0" collapsed="false">
      <c r="A47" s="61" t="n">
        <v>1887</v>
      </c>
      <c r="B47" s="48" t="n">
        <v>710</v>
      </c>
      <c r="C47" s="77" t="n">
        <f aca="false">Partners!H47</f>
        <v>1.24655098752211</v>
      </c>
      <c r="D47" s="50" t="n">
        <f aca="false">Partners!I47</f>
        <v>885.051201140695</v>
      </c>
      <c r="E47" s="62" t="n">
        <v>0.103</v>
      </c>
      <c r="F47" s="62" t="n">
        <v>0.0865</v>
      </c>
      <c r="G47" s="56" t="n">
        <f aca="false">D47*E47</f>
        <v>91.1602737174916</v>
      </c>
      <c r="H47" s="56" t="n">
        <f aca="false">D47*F47</f>
        <v>76.5569288986702</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4.90338646626535</v>
      </c>
      <c r="Q47" s="56" t="n">
        <f aca="false">H47+J47+K47+L47+N47+O47+P47</f>
        <v>88.2603153649355</v>
      </c>
      <c r="R47" s="56" t="n">
        <f aca="false">Q47-G47</f>
        <v>-2.89995835255611</v>
      </c>
      <c r="S47" s="55" t="n">
        <v>0</v>
      </c>
      <c r="T47" s="56" t="n">
        <f aca="false">S47*IF($A47&gt;=1923,C47,1)</f>
        <v>0</v>
      </c>
      <c r="U47" s="55" t="n">
        <v>0</v>
      </c>
      <c r="V47" s="55" t="n">
        <v>0</v>
      </c>
      <c r="W47" s="56" t="n">
        <f aca="false">(X46-0)*jp_foreign_repay+0</f>
        <v>0.0921380480194028</v>
      </c>
      <c r="X47" s="56" t="n">
        <f aca="false">X46+T47-W47</f>
        <v>2.97913021929402</v>
      </c>
      <c r="Y47" s="56" t="n">
        <f aca="false">AG47+AF47-AH47</f>
        <v>92.1886407534569</v>
      </c>
      <c r="Z47" s="56" t="n">
        <f aca="false">X47+Y47</f>
        <v>95.1677709727509</v>
      </c>
      <c r="AA47" s="66" t="n">
        <f aca="false">IF(D47&gt;0,Z47/D47,0)</f>
        <v>0.107527983522416</v>
      </c>
      <c r="AB47" s="66" t="n">
        <f aca="false">IF(G47&gt;0,P47/G47,0)</f>
        <v>0.0537886325512919</v>
      </c>
      <c r="AC47" s="66" t="n">
        <f aca="false">IF(T47+AF47&gt;0,T47/(T47+AF47),0)</f>
        <v>0</v>
      </c>
      <c r="AD47" s="78" t="n">
        <f aca="false">AJ46</f>
        <v>0</v>
      </c>
      <c r="AE47" s="78" t="n">
        <f aca="false">AD47+G47+T47+U47+AP47-Q47-W47-AO47</f>
        <v>2.80782030453671</v>
      </c>
      <c r="AF47" s="78" t="n">
        <f aca="false">MAX(0,-AE47)</f>
        <v>0</v>
      </c>
      <c r="AG47" s="78" t="n">
        <f aca="false">Y46+V47</f>
        <v>94.9964610579936</v>
      </c>
      <c r="AH47" s="78" t="n">
        <f aca="false">MIN(MAX(0,AE47),AG47)</f>
        <v>2.80782030453671</v>
      </c>
      <c r="AI47" s="78" t="n">
        <f aca="false">AE47+AF47-AH47</f>
        <v>0</v>
      </c>
      <c r="AJ47" s="78" t="n">
        <f aca="false">AI47</f>
        <v>0</v>
      </c>
      <c r="AK47" s="78" t="n">
        <f aca="false">AK46</f>
        <v>0</v>
      </c>
      <c r="AL47" s="78" t="n">
        <f aca="false">AJ47+AK47+AN47-Z47</f>
        <v>-95.1677709727509</v>
      </c>
      <c r="AM47" s="78" t="n">
        <f aca="false">AJ47-(AD47+G47+T47+U47+AF47+AP47-Q47-W47-AH47-AO47)</f>
        <v>0</v>
      </c>
      <c r="AN47" s="78" t="n">
        <f aca="false">0</f>
        <v>0</v>
      </c>
      <c r="AO47" s="78" t="n">
        <f aca="false">0</f>
        <v>0</v>
      </c>
      <c r="AP47" s="78" t="n">
        <f aca="false">0</f>
        <v>0</v>
      </c>
    </row>
    <row r="48" customFormat="false" ht="14.25" hidden="false" customHeight="false" outlineLevel="0" collapsed="false">
      <c r="A48" s="61" t="n">
        <v>1888</v>
      </c>
      <c r="B48" s="48" t="n">
        <v>740</v>
      </c>
      <c r="C48" s="77" t="n">
        <f aca="false">Partners!H48</f>
        <v>1.26536159663412</v>
      </c>
      <c r="D48" s="50" t="n">
        <f aca="false">Partners!I48</f>
        <v>936.367581509246</v>
      </c>
      <c r="E48" s="62" t="n">
        <v>0.102</v>
      </c>
      <c r="F48" s="62" t="n">
        <v>0.086</v>
      </c>
      <c r="G48" s="56" t="n">
        <f aca="false">D48*E48</f>
        <v>95.5094933139431</v>
      </c>
      <c r="H48" s="56" t="n">
        <f aca="false">D48*F48</f>
        <v>80.5276120097952</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4.75838854863755</v>
      </c>
      <c r="Q48" s="56" t="n">
        <f aca="false">H48+J48+K48+L48+N48+O48+P48</f>
        <v>92.4860005584327</v>
      </c>
      <c r="R48" s="56" t="n">
        <f aca="false">Q48-G48</f>
        <v>-3.0234927555104</v>
      </c>
      <c r="S48" s="55" t="n">
        <v>0</v>
      </c>
      <c r="T48" s="56" t="n">
        <f aca="false">S48*IF($A48&gt;=1923,C48,1)</f>
        <v>0</v>
      </c>
      <c r="U48" s="55" t="n">
        <v>0</v>
      </c>
      <c r="V48" s="55" t="n">
        <v>0</v>
      </c>
      <c r="W48" s="56" t="n">
        <f aca="false">(X47-0)*jp_foreign_repay+0</f>
        <v>0.0893739065788207</v>
      </c>
      <c r="X48" s="56" t="n">
        <f aca="false">X47+T48-W48</f>
        <v>2.8897563127152</v>
      </c>
      <c r="Y48" s="56" t="n">
        <f aca="false">AG48+AF48-AH48</f>
        <v>89.2545219045253</v>
      </c>
      <c r="Z48" s="56" t="n">
        <f aca="false">X48+Y48</f>
        <v>92.1442782172405</v>
      </c>
      <c r="AA48" s="66" t="n">
        <f aca="false">IF(D48&gt;0,Z48/D48,0)</f>
        <v>0.0984060961067464</v>
      </c>
      <c r="AB48" s="66" t="n">
        <f aca="false">IF(G48&gt;0,P48/G48,0)</f>
        <v>0.0498211055627377</v>
      </c>
      <c r="AC48" s="66" t="n">
        <f aca="false">IF(T48+AF48&gt;0,T48/(T48+AF48),0)</f>
        <v>0</v>
      </c>
      <c r="AD48" s="78" t="n">
        <f aca="false">AJ47</f>
        <v>0</v>
      </c>
      <c r="AE48" s="78" t="n">
        <f aca="false">AD48+G48+T48+U48+AP48-Q48-W48-AO48</f>
        <v>2.93411884893158</v>
      </c>
      <c r="AF48" s="78" t="n">
        <f aca="false">MAX(0,-AE48)</f>
        <v>0</v>
      </c>
      <c r="AG48" s="78" t="n">
        <f aca="false">Y47+V48</f>
        <v>92.1886407534569</v>
      </c>
      <c r="AH48" s="78" t="n">
        <f aca="false">MIN(MAX(0,AE48),AG48)</f>
        <v>2.93411884893158</v>
      </c>
      <c r="AI48" s="78" t="n">
        <f aca="false">AE48+AF48-AH48</f>
        <v>0</v>
      </c>
      <c r="AJ48" s="78" t="n">
        <f aca="false">AI48</f>
        <v>0</v>
      </c>
      <c r="AK48" s="78" t="n">
        <f aca="false">AK47</f>
        <v>0</v>
      </c>
      <c r="AL48" s="78" t="n">
        <f aca="false">AJ48+AK48+AN48-Z48</f>
        <v>-92.1442782172405</v>
      </c>
      <c r="AM48" s="78" t="n">
        <f aca="false">AJ48-(AD48+G48+T48+U48+AF48+AP48-Q48-W48-AH48-AO48)</f>
        <v>0</v>
      </c>
      <c r="AN48" s="78" t="n">
        <f aca="false">0</f>
        <v>0</v>
      </c>
      <c r="AO48" s="78" t="n">
        <f aca="false">0</f>
        <v>0</v>
      </c>
      <c r="AP48" s="78" t="n">
        <f aca="false">0</f>
        <v>0</v>
      </c>
    </row>
    <row r="49" customFormat="false" ht="14.25" hidden="false" customHeight="false" outlineLevel="0" collapsed="false">
      <c r="A49" s="61" t="n">
        <v>1889</v>
      </c>
      <c r="B49" s="48" t="n">
        <v>770</v>
      </c>
      <c r="C49" s="77" t="n">
        <f aca="false">Partners!H49</f>
        <v>1.28475641185972</v>
      </c>
      <c r="D49" s="50" t="n">
        <f aca="false">Partners!I49</f>
        <v>989.262437131988</v>
      </c>
      <c r="E49" s="62" t="n">
        <v>0.101</v>
      </c>
      <c r="F49" s="62" t="n">
        <v>0.0855</v>
      </c>
      <c r="G49" s="56" t="n">
        <f aca="false">D49*E49</f>
        <v>99.9155061503307</v>
      </c>
      <c r="H49" s="56" t="n">
        <f aca="false">D49*F49</f>
        <v>84.5819383747849</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4.60721391086203</v>
      </c>
      <c r="Q49" s="56" t="n">
        <f aca="false">H49+J49+K49+L49+N49+O49+P49</f>
        <v>96.789152285647</v>
      </c>
      <c r="R49" s="56" t="n">
        <f aca="false">Q49-G49</f>
        <v>-3.12635386468378</v>
      </c>
      <c r="S49" s="55" t="n">
        <v>0</v>
      </c>
      <c r="T49" s="56" t="n">
        <f aca="false">S49*IF($A49&gt;=1923,C49,1)</f>
        <v>0</v>
      </c>
      <c r="U49" s="55" t="n">
        <v>0</v>
      </c>
      <c r="V49" s="55" t="n">
        <v>0</v>
      </c>
      <c r="W49" s="56" t="n">
        <f aca="false">(X48-0)*jp_foreign_repay+0</f>
        <v>0.0866926893814561</v>
      </c>
      <c r="X49" s="56" t="n">
        <f aca="false">X48+T49-W49</f>
        <v>2.80306362333375</v>
      </c>
      <c r="Y49" s="56" t="n">
        <f aca="false">AG49+AF49-AH49</f>
        <v>86.214860729223</v>
      </c>
      <c r="Z49" s="56" t="n">
        <f aca="false">X49+Y49</f>
        <v>89.0179243525567</v>
      </c>
      <c r="AA49" s="66" t="n">
        <f aca="false">IF(D49&gt;0,Z49/D49,0)</f>
        <v>0.0899841346555443</v>
      </c>
      <c r="AB49" s="66" t="n">
        <f aca="false">IF(G49&gt;0,P49/G49,0)</f>
        <v>0.0461111001522638</v>
      </c>
      <c r="AC49" s="66" t="n">
        <f aca="false">IF(T49+AF49&gt;0,T49/(T49+AF49),0)</f>
        <v>0</v>
      </c>
      <c r="AD49" s="78" t="n">
        <f aca="false">AJ48</f>
        <v>0</v>
      </c>
      <c r="AE49" s="78" t="n">
        <f aca="false">AD49+G49+T49+U49+AP49-Q49-W49-AO49</f>
        <v>3.03966117530232</v>
      </c>
      <c r="AF49" s="78" t="n">
        <f aca="false">MAX(0,-AE49)</f>
        <v>0</v>
      </c>
      <c r="AG49" s="78" t="n">
        <f aca="false">Y48+V49</f>
        <v>89.2545219045253</v>
      </c>
      <c r="AH49" s="78" t="n">
        <f aca="false">MIN(MAX(0,AE49),AG49)</f>
        <v>3.03966117530232</v>
      </c>
      <c r="AI49" s="78" t="n">
        <f aca="false">AE49+AF49-AH49</f>
        <v>0</v>
      </c>
      <c r="AJ49" s="78" t="n">
        <f aca="false">AI49</f>
        <v>0</v>
      </c>
      <c r="AK49" s="78" t="n">
        <f aca="false">AK48</f>
        <v>0</v>
      </c>
      <c r="AL49" s="78" t="n">
        <f aca="false">AJ49+AK49+AN49-Z49</f>
        <v>-89.0179243525567</v>
      </c>
      <c r="AM49" s="78" t="n">
        <f aca="false">AJ49-(AD49+G49+T49+U49+AF49+AP49-Q49-W49-AH49-AO49)</f>
        <v>0</v>
      </c>
      <c r="AN49" s="78" t="n">
        <f aca="false">0</f>
        <v>0</v>
      </c>
      <c r="AO49" s="78" t="n">
        <f aca="false">0</f>
        <v>0</v>
      </c>
      <c r="AP49" s="78" t="n">
        <f aca="false">0</f>
        <v>0</v>
      </c>
    </row>
    <row r="50" customFormat="false" ht="14.25" hidden="false" customHeight="false" outlineLevel="0" collapsed="false">
      <c r="A50" s="61" t="n">
        <v>1890</v>
      </c>
      <c r="B50" s="48" t="n">
        <v>800</v>
      </c>
      <c r="C50" s="77" t="n">
        <f aca="false">Partners!H50</f>
        <v>1.30472649152924</v>
      </c>
      <c r="D50" s="50" t="n">
        <f aca="false">Partners!I50</f>
        <v>1043.7811932234</v>
      </c>
      <c r="E50" s="62" t="n">
        <v>0.1</v>
      </c>
      <c r="F50" s="62" t="n">
        <v>0.085</v>
      </c>
      <c r="G50" s="56" t="n">
        <f aca="false">D50*E50</f>
        <v>104.37811932234</v>
      </c>
      <c r="H50" s="56" t="n">
        <f aca="false">D50*F50</f>
        <v>88.7214014239886</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4.45089621762784</v>
      </c>
      <c r="Q50" s="56" t="n">
        <f aca="false">H50+J50+K50+L50+N50+O50+P50</f>
        <v>101.172297641616</v>
      </c>
      <c r="R50" s="56" t="n">
        <f aca="false">Q50-G50</f>
        <v>-3.20582168072309</v>
      </c>
      <c r="S50" s="55" t="n">
        <v>0</v>
      </c>
      <c r="T50" s="56" t="n">
        <f aca="false">S50*IF($A50&gt;=1923,C50,1)</f>
        <v>0</v>
      </c>
      <c r="U50" s="55" t="n">
        <v>0</v>
      </c>
      <c r="V50" s="55" t="n">
        <v>0</v>
      </c>
      <c r="W50" s="56" t="n">
        <f aca="false">(X49-0)*jp_foreign_repay+0</f>
        <v>0.0840919087000124</v>
      </c>
      <c r="X50" s="56" t="n">
        <f aca="false">X49+T50-W50</f>
        <v>2.71897171463374</v>
      </c>
      <c r="Y50" s="56" t="n">
        <f aca="false">AG50+AF50-AH50</f>
        <v>83.0931309571999</v>
      </c>
      <c r="Z50" s="56" t="n">
        <f aca="false">X50+Y50</f>
        <v>85.8121026718337</v>
      </c>
      <c r="AA50" s="66" t="n">
        <f aca="false">IF(D50&gt;0,Z50/D50,0)</f>
        <v>0.0822127312016703</v>
      </c>
      <c r="AB50" s="66" t="n">
        <f aca="false">IF(G50&gt;0,P50/G50,0)</f>
        <v>0.0426420426668411</v>
      </c>
      <c r="AC50" s="66" t="n">
        <f aca="false">IF(T50+AF50&gt;0,T50/(T50+AF50),0)</f>
        <v>0</v>
      </c>
      <c r="AD50" s="78" t="n">
        <f aca="false">AJ49</f>
        <v>0</v>
      </c>
      <c r="AE50" s="78" t="n">
        <f aca="false">AD50+G50+T50+U50+AP50-Q50-W50-AO50</f>
        <v>3.12172977202308</v>
      </c>
      <c r="AF50" s="78" t="n">
        <f aca="false">MAX(0,-AE50)</f>
        <v>0</v>
      </c>
      <c r="AG50" s="78" t="n">
        <f aca="false">Y49+V50</f>
        <v>86.214860729223</v>
      </c>
      <c r="AH50" s="78" t="n">
        <f aca="false">MIN(MAX(0,AE50),AG50)</f>
        <v>3.12172977202308</v>
      </c>
      <c r="AI50" s="78" t="n">
        <f aca="false">AE50+AF50-AH50</f>
        <v>0</v>
      </c>
      <c r="AJ50" s="78" t="n">
        <f aca="false">AI50</f>
        <v>0</v>
      </c>
      <c r="AK50" s="78" t="n">
        <f aca="false">AK49</f>
        <v>0</v>
      </c>
      <c r="AL50" s="78" t="n">
        <f aca="false">AJ50+AK50+AN50-Z50</f>
        <v>-85.8121026718337</v>
      </c>
      <c r="AM50" s="78" t="n">
        <f aca="false">AJ50-(AD50+G50+T50+U50+AF50+AP50-Q50-W50-AH50-AO50)</f>
        <v>0</v>
      </c>
      <c r="AN50" s="78" t="n">
        <f aca="false">0</f>
        <v>0</v>
      </c>
      <c r="AO50" s="78" t="n">
        <f aca="false">0</f>
        <v>0</v>
      </c>
      <c r="AP50" s="78" t="n">
        <f aca="false">0</f>
        <v>0</v>
      </c>
    </row>
    <row r="51" customFormat="false" ht="14.25" hidden="false" customHeight="false" outlineLevel="0" collapsed="false">
      <c r="A51" s="61" t="n">
        <v>1891</v>
      </c>
      <c r="B51" s="48" t="n">
        <v>804</v>
      </c>
      <c r="C51" s="77" t="n">
        <f aca="false">Partners!H51</f>
        <v>1.3252739898285</v>
      </c>
      <c r="D51" s="50" t="n">
        <f aca="false">Partners!I51</f>
        <v>1065.52028782211</v>
      </c>
      <c r="E51" s="62" t="n">
        <v>0.101</v>
      </c>
      <c r="F51" s="62" t="n">
        <v>0.085</v>
      </c>
      <c r="G51" s="56" t="n">
        <f aca="false">D51*E51</f>
        <v>107.617549070033</v>
      </c>
      <c r="H51" s="56" t="n">
        <f aca="false">D51*F51</f>
        <v>90.5692244648795</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4.29060513359168</v>
      </c>
      <c r="Q51" s="56" t="n">
        <f aca="false">H51+J51+K51+L51+N51+O51+P51</f>
        <v>103.859829598471</v>
      </c>
      <c r="R51" s="56" t="n">
        <f aca="false">Q51-G51</f>
        <v>-3.75771947156211</v>
      </c>
      <c r="S51" s="55" t="n">
        <v>0</v>
      </c>
      <c r="T51" s="56" t="n">
        <f aca="false">S51*IF($A51&gt;=1923,C51,1)</f>
        <v>0</v>
      </c>
      <c r="U51" s="55" t="n">
        <v>0</v>
      </c>
      <c r="V51" s="55" t="n">
        <v>0</v>
      </c>
      <c r="W51" s="56" t="n">
        <f aca="false">(X50-0)*jp_foreign_repay+0</f>
        <v>0.0815691514390121</v>
      </c>
      <c r="X51" s="56" t="n">
        <f aca="false">X50+T51-W51</f>
        <v>2.63740256319472</v>
      </c>
      <c r="Y51" s="56" t="n">
        <f aca="false">AG51+AF51-AH51</f>
        <v>79.4169806370768</v>
      </c>
      <c r="Z51" s="56" t="n">
        <f aca="false">X51+Y51</f>
        <v>82.0543832002715</v>
      </c>
      <c r="AA51" s="66" t="n">
        <f aca="false">IF(D51&gt;0,Z51/D51,0)</f>
        <v>0.0770087478747007</v>
      </c>
      <c r="AB51" s="66" t="n">
        <f aca="false">IF(G51&gt;0,P51/G51,0)</f>
        <v>0.0398690099400008</v>
      </c>
      <c r="AC51" s="66" t="n">
        <f aca="false">IF(T51+AF51&gt;0,T51/(T51+AF51),0)</f>
        <v>0</v>
      </c>
      <c r="AD51" s="78" t="n">
        <f aca="false">AJ50</f>
        <v>0</v>
      </c>
      <c r="AE51" s="78" t="n">
        <f aca="false">AD51+G51+T51+U51+AP51-Q51-W51-AO51</f>
        <v>3.6761503201231</v>
      </c>
      <c r="AF51" s="78" t="n">
        <f aca="false">MAX(0,-AE51)</f>
        <v>0</v>
      </c>
      <c r="AG51" s="78" t="n">
        <f aca="false">Y50+V51</f>
        <v>83.0931309571999</v>
      </c>
      <c r="AH51" s="78" t="n">
        <f aca="false">MIN(MAX(0,AE51),AG51)</f>
        <v>3.6761503201231</v>
      </c>
      <c r="AI51" s="78" t="n">
        <f aca="false">AE51+AF51-AH51</f>
        <v>0</v>
      </c>
      <c r="AJ51" s="78" t="n">
        <f aca="false">AI51</f>
        <v>0</v>
      </c>
      <c r="AK51" s="78" t="n">
        <f aca="false">AK50</f>
        <v>0</v>
      </c>
      <c r="AL51" s="78" t="n">
        <f aca="false">AJ51+AK51+AN51-Z51</f>
        <v>-82.0543832002715</v>
      </c>
      <c r="AM51" s="78" t="n">
        <f aca="false">AJ51-(AD51+G51+T51+U51+AF51+AP51-Q51-W51-AH51-AO51)</f>
        <v>0</v>
      </c>
      <c r="AN51" s="78" t="n">
        <f aca="false">0</f>
        <v>0</v>
      </c>
      <c r="AO51" s="78" t="n">
        <f aca="false">0</f>
        <v>0</v>
      </c>
      <c r="AP51" s="78" t="n">
        <f aca="false">0</f>
        <v>0</v>
      </c>
    </row>
    <row r="52" customFormat="false" ht="14.25" hidden="false" customHeight="false" outlineLevel="0" collapsed="false">
      <c r="A52" s="61" t="n">
        <v>1892</v>
      </c>
      <c r="B52" s="48" t="n">
        <v>808</v>
      </c>
      <c r="C52" s="77" t="n">
        <f aca="false">Partners!H52</f>
        <v>1.34666790448308</v>
      </c>
      <c r="D52" s="50" t="n">
        <f aca="false">Partners!I52</f>
        <v>1088.10766682232</v>
      </c>
      <c r="E52" s="62" t="n">
        <v>0.102</v>
      </c>
      <c r="F52" s="62" t="n">
        <v>0.085</v>
      </c>
      <c r="G52" s="56" t="n">
        <f aca="false">D52*E52</f>
        <v>110.986982015877</v>
      </c>
      <c r="H52" s="56" t="n">
        <f aca="false">D52*F52</f>
        <v>92.4891516798976</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4.10271916001358</v>
      </c>
      <c r="Q52" s="56" t="n">
        <f aca="false">H52+J52+K52+L52+N52+O52+P52</f>
        <v>106.591870839911</v>
      </c>
      <c r="R52" s="56" t="n">
        <f aca="false">Q52-G52</f>
        <v>-4.39511117596592</v>
      </c>
      <c r="S52" s="55" t="n">
        <v>0</v>
      </c>
      <c r="T52" s="56" t="n">
        <f aca="false">S52*IF($A52&gt;=1923,C52,1)</f>
        <v>0</v>
      </c>
      <c r="U52" s="55" t="n">
        <v>0</v>
      </c>
      <c r="V52" s="55" t="n">
        <v>0</v>
      </c>
      <c r="W52" s="56" t="n">
        <f aca="false">(X51-0)*jp_foreign_repay+0</f>
        <v>0.0791220768958417</v>
      </c>
      <c r="X52" s="56" t="n">
        <f aca="false">X51+T52-W52</f>
        <v>2.55828048629888</v>
      </c>
      <c r="Y52" s="56" t="n">
        <f aca="false">AG52+AF52-AH52</f>
        <v>75.1009915380067</v>
      </c>
      <c r="Z52" s="56" t="n">
        <f aca="false">X52+Y52</f>
        <v>77.6592720243056</v>
      </c>
      <c r="AA52" s="66" t="n">
        <f aca="false">IF(D52&gt;0,Z52/D52,0)</f>
        <v>0.0713709446153424</v>
      </c>
      <c r="AB52" s="66" t="n">
        <f aca="false">IF(G52&gt;0,P52/G52,0)</f>
        <v>0.036965769187477</v>
      </c>
      <c r="AC52" s="66" t="n">
        <f aca="false">IF(T52+AF52&gt;0,T52/(T52+AF52),0)</f>
        <v>0</v>
      </c>
      <c r="AD52" s="78" t="n">
        <f aca="false">AJ51</f>
        <v>0</v>
      </c>
      <c r="AE52" s="78" t="n">
        <f aca="false">AD52+G52+T52+U52+AP52-Q52-W52-AO52</f>
        <v>4.31598909907008</v>
      </c>
      <c r="AF52" s="78" t="n">
        <f aca="false">MAX(0,-AE52)</f>
        <v>0</v>
      </c>
      <c r="AG52" s="78" t="n">
        <f aca="false">Y51+V52</f>
        <v>79.4169806370768</v>
      </c>
      <c r="AH52" s="78" t="n">
        <f aca="false">MIN(MAX(0,AE52),AG52)</f>
        <v>4.31598909907008</v>
      </c>
      <c r="AI52" s="78" t="n">
        <f aca="false">AE52+AF52-AH52</f>
        <v>0</v>
      </c>
      <c r="AJ52" s="78" t="n">
        <f aca="false">AI52</f>
        <v>0</v>
      </c>
      <c r="AK52" s="78" t="n">
        <f aca="false">AK51</f>
        <v>0</v>
      </c>
      <c r="AL52" s="78" t="n">
        <f aca="false">AJ52+AK52+AN52-Z52</f>
        <v>-77.6592720243056</v>
      </c>
      <c r="AM52" s="78" t="n">
        <f aca="false">AJ52-(AD52+G52+T52+U52+AF52+AP52-Q52-W52-AH52-AO52)</f>
        <v>0</v>
      </c>
      <c r="AN52" s="78" t="n">
        <f aca="false">0</f>
        <v>0</v>
      </c>
      <c r="AO52" s="78" t="n">
        <f aca="false">0</f>
        <v>0</v>
      </c>
      <c r="AP52" s="78" t="n">
        <f aca="false">0</f>
        <v>0</v>
      </c>
    </row>
    <row r="53" customFormat="false" ht="14.25" hidden="false" customHeight="false" outlineLevel="0" collapsed="false">
      <c r="A53" s="61" t="n">
        <v>1893</v>
      </c>
      <c r="B53" s="48" t="n">
        <v>812</v>
      </c>
      <c r="C53" s="77" t="n">
        <f aca="false">Partners!H53</f>
        <v>1.36889653682584</v>
      </c>
      <c r="D53" s="50" t="n">
        <f aca="false">Partners!I53</f>
        <v>1111.54398790258</v>
      </c>
      <c r="E53" s="62" t="n">
        <v>0.103</v>
      </c>
      <c r="F53" s="62" t="n">
        <v>0.085</v>
      </c>
      <c r="G53" s="56" t="n">
        <f aca="false">D53*E53</f>
        <v>114.489030753966</v>
      </c>
      <c r="H53" s="56" t="n">
        <f aca="false">D53*F53</f>
        <v>94.4812389717196</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3.88296360121528</v>
      </c>
      <c r="Q53" s="56" t="n">
        <f aca="false">H53+J53+K53+L53+N53+O53+P53</f>
        <v>109.364202572935</v>
      </c>
      <c r="R53" s="56" t="n">
        <f aca="false">Q53-G53</f>
        <v>-5.12482818103121</v>
      </c>
      <c r="S53" s="55" t="n">
        <v>0</v>
      </c>
      <c r="T53" s="56" t="n">
        <f aca="false">S53*IF($A53&gt;=1923,C53,1)</f>
        <v>0</v>
      </c>
      <c r="U53" s="55" t="n">
        <v>0</v>
      </c>
      <c r="V53" s="55" t="n">
        <v>0</v>
      </c>
      <c r="W53" s="56" t="n">
        <f aca="false">(X52-0)*jp_foreign_repay+0</f>
        <v>0.0767484145889665</v>
      </c>
      <c r="X53" s="56" t="n">
        <f aca="false">X52+T53-W53</f>
        <v>2.48153207170992</v>
      </c>
      <c r="Y53" s="56" t="n">
        <f aca="false">AG53+AF53-AH53</f>
        <v>70.0529117715645</v>
      </c>
      <c r="Z53" s="56" t="n">
        <f aca="false">X53+Y53</f>
        <v>72.5344438432744</v>
      </c>
      <c r="AA53" s="66" t="n">
        <f aca="false">IF(D53&gt;0,Z53/D53,0)</f>
        <v>0.0652555765967864</v>
      </c>
      <c r="AB53" s="66" t="n">
        <f aca="false">IF(G53&gt;0,P53/G53,0)</f>
        <v>0.0339155950194012</v>
      </c>
      <c r="AC53" s="66" t="n">
        <f aca="false">IF(T53+AF53&gt;0,T53/(T53+AF53),0)</f>
        <v>0</v>
      </c>
      <c r="AD53" s="78" t="n">
        <f aca="false">AJ52</f>
        <v>0</v>
      </c>
      <c r="AE53" s="78" t="n">
        <f aca="false">AD53+G53+T53+U53+AP53-Q53-W53-AO53</f>
        <v>5.04807976644224</v>
      </c>
      <c r="AF53" s="78" t="n">
        <f aca="false">MAX(0,-AE53)</f>
        <v>0</v>
      </c>
      <c r="AG53" s="78" t="n">
        <f aca="false">Y52+V53</f>
        <v>75.1009915380067</v>
      </c>
      <c r="AH53" s="78" t="n">
        <f aca="false">MIN(MAX(0,AE53),AG53)</f>
        <v>5.04807976644224</v>
      </c>
      <c r="AI53" s="78" t="n">
        <f aca="false">AE53+AF53-AH53</f>
        <v>0</v>
      </c>
      <c r="AJ53" s="78" t="n">
        <f aca="false">AI53</f>
        <v>0</v>
      </c>
      <c r="AK53" s="78" t="n">
        <f aca="false">AK52</f>
        <v>0</v>
      </c>
      <c r="AL53" s="78" t="n">
        <f aca="false">AJ53+AK53+AN53-Z53</f>
        <v>-72.5344438432744</v>
      </c>
      <c r="AM53" s="78" t="n">
        <f aca="false">AJ53-(AD53+G53+T53+U53+AF53+AP53-Q53-W53-AH53-AO53)</f>
        <v>0</v>
      </c>
      <c r="AN53" s="78" t="n">
        <f aca="false">0</f>
        <v>0</v>
      </c>
      <c r="AO53" s="78" t="n">
        <f aca="false">0</f>
        <v>0</v>
      </c>
      <c r="AP53" s="78" t="n">
        <f aca="false">0</f>
        <v>0</v>
      </c>
    </row>
    <row r="54" customFormat="false" ht="14.25" hidden="false" customHeight="false" outlineLevel="0" collapsed="false">
      <c r="A54" s="61" t="n">
        <v>1894</v>
      </c>
      <c r="B54" s="48" t="n">
        <v>816</v>
      </c>
      <c r="C54" s="77" t="n">
        <f aca="false">Partners!H54</f>
        <v>1.39159892528036</v>
      </c>
      <c r="D54" s="50" t="n">
        <f aca="false">Partners!I54</f>
        <v>1135.54472302877</v>
      </c>
      <c r="E54" s="62" t="n">
        <v>0.104</v>
      </c>
      <c r="F54" s="62" t="n">
        <v>0.085</v>
      </c>
      <c r="G54" s="56" t="n">
        <f aca="false">D54*E54</f>
        <v>118.096651194992</v>
      </c>
      <c r="H54" s="56" t="n">
        <f aca="false">D54*F54</f>
        <v>96.5213014574457</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3.62672219216372</v>
      </c>
      <c r="Q54" s="56" t="n">
        <f aca="false">H54+J54+K54+L54+N54+O54+P54</f>
        <v>152.148023649609</v>
      </c>
      <c r="R54" s="56" t="n">
        <f aca="false">Q54-G54</f>
        <v>34.0513724546171</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94.1787301883329</v>
      </c>
      <c r="Z54" s="56" t="n">
        <f aca="false">X54+Y54</f>
        <v>106.585816297891</v>
      </c>
      <c r="AA54" s="66" t="n">
        <f aca="false">IF(D54&gt;0,Z54/D54,0)</f>
        <v>0.093863160240489</v>
      </c>
      <c r="AB54" s="66" t="n">
        <f aca="false">IF(G54&gt;0,P54/G54,0)</f>
        <v>0.0307097801289517</v>
      </c>
      <c r="AC54" s="66" t="n">
        <f aca="false">IF(T54+AF54&gt;0,T54/(T54+AF54),0)</f>
        <v>0.29303326525017</v>
      </c>
      <c r="AD54" s="78" t="n">
        <f aca="false">AJ53</f>
        <v>0</v>
      </c>
      <c r="AE54" s="78" t="n">
        <f aca="false">AD54+G54+T54+U54+AP54-Q54-W54-AO54</f>
        <v>-24.1258184167684</v>
      </c>
      <c r="AF54" s="78" t="n">
        <f aca="false">MAX(0,-AE54)</f>
        <v>24.1258184167684</v>
      </c>
      <c r="AG54" s="78" t="n">
        <f aca="false">Y53+V54</f>
        <v>70.0529117715645</v>
      </c>
      <c r="AH54" s="78" t="n">
        <f aca="false">MIN(MAX(0,AE54),AG54)</f>
        <v>0</v>
      </c>
      <c r="AI54" s="78" t="n">
        <f aca="false">AE54+AF54-AH54</f>
        <v>0</v>
      </c>
      <c r="AJ54" s="78" t="n">
        <f aca="false">AI54</f>
        <v>0</v>
      </c>
      <c r="AK54" s="78" t="n">
        <f aca="false">AK53</f>
        <v>0</v>
      </c>
      <c r="AL54" s="78" t="n">
        <f aca="false">AJ54+AK54+AN54-Z54</f>
        <v>-106.585816297891</v>
      </c>
      <c r="AM54" s="78" t="n">
        <f aca="false">AJ54-(AD54+G54+T54+U54+AF54+AP54-Q54-W54-AH54-AO54)</f>
        <v>1.00613961606655E-014</v>
      </c>
      <c r="AN54" s="78" t="n">
        <f aca="false">0</f>
        <v>0</v>
      </c>
      <c r="AO54" s="78" t="n">
        <f aca="false">0</f>
        <v>0</v>
      </c>
      <c r="AP54" s="78" t="n">
        <f aca="false">0</f>
        <v>0</v>
      </c>
    </row>
    <row r="55" customFormat="false" ht="14.25" hidden="false" customHeight="false" outlineLevel="0" collapsed="false">
      <c r="A55" s="61" t="n">
        <v>1895</v>
      </c>
      <c r="B55" s="48" t="n">
        <v>820</v>
      </c>
      <c r="C55" s="77" t="n">
        <f aca="false">Partners!H55</f>
        <v>1.41507760351634</v>
      </c>
      <c r="D55" s="50" t="n">
        <f aca="false">Partners!I55</f>
        <v>1160.3636348834</v>
      </c>
      <c r="E55" s="62" t="n">
        <v>0.105</v>
      </c>
      <c r="F55" s="62" t="n">
        <v>0.085</v>
      </c>
      <c r="G55" s="56" t="n">
        <f aca="false">D55*E55</f>
        <v>121.838181662757</v>
      </c>
      <c r="H55" s="56" t="n">
        <f aca="false">D55*F55</f>
        <v>98.6309089650886</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5.32929081489457</v>
      </c>
      <c r="Q55" s="56" t="n">
        <f aca="false">H55+J55+K55+L55+N55+O55+P55</f>
        <v>180.260199779983</v>
      </c>
      <c r="R55" s="56" t="n">
        <f aca="false">Q55-G55</f>
        <v>58.4220181172267</v>
      </c>
      <c r="S55" s="55" t="n">
        <v>0</v>
      </c>
      <c r="T55" s="56" t="n">
        <f aca="false">S55*IF($A55&gt;=1923,C55,1)</f>
        <v>0</v>
      </c>
      <c r="U55" s="55" t="n">
        <v>0</v>
      </c>
      <c r="V55" s="55" t="n">
        <v>0</v>
      </c>
      <c r="W55" s="56" t="n">
        <f aca="false">(X54-0)*jp_foreign_repay+0</f>
        <v>0.372212583286759</v>
      </c>
      <c r="X55" s="56" t="n">
        <f aca="false">X54+T55-W55</f>
        <v>12.0348735262719</v>
      </c>
      <c r="Y55" s="56" t="n">
        <f aca="false">AG55+AF55-AH55</f>
        <v>152.972960888846</v>
      </c>
      <c r="Z55" s="56" t="n">
        <f aca="false">X55+Y55</f>
        <v>165.007834415118</v>
      </c>
      <c r="AA55" s="66" t="n">
        <f aca="false">IF(D55&gt;0,Z55/D55,0)</f>
        <v>0.142203555380896</v>
      </c>
      <c r="AB55" s="66" t="n">
        <f aca="false">IF(G55&gt;0,P55/G55,0)</f>
        <v>0.0437407284166949</v>
      </c>
      <c r="AC55" s="66" t="n">
        <f aca="false">IF(T55+AF55&gt;0,T55/(T55+AF55),0)</f>
        <v>0</v>
      </c>
      <c r="AD55" s="78" t="n">
        <f aca="false">AJ54</f>
        <v>0</v>
      </c>
      <c r="AE55" s="78" t="n">
        <f aca="false">AD55+G55+T55+U55+AP55-Q55-W55-AO55</f>
        <v>-58.7942307005134</v>
      </c>
      <c r="AF55" s="78" t="n">
        <f aca="false">MAX(0,-AE55)</f>
        <v>58.7942307005134</v>
      </c>
      <c r="AG55" s="78" t="n">
        <f aca="false">Y54+V55</f>
        <v>94.1787301883329</v>
      </c>
      <c r="AH55" s="78" t="n">
        <f aca="false">MIN(MAX(0,AE55),AG55)</f>
        <v>0</v>
      </c>
      <c r="AI55" s="78" t="n">
        <f aca="false">AE55+AF55-AH55</f>
        <v>0</v>
      </c>
      <c r="AJ55" s="78" t="n">
        <f aca="false">AI55</f>
        <v>0</v>
      </c>
      <c r="AK55" s="78" t="n">
        <f aca="false">AK54</f>
        <v>0</v>
      </c>
      <c r="AL55" s="78" t="n">
        <f aca="false">AJ55+AK55+AN55-Z55</f>
        <v>-165.007834415118</v>
      </c>
      <c r="AM55" s="78" t="n">
        <f aca="false">AJ55-(AD55+G55+T55+U55+AF55+AP55-Q55-W55-AH55-AO55)</f>
        <v>-8.99280649946377E-015</v>
      </c>
      <c r="AN55" s="78" t="n">
        <f aca="false">0</f>
        <v>0</v>
      </c>
      <c r="AO55" s="78" t="n">
        <f aca="false">0</f>
        <v>0</v>
      </c>
      <c r="AP55" s="78" t="n">
        <f aca="false">0</f>
        <v>0</v>
      </c>
    </row>
    <row r="56" customFormat="false" ht="14.25" hidden="false" customHeight="false" outlineLevel="0" collapsed="false">
      <c r="A56" s="61" t="n">
        <v>1896</v>
      </c>
      <c r="B56" s="48" t="n">
        <v>960</v>
      </c>
      <c r="C56" s="77" t="n">
        <f aca="false">Partners!H56</f>
        <v>1.43963489788084</v>
      </c>
      <c r="D56" s="50" t="n">
        <f aca="false">Partners!I56</f>
        <v>1382.0495019656</v>
      </c>
      <c r="E56" s="62" t="n">
        <v>0.106</v>
      </c>
      <c r="F56" s="62" t="n">
        <v>0.085</v>
      </c>
      <c r="G56" s="56" t="n">
        <f aca="false">D56*E56</f>
        <v>146.497247208354</v>
      </c>
      <c r="H56" s="56" t="n">
        <f aca="false">D56*F56</f>
        <v>117.474207667076</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8.25039172075591</v>
      </c>
      <c r="Q56" s="56" t="n">
        <f aca="false">H56+J56+K56+L56+N56+O56+P56</f>
        <v>146.424599387832</v>
      </c>
      <c r="R56" s="56" t="n">
        <f aca="false">Q56-G56</f>
        <v>-0.0726478205217518</v>
      </c>
      <c r="S56" s="55" t="n">
        <v>0</v>
      </c>
      <c r="T56" s="56" t="n">
        <f aca="false">S56*IF($A56&gt;=1923,C56,1)</f>
        <v>0</v>
      </c>
      <c r="U56" s="55" t="n">
        <v>0</v>
      </c>
      <c r="V56" s="55" t="n">
        <v>0</v>
      </c>
      <c r="W56" s="56" t="n">
        <f aca="false">(X55-0)*jp_foreign_repay+0</f>
        <v>0.361046205788156</v>
      </c>
      <c r="X56" s="56" t="n">
        <f aca="false">X55+T56-W56</f>
        <v>11.6738273204837</v>
      </c>
      <c r="Y56" s="56" t="n">
        <f aca="false">AG56+AF56-AH56</f>
        <v>153.261359274113</v>
      </c>
      <c r="Z56" s="56" t="n">
        <f aca="false">X56+Y56</f>
        <v>164.935186594596</v>
      </c>
      <c r="AA56" s="66" t="n">
        <f aca="false">IF(D56&gt;0,Z56/D56,0)</f>
        <v>0.119341012286477</v>
      </c>
      <c r="AB56" s="66" t="n">
        <f aca="false">IF(G56&gt;0,P56/G56,0)</f>
        <v>0.0563177252677102</v>
      </c>
      <c r="AC56" s="66" t="n">
        <f aca="false">IF(T56+AF56&gt;0,T56/(T56+AF56),0)</f>
        <v>0</v>
      </c>
      <c r="AD56" s="78" t="n">
        <f aca="false">AJ55</f>
        <v>0</v>
      </c>
      <c r="AE56" s="78" t="n">
        <f aca="false">AD56+G56+T56+U56+AP56-Q56-W56-AO56</f>
        <v>-0.288398385266404</v>
      </c>
      <c r="AF56" s="78" t="n">
        <f aca="false">MAX(0,-AE56)</f>
        <v>0.288398385266404</v>
      </c>
      <c r="AG56" s="78" t="n">
        <f aca="false">Y55+V56</f>
        <v>152.972960888846</v>
      </c>
      <c r="AH56" s="78" t="n">
        <f aca="false">MIN(MAX(0,AE56),AG56)</f>
        <v>0</v>
      </c>
      <c r="AI56" s="78" t="n">
        <f aca="false">AE56+AF56-AH56</f>
        <v>0</v>
      </c>
      <c r="AJ56" s="78" t="n">
        <f aca="false">AI56</f>
        <v>0</v>
      </c>
      <c r="AK56" s="78" t="n">
        <f aca="false">AK55</f>
        <v>0</v>
      </c>
      <c r="AL56" s="78" t="n">
        <f aca="false">AJ56+AK56+AN56-Z56</f>
        <v>-164.935186594596</v>
      </c>
      <c r="AM56" s="78" t="n">
        <f aca="false">AJ56-(AD56+G56+T56+U56+AF56+AP56-Q56-W56-AH56-AO56)</f>
        <v>1.37112543541207E-014</v>
      </c>
      <c r="AN56" s="78" t="n">
        <f aca="false">0</f>
        <v>0</v>
      </c>
      <c r="AO56" s="78" t="n">
        <f aca="false">0</f>
        <v>0</v>
      </c>
      <c r="AP56" s="78" t="n">
        <f aca="false">0</f>
        <v>0</v>
      </c>
    </row>
    <row r="57" customFormat="false" ht="14.25" hidden="false" customHeight="false" outlineLevel="0" collapsed="false">
      <c r="A57" s="61" t="n">
        <v>1897</v>
      </c>
      <c r="B57" s="48" t="n">
        <v>1100</v>
      </c>
      <c r="C57" s="77" t="n">
        <f aca="false">Partners!H57</f>
        <v>1.46361551886078</v>
      </c>
      <c r="D57" s="50" t="n">
        <f aca="false">Partners!I57</f>
        <v>1609.97707074686</v>
      </c>
      <c r="E57" s="62" t="n">
        <v>0.107</v>
      </c>
      <c r="F57" s="62" t="n">
        <v>0.085</v>
      </c>
      <c r="G57" s="56" t="n">
        <f aca="false">D57*E57</f>
        <v>172.267546569914</v>
      </c>
      <c r="H57" s="56" t="n">
        <f aca="false">D57*F57</f>
        <v>136.848051013483</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8.24675932972982</v>
      </c>
      <c r="Q57" s="56" t="n">
        <f aca="false">H57+J57+K57+L57+N57+O57+P57</f>
        <v>170.094810343213</v>
      </c>
      <c r="R57" s="56" t="n">
        <f aca="false">Q57-G57</f>
        <v>-2.17273622670098</v>
      </c>
      <c r="S57" s="55" t="n">
        <v>20</v>
      </c>
      <c r="T57" s="56" t="n">
        <f aca="false">S57*IF($A57&gt;=1923,C57,1)</f>
        <v>20</v>
      </c>
      <c r="U57" s="55" t="n">
        <v>0</v>
      </c>
      <c r="V57" s="55" t="n">
        <v>0</v>
      </c>
      <c r="W57" s="56" t="n">
        <f aca="false">(X56-0)*jp_foreign_repay+0</f>
        <v>0.350214819614511</v>
      </c>
      <c r="X57" s="56" t="n">
        <f aca="false">X56+T57-W57</f>
        <v>31.3236125008692</v>
      </c>
      <c r="Y57" s="56" t="n">
        <f aca="false">AG57+AF57-AH57</f>
        <v>131.438837867026</v>
      </c>
      <c r="Z57" s="56" t="n">
        <f aca="false">X57+Y57</f>
        <v>162.762450367895</v>
      </c>
      <c r="AA57" s="66" t="n">
        <f aca="false">IF(D57&gt;0,Z57/D57,0)</f>
        <v>0.10109612945754</v>
      </c>
      <c r="AB57" s="66" t="n">
        <f aca="false">IF(G57&gt;0,P57/G57,0)</f>
        <v>0.0478718104131293</v>
      </c>
      <c r="AC57" s="66" t="n">
        <f aca="false">IF(T57+AF57&gt;0,T57/(T57+AF57),0)</f>
        <v>1</v>
      </c>
      <c r="AD57" s="78" t="n">
        <f aca="false">AJ56</f>
        <v>0</v>
      </c>
      <c r="AE57" s="78" t="n">
        <f aca="false">AD57+G57+T57+U57+AP57-Q57-W57-AO57</f>
        <v>21.8225214070865</v>
      </c>
      <c r="AF57" s="78" t="n">
        <f aca="false">MAX(0,-AE57)</f>
        <v>0</v>
      </c>
      <c r="AG57" s="78" t="n">
        <f aca="false">Y56+V57</f>
        <v>153.261359274113</v>
      </c>
      <c r="AH57" s="78" t="n">
        <f aca="false">MIN(MAX(0,AE57),AG57)</f>
        <v>21.8225214070865</v>
      </c>
      <c r="AI57" s="78" t="n">
        <f aca="false">AE57+AF57-AH57</f>
        <v>0</v>
      </c>
      <c r="AJ57" s="78" t="n">
        <f aca="false">AI57</f>
        <v>0</v>
      </c>
      <c r="AK57" s="78" t="n">
        <f aca="false">AK56</f>
        <v>0</v>
      </c>
      <c r="AL57" s="78" t="n">
        <f aca="false">AJ57+AK57+AN57-Z57</f>
        <v>-162.762450367895</v>
      </c>
      <c r="AM57" s="78" t="n">
        <f aca="false">AJ57-(AD57+G57+T57+U57+AF57+AP57-Q57-W57-AH57-AO57)</f>
        <v>0</v>
      </c>
      <c r="AN57" s="78" t="n">
        <f aca="false">0</f>
        <v>0</v>
      </c>
      <c r="AO57" s="78" t="n">
        <f aca="false">0</f>
        <v>0</v>
      </c>
      <c r="AP57" s="78" t="n">
        <f aca="false">0</f>
        <v>0</v>
      </c>
    </row>
    <row r="58" customFormat="false" ht="14.25" hidden="false" customHeight="false" outlineLevel="0" collapsed="false">
      <c r="A58" s="61" t="n">
        <v>1898</v>
      </c>
      <c r="B58" s="48" t="n">
        <v>1133</v>
      </c>
      <c r="C58" s="77" t="n">
        <f aca="false">Partners!H58</f>
        <v>1.48766720386538</v>
      </c>
      <c r="D58" s="50" t="n">
        <f aca="false">Partners!I58</f>
        <v>1685.52694197948</v>
      </c>
      <c r="E58" s="62" t="n">
        <v>0.108</v>
      </c>
      <c r="F58" s="62" t="n">
        <v>0.085</v>
      </c>
      <c r="G58" s="56" t="n">
        <f aca="false">D58*E58</f>
        <v>182.036909733784</v>
      </c>
      <c r="H58" s="56" t="n">
        <f aca="false">D58*F58</f>
        <v>143.269790068256</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8.13812251839477</v>
      </c>
      <c r="Q58" s="56" t="n">
        <f aca="false">H58+J58+K58+L58+N58+O58+P58</f>
        <v>268.10791258665</v>
      </c>
      <c r="R58" s="56" t="n">
        <f aca="false">Q58-G58</f>
        <v>86.0710028528667</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203.449549094919</v>
      </c>
      <c r="Z58" s="56" t="n">
        <f aca="false">X58+Y58</f>
        <v>248.833453220762</v>
      </c>
      <c r="AA58" s="66" t="n">
        <f aca="false">IF(D58&gt;0,Z58/D58,0)</f>
        <v>0.147629472435803</v>
      </c>
      <c r="AB58" s="66" t="n">
        <f aca="false">IF(G58&gt;0,P58/G58,0)</f>
        <v>0.0447058925044169</v>
      </c>
      <c r="AC58" s="66" t="n">
        <f aca="false">IF(T58+AF58&gt;0,T58/(T58+AF58),0)</f>
        <v>0.172392568550704</v>
      </c>
      <c r="AD58" s="78" t="n">
        <f aca="false">AJ57</f>
        <v>0</v>
      </c>
      <c r="AE58" s="78" t="n">
        <f aca="false">AD58+G58+T58+U58+AP58-Q58-W58-AO58</f>
        <v>-72.0107112278928</v>
      </c>
      <c r="AF58" s="78" t="n">
        <f aca="false">MAX(0,-AE58)</f>
        <v>72.0107112278928</v>
      </c>
      <c r="AG58" s="78" t="n">
        <f aca="false">Y57+V58</f>
        <v>131.438837867026</v>
      </c>
      <c r="AH58" s="78" t="n">
        <f aca="false">MIN(MAX(0,AE58),AG58)</f>
        <v>0</v>
      </c>
      <c r="AI58" s="78" t="n">
        <f aca="false">AE58+AF58-AH58</f>
        <v>0</v>
      </c>
      <c r="AJ58" s="78" t="n">
        <f aca="false">AI58</f>
        <v>0</v>
      </c>
      <c r="AK58" s="78" t="n">
        <f aca="false">AK57</f>
        <v>0</v>
      </c>
      <c r="AL58" s="78" t="n">
        <f aca="false">AJ58+AK58+AN58-Z58</f>
        <v>-248.833453220762</v>
      </c>
      <c r="AM58" s="78" t="n">
        <f aca="false">AJ58-(AD58+G58+T58+U58+AF58+AP58-Q58-W58-AH58-AO58)</f>
        <v>3.21964677141295E-014</v>
      </c>
      <c r="AN58" s="78" t="n">
        <f aca="false">0</f>
        <v>0</v>
      </c>
      <c r="AO58" s="78" t="n">
        <f aca="false">0</f>
        <v>0</v>
      </c>
      <c r="AP58" s="78" t="n">
        <f aca="false">0</f>
        <v>0</v>
      </c>
    </row>
    <row r="59" customFormat="false" ht="14.25" hidden="false" customHeight="false" outlineLevel="0" collapsed="false">
      <c r="A59" s="61" t="n">
        <v>1899</v>
      </c>
      <c r="B59" s="48" t="n">
        <v>1167</v>
      </c>
      <c r="C59" s="77" t="n">
        <f aca="false">Partners!H59</f>
        <v>1.51262299002905</v>
      </c>
      <c r="D59" s="50" t="n">
        <f aca="false">Partners!I59</f>
        <v>1765.2310293639</v>
      </c>
      <c r="E59" s="62" t="n">
        <v>0.109</v>
      </c>
      <c r="F59" s="62" t="n">
        <v>0.085</v>
      </c>
      <c r="G59" s="56" t="n">
        <f aca="false">D59*E59</f>
        <v>192.410182200666</v>
      </c>
      <c r="H59" s="56" t="n">
        <f aca="false">D59*F59</f>
        <v>150.044637495932</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12.4416726610381</v>
      </c>
      <c r="Q59" s="56" t="n">
        <f aca="false">H59+J59+K59+L59+N59+O59+P59</f>
        <v>280.78631015697</v>
      </c>
      <c r="R59" s="56" t="n">
        <f aca="false">Q59-G59</f>
        <v>88.3761279563044</v>
      </c>
      <c r="S59" s="55" t="n">
        <v>15</v>
      </c>
      <c r="T59" s="56" t="n">
        <f aca="false">S59*IF($A59&gt;=1923,C59,1)</f>
        <v>15</v>
      </c>
      <c r="U59" s="55" t="n">
        <v>0</v>
      </c>
      <c r="V59" s="55" t="n">
        <v>0</v>
      </c>
      <c r="W59" s="56" t="n">
        <f aca="false">(X58-0)*jp_foreign_repay+0</f>
        <v>1.36151712377529</v>
      </c>
      <c r="X59" s="56" t="n">
        <f aca="false">X58+T59-W59</f>
        <v>59.0223870020678</v>
      </c>
      <c r="Y59" s="56" t="n">
        <f aca="false">AG59+AF59-AH59</f>
        <v>278.187194174999</v>
      </c>
      <c r="Z59" s="56" t="n">
        <f aca="false">X59+Y59</f>
        <v>337.209581177067</v>
      </c>
      <c r="AA59" s="66" t="n">
        <f aca="false">IF(D59&gt;0,Z59/D59,0)</f>
        <v>0.191028582416535</v>
      </c>
      <c r="AB59" s="66" t="n">
        <f aca="false">IF(G59&gt;0,P59/G59,0)</f>
        <v>0.0646622362638929</v>
      </c>
      <c r="AC59" s="66" t="n">
        <f aca="false">IF(T59+AF59&gt;0,T59/(T59+AF59),0)</f>
        <v>0.167153929508785</v>
      </c>
      <c r="AD59" s="78" t="n">
        <f aca="false">AJ58</f>
        <v>0</v>
      </c>
      <c r="AE59" s="78" t="n">
        <f aca="false">AD59+G59+T59+U59+AP59-Q59-W59-AO59</f>
        <v>-74.7376450800797</v>
      </c>
      <c r="AF59" s="78" t="n">
        <f aca="false">MAX(0,-AE59)</f>
        <v>74.7376450800797</v>
      </c>
      <c r="AG59" s="78" t="n">
        <f aca="false">Y58+V59</f>
        <v>203.449549094919</v>
      </c>
      <c r="AH59" s="78" t="n">
        <f aca="false">MIN(MAX(0,AE59),AG59)</f>
        <v>0</v>
      </c>
      <c r="AI59" s="78" t="n">
        <f aca="false">AE59+AF59-AH59</f>
        <v>0</v>
      </c>
      <c r="AJ59" s="78" t="n">
        <f aca="false">AI59</f>
        <v>0</v>
      </c>
      <c r="AK59" s="78" t="n">
        <f aca="false">AK58</f>
        <v>0</v>
      </c>
      <c r="AL59" s="78" t="n">
        <f aca="false">AJ59+AK59+AN59-Z59</f>
        <v>-337.209581177067</v>
      </c>
      <c r="AM59" s="78" t="n">
        <f aca="false">AJ59-(AD59+G59+T59+U59+AF59+AP59-Q59-W59-AH59-AO59)</f>
        <v>7.105427357601E-015</v>
      </c>
      <c r="AN59" s="78" t="n">
        <f aca="false">0</f>
        <v>0</v>
      </c>
      <c r="AO59" s="78" t="n">
        <f aca="false">0</f>
        <v>0</v>
      </c>
      <c r="AP59" s="78" t="n">
        <f aca="false">0</f>
        <v>0</v>
      </c>
    </row>
    <row r="60" customFormat="false" ht="14.25" hidden="false" customHeight="false" outlineLevel="0" collapsed="false">
      <c r="A60" s="61" t="n">
        <v>1900</v>
      </c>
      <c r="B60" s="48" t="n">
        <v>1200</v>
      </c>
      <c r="C60" s="77" t="n">
        <f aca="false">Partners!H60</f>
        <v>1.53849884715288</v>
      </c>
      <c r="D60" s="50" t="n">
        <f aca="false">Partners!I60</f>
        <v>1846.19861658346</v>
      </c>
      <c r="E60" s="62" t="n">
        <v>0.11</v>
      </c>
      <c r="F60" s="62" t="n">
        <v>0.085</v>
      </c>
      <c r="G60" s="56" t="n">
        <f aca="false">D60*E60</f>
        <v>203.08184782418</v>
      </c>
      <c r="H60" s="56" t="n">
        <f aca="false">D60*F60</f>
        <v>156.926882409594</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16.8604790588533</v>
      </c>
      <c r="Q60" s="56" t="n">
        <f aca="false">H60+J60+K60+L60+N60+O60+P60</f>
        <v>203.787361468447</v>
      </c>
      <c r="R60" s="56" t="n">
        <f aca="false">Q60-G60</f>
        <v>0.705513644266887</v>
      </c>
      <c r="S60" s="55" t="n">
        <v>0</v>
      </c>
      <c r="T60" s="56" t="n">
        <f aca="false">S60*IF($A60&gt;=1923,C60,1)</f>
        <v>0</v>
      </c>
      <c r="U60" s="55" t="n">
        <v>0</v>
      </c>
      <c r="V60" s="55" t="n">
        <v>0</v>
      </c>
      <c r="W60" s="56" t="n">
        <f aca="false">(X59-0)*jp_foreign_repay+0</f>
        <v>1.77067161006203</v>
      </c>
      <c r="X60" s="56" t="n">
        <f aca="false">X59+T60-W60</f>
        <v>57.2517153920058</v>
      </c>
      <c r="Y60" s="56" t="n">
        <f aca="false">AG60+AF60-AH60</f>
        <v>280.663379429328</v>
      </c>
      <c r="Z60" s="56" t="n">
        <f aca="false">X60+Y60</f>
        <v>337.915094821333</v>
      </c>
      <c r="AA60" s="66" t="n">
        <f aca="false">IF(D60&gt;0,Z60/D60,0)</f>
        <v>0.183032904361435</v>
      </c>
      <c r="AB60" s="66" t="n">
        <f aca="false">IF(G60&gt;0,P60/G60,0)</f>
        <v>0.0830230729112255</v>
      </c>
      <c r="AC60" s="66" t="n">
        <f aca="false">IF(T60+AF60&gt;0,T60/(T60+AF60),0)</f>
        <v>0</v>
      </c>
      <c r="AD60" s="78" t="n">
        <f aca="false">AJ59</f>
        <v>0</v>
      </c>
      <c r="AE60" s="78" t="n">
        <f aca="false">AD60+G60+T60+U60+AP60-Q60-W60-AO60</f>
        <v>-2.47618525432892</v>
      </c>
      <c r="AF60" s="78" t="n">
        <f aca="false">MAX(0,-AE60)</f>
        <v>2.47618525432892</v>
      </c>
      <c r="AG60" s="78" t="n">
        <f aca="false">Y59+V60</f>
        <v>278.187194174999</v>
      </c>
      <c r="AH60" s="78" t="n">
        <f aca="false">MIN(MAX(0,AE60),AG60)</f>
        <v>0</v>
      </c>
      <c r="AI60" s="78" t="n">
        <f aca="false">AE60+AF60-AH60</f>
        <v>0</v>
      </c>
      <c r="AJ60" s="78" t="n">
        <f aca="false">AI60</f>
        <v>0</v>
      </c>
      <c r="AK60" s="78" t="n">
        <f aca="false">AK59</f>
        <v>0</v>
      </c>
      <c r="AL60" s="78" t="n">
        <f aca="false">AJ60+AK60+AN60-Z60</f>
        <v>-337.915094821333</v>
      </c>
      <c r="AM60" s="78" t="n">
        <f aca="false">AJ60-(AD60+G60+T60+U60+AF60+AP60-Q60-W60-AH60-AO60)</f>
        <v>0</v>
      </c>
      <c r="AN60" s="78" t="n">
        <f aca="false">0</f>
        <v>0</v>
      </c>
      <c r="AO60" s="78" t="n">
        <f aca="false">0</f>
        <v>0</v>
      </c>
      <c r="AP60" s="78" t="n">
        <f aca="false">0</f>
        <v>0</v>
      </c>
    </row>
    <row r="61" customFormat="false" ht="14.25" hidden="false" customHeight="false" outlineLevel="0" collapsed="false">
      <c r="A61" s="61" t="n">
        <v>1901</v>
      </c>
      <c r="B61" s="48" t="n">
        <v>1270</v>
      </c>
      <c r="C61" s="77" t="n">
        <f aca="false">Partners!H61</f>
        <v>1.56533769889284</v>
      </c>
      <c r="D61" s="50" t="n">
        <f aca="false">Partners!I61</f>
        <v>1987.97887759391</v>
      </c>
      <c r="E61" s="62" t="n">
        <v>0.111</v>
      </c>
      <c r="F61" s="62" t="n">
        <v>0.085</v>
      </c>
      <c r="G61" s="56" t="n">
        <f aca="false">D61*E61</f>
        <v>220.665655412924</v>
      </c>
      <c r="H61" s="56" t="n">
        <f aca="false">D61*F61</f>
        <v>168.978204595483</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16.8957547410667</v>
      </c>
      <c r="Q61" s="56" t="n">
        <f aca="false">H61+J61+K61+L61+N61+O61+P61</f>
        <v>216.873959336549</v>
      </c>
      <c r="R61" s="56" t="n">
        <f aca="false">Q61-G61</f>
        <v>-3.79169607637505</v>
      </c>
      <c r="S61" s="55" t="n">
        <v>0</v>
      </c>
      <c r="T61" s="56" t="n">
        <f aca="false">S61*IF($A61&gt;=1923,C61,1)</f>
        <v>0</v>
      </c>
      <c r="U61" s="55" t="n">
        <v>0</v>
      </c>
      <c r="V61" s="55" t="n">
        <v>0</v>
      </c>
      <c r="W61" s="56" t="n">
        <f aca="false">(X60-0)*jp_foreign_repay+0</f>
        <v>1.71755146176017</v>
      </c>
      <c r="X61" s="56" t="n">
        <f aca="false">X60+T61-W61</f>
        <v>55.5341639302456</v>
      </c>
      <c r="Y61" s="56" t="n">
        <f aca="false">AG61+AF61-AH61</f>
        <v>278.589234814713</v>
      </c>
      <c r="Z61" s="56" t="n">
        <f aca="false">X61+Y61</f>
        <v>334.123398744958</v>
      </c>
      <c r="AA61" s="66" t="n">
        <f aca="false">IF(D61&gt;0,Z61/D61,0)</f>
        <v>0.168071905849097</v>
      </c>
      <c r="AB61" s="66" t="n">
        <f aca="false">IF(G61&gt;0,P61/G61,0)</f>
        <v>0.0765672152716752</v>
      </c>
      <c r="AC61" s="66" t="n">
        <f aca="false">IF(T61+AF61&gt;0,T61/(T61+AF61),0)</f>
        <v>0</v>
      </c>
      <c r="AD61" s="78" t="n">
        <f aca="false">AJ60</f>
        <v>0</v>
      </c>
      <c r="AE61" s="78" t="n">
        <f aca="false">AD61+G61+T61+U61+AP61-Q61-W61-AO61</f>
        <v>2.07414461461487</v>
      </c>
      <c r="AF61" s="78" t="n">
        <f aca="false">MAX(0,-AE61)</f>
        <v>0</v>
      </c>
      <c r="AG61" s="78" t="n">
        <f aca="false">Y60+V61</f>
        <v>280.663379429328</v>
      </c>
      <c r="AH61" s="78" t="n">
        <f aca="false">MIN(MAX(0,AE61),AG61)</f>
        <v>2.07414461461487</v>
      </c>
      <c r="AI61" s="78" t="n">
        <f aca="false">AE61+AF61-AH61</f>
        <v>0</v>
      </c>
      <c r="AJ61" s="78" t="n">
        <f aca="false">AI61</f>
        <v>0</v>
      </c>
      <c r="AK61" s="78" t="n">
        <f aca="false">AK60</f>
        <v>0</v>
      </c>
      <c r="AL61" s="78" t="n">
        <f aca="false">AJ61+AK61+AN61-Z61</f>
        <v>-334.123398744958</v>
      </c>
      <c r="AM61" s="78" t="n">
        <f aca="false">AJ61-(AD61+G61+T61+U61+AF61+AP61-Q61-W61-AH61-AO61)</f>
        <v>0</v>
      </c>
      <c r="AN61" s="78" t="n">
        <f aca="false">0</f>
        <v>0</v>
      </c>
      <c r="AO61" s="78" t="n">
        <f aca="false">0</f>
        <v>0</v>
      </c>
      <c r="AP61" s="78" t="n">
        <f aca="false">0</f>
        <v>0</v>
      </c>
    </row>
    <row r="62" customFormat="false" ht="14.25" hidden="false" customHeight="false" outlineLevel="0" collapsed="false">
      <c r="A62" s="61" t="n">
        <v>1902</v>
      </c>
      <c r="B62" s="48" t="n">
        <v>1340</v>
      </c>
      <c r="C62" s="77" t="n">
        <f aca="false">Partners!H62</f>
        <v>1.59279106708782</v>
      </c>
      <c r="D62" s="50" t="n">
        <f aca="false">Partners!I62</f>
        <v>2134.34002989768</v>
      </c>
      <c r="E62" s="62" t="n">
        <v>0.112</v>
      </c>
      <c r="F62" s="62" t="n">
        <v>0.085</v>
      </c>
      <c r="G62" s="56" t="n">
        <f aca="false">D62*E62</f>
        <v>239.04608334854</v>
      </c>
      <c r="H62" s="56" t="n">
        <f aca="false">D62*F62</f>
        <v>181.418902541303</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16.7061699372479</v>
      </c>
      <c r="Q62" s="56" t="n">
        <f aca="false">H62+J62+K62+L62+N62+O62+P62</f>
        <v>230.125072478551</v>
      </c>
      <c r="R62" s="56" t="n">
        <f aca="false">Q62-G62</f>
        <v>-8.92101086998935</v>
      </c>
      <c r="S62" s="55" t="n">
        <v>0</v>
      </c>
      <c r="T62" s="56" t="n">
        <f aca="false">S62*IF($A62&gt;=1923,C62,1)</f>
        <v>0</v>
      </c>
      <c r="U62" s="55" t="n">
        <v>0</v>
      </c>
      <c r="V62" s="55" t="n">
        <v>0</v>
      </c>
      <c r="W62" s="56" t="n">
        <f aca="false">(X61-0)*jp_foreign_repay+0</f>
        <v>1.66602491790737</v>
      </c>
      <c r="X62" s="56" t="n">
        <f aca="false">X61+T62-W62</f>
        <v>53.8681390123382</v>
      </c>
      <c r="Y62" s="56" t="n">
        <f aca="false">AG62+AF62-AH62</f>
        <v>271.334248862631</v>
      </c>
      <c r="Z62" s="56" t="n">
        <f aca="false">X62+Y62</f>
        <v>325.202387874969</v>
      </c>
      <c r="AA62" s="66" t="n">
        <f aca="false">IF(D62&gt;0,Z62/D62,0)</f>
        <v>0.152366719135451</v>
      </c>
      <c r="AB62" s="66" t="n">
        <f aca="false">IF(G62&gt;0,P62/G62,0)</f>
        <v>0.0698868172330169</v>
      </c>
      <c r="AC62" s="66" t="n">
        <f aca="false">IF(T62+AF62&gt;0,T62/(T62+AF62),0)</f>
        <v>0</v>
      </c>
      <c r="AD62" s="78" t="n">
        <f aca="false">AJ61</f>
        <v>0</v>
      </c>
      <c r="AE62" s="78" t="n">
        <f aca="false">AD62+G62+T62+U62+AP62-Q62-W62-AO62</f>
        <v>7.25498595208198</v>
      </c>
      <c r="AF62" s="78" t="n">
        <f aca="false">MAX(0,-AE62)</f>
        <v>0</v>
      </c>
      <c r="AG62" s="78" t="n">
        <f aca="false">Y61+V62</f>
        <v>278.589234814713</v>
      </c>
      <c r="AH62" s="78" t="n">
        <f aca="false">MIN(MAX(0,AE62),AG62)</f>
        <v>7.25498595208198</v>
      </c>
      <c r="AI62" s="78" t="n">
        <f aca="false">AE62+AF62-AH62</f>
        <v>0</v>
      </c>
      <c r="AJ62" s="78" t="n">
        <f aca="false">AI62</f>
        <v>0</v>
      </c>
      <c r="AK62" s="78" t="n">
        <f aca="false">AK61</f>
        <v>0</v>
      </c>
      <c r="AL62" s="78" t="n">
        <f aca="false">AJ62+AK62+AN62-Z62</f>
        <v>-325.202387874969</v>
      </c>
      <c r="AM62" s="78" t="n">
        <f aca="false">AJ62-(AD62+G62+T62+U62+AF62+AP62-Q62-W62-AH62-AO62)</f>
        <v>0</v>
      </c>
      <c r="AN62" s="78" t="n">
        <f aca="false">0</f>
        <v>0</v>
      </c>
      <c r="AO62" s="78" t="n">
        <f aca="false">0</f>
        <v>0</v>
      </c>
      <c r="AP62" s="78" t="n">
        <f aca="false">0</f>
        <v>0</v>
      </c>
    </row>
    <row r="63" customFormat="false" ht="14.25" hidden="false" customHeight="false" outlineLevel="0" collapsed="false">
      <c r="A63" s="61" t="n">
        <v>1903</v>
      </c>
      <c r="B63" s="48" t="n">
        <v>1410</v>
      </c>
      <c r="C63" s="77" t="n">
        <f aca="false">Partners!H63</f>
        <v>1.6208955411096</v>
      </c>
      <c r="D63" s="50" t="n">
        <f aca="false">Partners!I63</f>
        <v>2285.46271296453</v>
      </c>
      <c r="E63" s="62" t="n">
        <v>0.113</v>
      </c>
      <c r="F63" s="62" t="n">
        <v>0.085</v>
      </c>
      <c r="G63" s="56" t="n">
        <f aca="false">D63*E63</f>
        <v>258.257286564992</v>
      </c>
      <c r="H63" s="56" t="n">
        <f aca="false">D63*F63</f>
        <v>194.264330601985</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16.2601193937485</v>
      </c>
      <c r="Q63" s="56" t="n">
        <f aca="false">H63+J63+K63+L63+N63+O63+P63</f>
        <v>243.524449995734</v>
      </c>
      <c r="R63" s="56" t="n">
        <f aca="false">Q63-G63</f>
        <v>-14.7328365692584</v>
      </c>
      <c r="S63" s="55" t="n">
        <v>0</v>
      </c>
      <c r="T63" s="56" t="n">
        <f aca="false">S63*IF($A63&gt;=1923,C63,1)</f>
        <v>0</v>
      </c>
      <c r="U63" s="55" t="n">
        <v>0</v>
      </c>
      <c r="V63" s="55" t="n">
        <v>0</v>
      </c>
      <c r="W63" s="56" t="n">
        <f aca="false">(X62-0)*jp_foreign_repay+0</f>
        <v>1.61604417037015</v>
      </c>
      <c r="X63" s="56" t="n">
        <f aca="false">X62+T63-W63</f>
        <v>52.2520948419681</v>
      </c>
      <c r="Y63" s="56" t="n">
        <f aca="false">AG63+AF63-AH63</f>
        <v>258.217456463743</v>
      </c>
      <c r="Z63" s="56" t="n">
        <f aca="false">X63+Y63</f>
        <v>310.469551305711</v>
      </c>
      <c r="AA63" s="66" t="n">
        <f aca="false">IF(D63&gt;0,Z63/D63,0)</f>
        <v>0.135845380256934</v>
      </c>
      <c r="AB63" s="66" t="n">
        <f aca="false">IF(G63&gt;0,P63/G63,0)</f>
        <v>0.0629609317515093</v>
      </c>
      <c r="AC63" s="66" t="n">
        <f aca="false">IF(T63+AF63&gt;0,T63/(T63+AF63),0)</f>
        <v>0</v>
      </c>
      <c r="AD63" s="78" t="n">
        <f aca="false">AJ62</f>
        <v>0</v>
      </c>
      <c r="AE63" s="78" t="n">
        <f aca="false">AD63+G63+T63+U63+AP63-Q63-W63-AO63</f>
        <v>13.1167923988883</v>
      </c>
      <c r="AF63" s="78" t="n">
        <f aca="false">MAX(0,-AE63)</f>
        <v>0</v>
      </c>
      <c r="AG63" s="78" t="n">
        <f aca="false">Y62+V63</f>
        <v>271.334248862631</v>
      </c>
      <c r="AH63" s="78" t="n">
        <f aca="false">MIN(MAX(0,AE63),AG63)</f>
        <v>13.1167923988883</v>
      </c>
      <c r="AI63" s="78" t="n">
        <f aca="false">AE63+AF63-AH63</f>
        <v>0</v>
      </c>
      <c r="AJ63" s="78" t="n">
        <f aca="false">AI63</f>
        <v>0</v>
      </c>
      <c r="AK63" s="78" t="n">
        <f aca="false">AK62</f>
        <v>0</v>
      </c>
      <c r="AL63" s="78" t="n">
        <f aca="false">AJ63+AK63+AN63-Z63</f>
        <v>-310.469551305711</v>
      </c>
      <c r="AM63" s="78" t="n">
        <f aca="false">AJ63-(AD63+G63+T63+U63+AF63+AP63-Q63-W63-AH63-AO63)</f>
        <v>0</v>
      </c>
      <c r="AN63" s="78" t="n">
        <f aca="false">0</f>
        <v>0</v>
      </c>
      <c r="AO63" s="78" t="n">
        <f aca="false">0</f>
        <v>0</v>
      </c>
      <c r="AP63" s="78" t="n">
        <f aca="false">0</f>
        <v>0</v>
      </c>
    </row>
    <row r="64" customFormat="false" ht="14.25" hidden="false" customHeight="false" outlineLevel="0" collapsed="false">
      <c r="A64" s="61" t="n">
        <v>1904</v>
      </c>
      <c r="B64" s="48" t="n">
        <v>1480</v>
      </c>
      <c r="C64" s="77" t="n">
        <f aca="false">Partners!H64</f>
        <v>1.64968849566903</v>
      </c>
      <c r="D64" s="50" t="n">
        <f aca="false">Partners!I64</f>
        <v>2441.53897359017</v>
      </c>
      <c r="E64" s="62" t="n">
        <v>0.114</v>
      </c>
      <c r="F64" s="62" t="n">
        <v>0.085</v>
      </c>
      <c r="G64" s="56" t="n">
        <f aca="false">D64*E64</f>
        <v>278.335442989279</v>
      </c>
      <c r="H64" s="56" t="n">
        <f aca="false">D64*F64</f>
        <v>207.530812755164</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15.5234775652855</v>
      </c>
      <c r="Q64" s="56" t="n">
        <f aca="false">H64+J64+K64+L64+N64+O64+P64</f>
        <v>657.05429032045</v>
      </c>
      <c r="R64" s="56" t="n">
        <f aca="false">Q64-G64</f>
        <v>378.718847331171</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438.503866640172</v>
      </c>
      <c r="Z64" s="56" t="n">
        <f aca="false">X64+Y64</f>
        <v>689.188398636881</v>
      </c>
      <c r="AA64" s="66" t="n">
        <f aca="false">IF(D64&gt;0,Z64/D64,0)</f>
        <v>0.282276222534946</v>
      </c>
      <c r="AB64" s="66" t="n">
        <f aca="false">IF(G64&gt;0,P64/G64,0)</f>
        <v>0.0557725505547041</v>
      </c>
      <c r="AC64" s="66" t="n">
        <f aca="false">IF(T64+AF64&gt;0,T64/(T64+AF64),0)</f>
        <v>0.525919398243056</v>
      </c>
      <c r="AD64" s="78" t="n">
        <f aca="false">AJ63</f>
        <v>0</v>
      </c>
      <c r="AE64" s="78" t="n">
        <f aca="false">AD64+G64+T64+U64+AP64-Q64-W64-AO64</f>
        <v>-180.28641017643</v>
      </c>
      <c r="AF64" s="78" t="n">
        <f aca="false">MAX(0,-AE64)</f>
        <v>180.28641017643</v>
      </c>
      <c r="AG64" s="78" t="n">
        <f aca="false">Y63+V64</f>
        <v>258.217456463743</v>
      </c>
      <c r="AH64" s="78" t="n">
        <f aca="false">MIN(MAX(0,AE64),AG64)</f>
        <v>0</v>
      </c>
      <c r="AI64" s="78" t="n">
        <f aca="false">AE64+AF64-AH64</f>
        <v>0</v>
      </c>
      <c r="AJ64" s="78" t="n">
        <f aca="false">AI64</f>
        <v>0</v>
      </c>
      <c r="AK64" s="78" t="n">
        <f aca="false">AK63</f>
        <v>0</v>
      </c>
      <c r="AL64" s="78" t="n">
        <f aca="false">AJ64+AK64+AN64-Z64</f>
        <v>-689.188398636881</v>
      </c>
      <c r="AM64" s="78" t="n">
        <f aca="false">AJ64-(AD64+G64+T64+U64+AF64+AP64-Q64-W64-AH64-AO64)</f>
        <v>-4.70734562441066E-014</v>
      </c>
      <c r="AN64" s="78" t="n">
        <f aca="false">0</f>
        <v>0</v>
      </c>
      <c r="AO64" s="78" t="n">
        <f aca="false">0</f>
        <v>0</v>
      </c>
      <c r="AP64" s="78" t="n">
        <f aca="false">0</f>
        <v>0</v>
      </c>
    </row>
    <row r="65" customFormat="false" ht="14.25" hidden="false" customHeight="false" outlineLevel="0" collapsed="false">
      <c r="A65" s="61" t="n">
        <v>1905</v>
      </c>
      <c r="B65" s="48" t="n">
        <v>1550</v>
      </c>
      <c r="C65" s="77" t="n">
        <f aca="false">Partners!H65</f>
        <v>1.67920349807689</v>
      </c>
      <c r="D65" s="50" t="n">
        <f aca="false">Partners!I65</f>
        <v>2602.76542201919</v>
      </c>
      <c r="E65" s="62" t="n">
        <v>0.115</v>
      </c>
      <c r="F65" s="62" t="n">
        <v>0.085</v>
      </c>
      <c r="G65" s="56" t="n">
        <f aca="false">D65*E65</f>
        <v>299.318023532206</v>
      </c>
      <c r="H65" s="56" t="n">
        <f aca="false">D65*F65</f>
        <v>221.235060871631</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34.4594199318441</v>
      </c>
      <c r="Q65" s="56" t="n">
        <f aca="false">H65+J65+K65+L65+N65+O65+P65</f>
        <v>740.694480803475</v>
      </c>
      <c r="R65" s="56" t="n">
        <f aca="false">Q65-G65</f>
        <v>441.376457271269</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687.400859871342</v>
      </c>
      <c r="Z65" s="56" t="n">
        <f aca="false">X65+Y65</f>
        <v>1130.56485590815</v>
      </c>
      <c r="AA65" s="66" t="n">
        <f aca="false">IF(D65&gt;0,Z65/D65,0)</f>
        <v>0.434370629924488</v>
      </c>
      <c r="AB65" s="66" t="n">
        <f aca="false">IF(G65&gt;0,P65/G65,0)</f>
        <v>0.115126444860198</v>
      </c>
      <c r="AC65" s="66" t="n">
        <f aca="false">IF(T65+AF65&gt;0,T65/(T65+AF65),0)</f>
        <v>0.445536510637765</v>
      </c>
      <c r="AD65" s="78" t="n">
        <f aca="false">AJ64</f>
        <v>0</v>
      </c>
      <c r="AE65" s="78" t="n">
        <f aca="false">AD65+G65+T65+U65+AP65-Q65-W65-AO65</f>
        <v>-248.89699323117</v>
      </c>
      <c r="AF65" s="78" t="n">
        <f aca="false">MAX(0,-AE65)</f>
        <v>248.89699323117</v>
      </c>
      <c r="AG65" s="78" t="n">
        <f aca="false">Y64+V65</f>
        <v>438.503866640172</v>
      </c>
      <c r="AH65" s="78" t="n">
        <f aca="false">MIN(MAX(0,AE65),AG65)</f>
        <v>0</v>
      </c>
      <c r="AI65" s="78" t="n">
        <f aca="false">AE65+AF65-AH65</f>
        <v>0</v>
      </c>
      <c r="AJ65" s="78" t="n">
        <f aca="false">AI65</f>
        <v>0</v>
      </c>
      <c r="AK65" s="78" t="n">
        <f aca="false">AK64</f>
        <v>0</v>
      </c>
      <c r="AL65" s="78" t="n">
        <f aca="false">AJ65+AK65+AN65-Z65</f>
        <v>-1130.56485590815</v>
      </c>
      <c r="AM65" s="78" t="n">
        <f aca="false">AJ65-(AD65+G65+T65+U65+AF65+AP65-Q65-W65-AH65-AO65)</f>
        <v>0</v>
      </c>
      <c r="AN65" s="78" t="n">
        <f aca="false">0</f>
        <v>0</v>
      </c>
      <c r="AO65" s="78" t="n">
        <f aca="false">0</f>
        <v>0</v>
      </c>
      <c r="AP65" s="78" t="n">
        <f aca="false">0</f>
        <v>0</v>
      </c>
    </row>
    <row r="66" customFormat="false" ht="14.25" hidden="false" customHeight="false" outlineLevel="0" collapsed="false">
      <c r="A66" s="61" t="n">
        <v>1906</v>
      </c>
      <c r="B66" s="48" t="n">
        <v>1632</v>
      </c>
      <c r="C66" s="77" t="n">
        <f aca="false">Partners!H66</f>
        <v>1.7092825547204</v>
      </c>
      <c r="D66" s="50" t="n">
        <f aca="false">Partners!I66</f>
        <v>2789.5491293037</v>
      </c>
      <c r="E66" s="62" t="n">
        <v>0.116</v>
      </c>
      <c r="F66" s="62" t="n">
        <v>0.085</v>
      </c>
      <c r="G66" s="56" t="n">
        <f aca="false">D66*E66</f>
        <v>323.587698999229</v>
      </c>
      <c r="H66" s="56" t="n">
        <f aca="false">D66*F66</f>
        <v>237.111675990814</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56.5282427954075</v>
      </c>
      <c r="Q66" s="56" t="n">
        <f aca="false">H66+J66+K66+L66+N66+O66+P66</f>
        <v>330.639918786222</v>
      </c>
      <c r="R66" s="56" t="n">
        <f aca="false">Q66-G66</f>
        <v>7.05221978699285</v>
      </c>
      <c r="S66" s="55" t="n">
        <v>0</v>
      </c>
      <c r="T66" s="56" t="n">
        <f aca="false">S66*IF($A66&gt;=1923,C66,1)</f>
        <v>0</v>
      </c>
      <c r="U66" s="55" t="n">
        <v>60</v>
      </c>
      <c r="V66" s="55" t="n">
        <v>0</v>
      </c>
      <c r="W66" s="56" t="n">
        <f aca="false">(X65-0)*jp_foreign_repay+0</f>
        <v>13.2949198811042</v>
      </c>
      <c r="X66" s="56" t="n">
        <f aca="false">X65+T66-W66</f>
        <v>429.869076155704</v>
      </c>
      <c r="Y66" s="56" t="n">
        <f aca="false">AG66+AF66-AH66</f>
        <v>647.747999539439</v>
      </c>
      <c r="Z66" s="56" t="n">
        <f aca="false">X66+Y66</f>
        <v>1077.61707569514</v>
      </c>
      <c r="AA66" s="66" t="n">
        <f aca="false">IF(D66&gt;0,Z66/D66,0)</f>
        <v>0.386305107293137</v>
      </c>
      <c r="AB66" s="66" t="n">
        <f aca="false">IF(G66&gt;0,P66/G66,0)</f>
        <v>0.174692186910177</v>
      </c>
      <c r="AC66" s="66" t="n">
        <f aca="false">IF(T66+AF66&gt;0,T66/(T66+AF66),0)</f>
        <v>0</v>
      </c>
      <c r="AD66" s="78" t="n">
        <f aca="false">AJ65</f>
        <v>0</v>
      </c>
      <c r="AE66" s="78" t="n">
        <f aca="false">AD66+G66+T66+U66+AP66-Q66-W66-AO66</f>
        <v>39.6528603319029</v>
      </c>
      <c r="AF66" s="78" t="n">
        <f aca="false">MAX(0,-AE66)</f>
        <v>0</v>
      </c>
      <c r="AG66" s="78" t="n">
        <f aca="false">Y65+V66</f>
        <v>687.400859871342</v>
      </c>
      <c r="AH66" s="78" t="n">
        <f aca="false">MIN(MAX(0,AE66),AG66)</f>
        <v>39.6528603319029</v>
      </c>
      <c r="AI66" s="78" t="n">
        <f aca="false">AE66+AF66-AH66</f>
        <v>0</v>
      </c>
      <c r="AJ66" s="78" t="n">
        <f aca="false">AI66</f>
        <v>0</v>
      </c>
      <c r="AK66" s="78" t="n">
        <f aca="false">AK65</f>
        <v>0</v>
      </c>
      <c r="AL66" s="78" t="n">
        <f aca="false">AJ66+AK66+AN66-Z66</f>
        <v>-1077.61707569514</v>
      </c>
      <c r="AM66" s="78" t="n">
        <f aca="false">AJ66-(AD66+G66+T66+U66+AF66+AP66-Q66-W66-AH66-AO66)</f>
        <v>0</v>
      </c>
      <c r="AN66" s="78" t="n">
        <f aca="false">0</f>
        <v>0</v>
      </c>
      <c r="AO66" s="78" t="n">
        <f aca="false">0</f>
        <v>0</v>
      </c>
      <c r="AP66" s="78" t="n">
        <f aca="false">0</f>
        <v>0</v>
      </c>
    </row>
    <row r="67" customFormat="false" ht="14.25" hidden="false" customHeight="false" outlineLevel="0" collapsed="false">
      <c r="A67" s="61" t="n">
        <v>1907</v>
      </c>
      <c r="B67" s="48" t="n">
        <v>1714</v>
      </c>
      <c r="C67" s="77" t="n">
        <f aca="false">Partners!H67</f>
        <v>1.73999846222753</v>
      </c>
      <c r="D67" s="50" t="n">
        <f aca="false">Partners!I67</f>
        <v>2982.35736425799</v>
      </c>
      <c r="E67" s="62" t="n">
        <v>0.117</v>
      </c>
      <c r="F67" s="62" t="n">
        <v>0.085</v>
      </c>
      <c r="G67" s="56" t="n">
        <f aca="false">D67*E67</f>
        <v>348.935811618185</v>
      </c>
      <c r="H67" s="56" t="n">
        <f aca="false">D67*F67</f>
        <v>253.500375961929</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53.8808537847571</v>
      </c>
      <c r="Q67" s="56" t="n">
        <f aca="false">H67+J67+K67+L67+N67+O67+P67</f>
        <v>346.381229746687</v>
      </c>
      <c r="R67" s="56" t="n">
        <f aca="false">Q67-G67</f>
        <v>-2.55458187149867</v>
      </c>
      <c r="S67" s="55" t="n">
        <v>0</v>
      </c>
      <c r="T67" s="56" t="n">
        <f aca="false">S67*IF($A67&gt;=1923,C67,1)</f>
        <v>0</v>
      </c>
      <c r="U67" s="55" t="n">
        <v>60</v>
      </c>
      <c r="V67" s="55" t="n">
        <v>0</v>
      </c>
      <c r="W67" s="56" t="n">
        <f aca="false">(X66-0)*jp_foreign_repay+0</f>
        <v>12.8960722846711</v>
      </c>
      <c r="X67" s="56" t="n">
        <f aca="false">X66+T67-W67</f>
        <v>416.973003871032</v>
      </c>
      <c r="Y67" s="56" t="n">
        <f aca="false">AG67+AF67-AH67</f>
        <v>598.089489952611</v>
      </c>
      <c r="Z67" s="56" t="n">
        <f aca="false">X67+Y67</f>
        <v>1015.06249382364</v>
      </c>
      <c r="AA67" s="66" t="n">
        <f aca="false">IF(D67&gt;0,Z67/D67,0)</f>
        <v>0.340355755480092</v>
      </c>
      <c r="AB67" s="66" t="n">
        <f aca="false">IF(G67&gt;0,P67/G67,0)</f>
        <v>0.15441480063306</v>
      </c>
      <c r="AC67" s="66" t="n">
        <f aca="false">IF(T67+AF67&gt;0,T67/(T67+AF67),0)</f>
        <v>0</v>
      </c>
      <c r="AD67" s="78" t="n">
        <f aca="false">AJ66</f>
        <v>0</v>
      </c>
      <c r="AE67" s="78" t="n">
        <f aca="false">AD67+G67+T67+U67+AP67-Q67-W67-AO67</f>
        <v>49.6585095868276</v>
      </c>
      <c r="AF67" s="78" t="n">
        <f aca="false">MAX(0,-AE67)</f>
        <v>0</v>
      </c>
      <c r="AG67" s="78" t="n">
        <f aca="false">Y66+V67</f>
        <v>647.747999539439</v>
      </c>
      <c r="AH67" s="78" t="n">
        <f aca="false">MIN(MAX(0,AE67),AG67)</f>
        <v>49.6585095868276</v>
      </c>
      <c r="AI67" s="78" t="n">
        <f aca="false">AE67+AF67-AH67</f>
        <v>0</v>
      </c>
      <c r="AJ67" s="78" t="n">
        <f aca="false">AI67</f>
        <v>0</v>
      </c>
      <c r="AK67" s="78" t="n">
        <f aca="false">AK66</f>
        <v>0</v>
      </c>
      <c r="AL67" s="78" t="n">
        <f aca="false">AJ67+AK67+AN67-Z67</f>
        <v>-1015.06249382364</v>
      </c>
      <c r="AM67" s="78" t="n">
        <f aca="false">AJ67-(AD67+G67+T67+U67+AF67+AP67-Q67-W67-AH67-AO67)</f>
        <v>0</v>
      </c>
      <c r="AN67" s="78" t="n">
        <f aca="false">0</f>
        <v>0</v>
      </c>
      <c r="AO67" s="78" t="n">
        <f aca="false">0</f>
        <v>0</v>
      </c>
      <c r="AP67" s="78" t="n">
        <f aca="false">0</f>
        <v>0</v>
      </c>
    </row>
    <row r="68" customFormat="false" ht="14.25" hidden="false" customHeight="false" outlineLevel="0" collapsed="false">
      <c r="A68" s="61" t="n">
        <v>1908</v>
      </c>
      <c r="B68" s="48" t="n">
        <v>1796</v>
      </c>
      <c r="C68" s="77" t="n">
        <f aca="false">Partners!H68</f>
        <v>1.77124284485156</v>
      </c>
      <c r="D68" s="50" t="n">
        <f aca="false">Partners!I68</f>
        <v>3181.1521493534</v>
      </c>
      <c r="E68" s="62" t="n">
        <v>0.118</v>
      </c>
      <c r="F68" s="62" t="n">
        <v>0.085</v>
      </c>
      <c r="G68" s="56" t="n">
        <f aca="false">D68*E68</f>
        <v>375.375953623702</v>
      </c>
      <c r="H68" s="56" t="n">
        <f aca="false">D68*F68</f>
        <v>270.397932695039</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50.7531246911822</v>
      </c>
      <c r="Q68" s="56" t="n">
        <f aca="false">H68+J68+K68+L68+N68+O68+P68</f>
        <v>362.151057386222</v>
      </c>
      <c r="R68" s="56" t="n">
        <f aca="false">Q68-G68</f>
        <v>-13.22489623748</v>
      </c>
      <c r="S68" s="55" t="n">
        <v>0</v>
      </c>
      <c r="T68" s="56" t="n">
        <f aca="false">S68*IF($A68&gt;=1923,C68,1)</f>
        <v>0</v>
      </c>
      <c r="U68" s="55" t="n">
        <v>60</v>
      </c>
      <c r="V68" s="55" t="n">
        <v>0</v>
      </c>
      <c r="W68" s="56" t="n">
        <f aca="false">(X67-0)*jp_foreign_repay+0</f>
        <v>12.509190116131</v>
      </c>
      <c r="X68" s="56" t="n">
        <f aca="false">X67+T68-W68</f>
        <v>404.463813754902</v>
      </c>
      <c r="Y68" s="56" t="n">
        <f aca="false">AG68+AF68-AH68</f>
        <v>537.373783831262</v>
      </c>
      <c r="Z68" s="56" t="n">
        <f aca="false">X68+Y68</f>
        <v>941.837597586164</v>
      </c>
      <c r="AA68" s="66" t="n">
        <f aca="false">IF(D68&gt;0,Z68/D68,0)</f>
        <v>0.296068076397289</v>
      </c>
      <c r="AB68" s="66" t="n">
        <f aca="false">IF(G68&gt;0,P68/G68,0)</f>
        <v>0.135206115898569</v>
      </c>
      <c r="AC68" s="66" t="n">
        <f aca="false">IF(T68+AF68&gt;0,T68/(T68+AF68),0)</f>
        <v>0</v>
      </c>
      <c r="AD68" s="78" t="n">
        <f aca="false">AJ67</f>
        <v>0</v>
      </c>
      <c r="AE68" s="78" t="n">
        <f aca="false">AD68+G68+T68+U68+AP68-Q68-W68-AO68</f>
        <v>60.7157061213491</v>
      </c>
      <c r="AF68" s="78" t="n">
        <f aca="false">MAX(0,-AE68)</f>
        <v>0</v>
      </c>
      <c r="AG68" s="78" t="n">
        <f aca="false">Y67+V68</f>
        <v>598.089489952611</v>
      </c>
      <c r="AH68" s="78" t="n">
        <f aca="false">MIN(MAX(0,AE68),AG68)</f>
        <v>60.7157061213491</v>
      </c>
      <c r="AI68" s="78" t="n">
        <f aca="false">AE68+AF68-AH68</f>
        <v>0</v>
      </c>
      <c r="AJ68" s="78" t="n">
        <f aca="false">AI68</f>
        <v>0</v>
      </c>
      <c r="AK68" s="78" t="n">
        <f aca="false">AK67</f>
        <v>0</v>
      </c>
      <c r="AL68" s="78" t="n">
        <f aca="false">AJ68+AK68+AN68-Z68</f>
        <v>-941.837597586164</v>
      </c>
      <c r="AM68" s="78" t="n">
        <f aca="false">AJ68-(AD68+G68+T68+U68+AF68+AP68-Q68-W68-AH68-AO68)</f>
        <v>0</v>
      </c>
      <c r="AN68" s="78" t="n">
        <f aca="false">0</f>
        <v>0</v>
      </c>
      <c r="AO68" s="78" t="n">
        <f aca="false">0</f>
        <v>0</v>
      </c>
      <c r="AP68" s="78" t="n">
        <f aca="false">0</f>
        <v>0</v>
      </c>
    </row>
    <row r="69" customFormat="false" ht="14.25" hidden="false" customHeight="false" outlineLevel="0" collapsed="false">
      <c r="A69" s="61" t="n">
        <v>1909</v>
      </c>
      <c r="B69" s="48" t="n">
        <v>1878</v>
      </c>
      <c r="C69" s="77" t="n">
        <f aca="false">Partners!H69</f>
        <v>1.80271050937969</v>
      </c>
      <c r="D69" s="50" t="n">
        <f aca="false">Partners!I69</f>
        <v>3385.49033661505</v>
      </c>
      <c r="E69" s="62" t="n">
        <v>0.119</v>
      </c>
      <c r="F69" s="62" t="n">
        <v>0.085</v>
      </c>
      <c r="G69" s="56" t="n">
        <f aca="false">D69*E69</f>
        <v>402.873350057191</v>
      </c>
      <c r="H69" s="56" t="n">
        <f aca="false">D69*F69</f>
        <v>287.76667861228</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47.0918798793082</v>
      </c>
      <c r="Q69" s="56" t="n">
        <f aca="false">H69+J69+K69+L69+N69+O69+P69</f>
        <v>377.858558491588</v>
      </c>
      <c r="R69" s="56" t="n">
        <f aca="false">Q69-G69</f>
        <v>-25.0147915656036</v>
      </c>
      <c r="S69" s="55" t="n">
        <v>0</v>
      </c>
      <c r="T69" s="56" t="n">
        <f aca="false">S69*IF($A69&gt;=1923,C69,1)</f>
        <v>0</v>
      </c>
      <c r="U69" s="55" t="n">
        <v>60</v>
      </c>
      <c r="V69" s="55" t="n">
        <v>0</v>
      </c>
      <c r="W69" s="56" t="n">
        <f aca="false">(X68-0)*jp_foreign_repay+0</f>
        <v>12.133914412647</v>
      </c>
      <c r="X69" s="56" t="n">
        <f aca="false">X68+T69-W69</f>
        <v>392.329899342254</v>
      </c>
      <c r="Y69" s="56" t="n">
        <f aca="false">AG69+AF69-AH69</f>
        <v>464.492906678306</v>
      </c>
      <c r="Z69" s="56" t="n">
        <f aca="false">X69+Y69</f>
        <v>856.82280602056</v>
      </c>
      <c r="AA69" s="66" t="n">
        <f aca="false">IF(D69&gt;0,Z69/D69,0)</f>
        <v>0.253086767595753</v>
      </c>
      <c r="AB69" s="66" t="n">
        <f aca="false">IF(G69&gt;0,P69/G69,0)</f>
        <v>0.116890034728341</v>
      </c>
      <c r="AC69" s="66" t="n">
        <f aca="false">IF(T69+AF69&gt;0,T69/(T69+AF69),0)</f>
        <v>0</v>
      </c>
      <c r="AD69" s="78" t="n">
        <f aca="false">AJ68</f>
        <v>0</v>
      </c>
      <c r="AE69" s="78" t="n">
        <f aca="false">AD69+G69+T69+U69+AP69-Q69-W69-AO69</f>
        <v>72.8808771529566</v>
      </c>
      <c r="AF69" s="78" t="n">
        <f aca="false">MAX(0,-AE69)</f>
        <v>0</v>
      </c>
      <c r="AG69" s="78" t="n">
        <f aca="false">Y68+V69</f>
        <v>537.373783831262</v>
      </c>
      <c r="AH69" s="78" t="n">
        <f aca="false">MIN(MAX(0,AE69),AG69)</f>
        <v>72.8808771529566</v>
      </c>
      <c r="AI69" s="78" t="n">
        <f aca="false">AE69+AF69-AH69</f>
        <v>0</v>
      </c>
      <c r="AJ69" s="78" t="n">
        <f aca="false">AI69</f>
        <v>0</v>
      </c>
      <c r="AK69" s="78" t="n">
        <f aca="false">AK68</f>
        <v>0</v>
      </c>
      <c r="AL69" s="78" t="n">
        <f aca="false">AJ69+AK69+AN69-Z69</f>
        <v>-856.82280602056</v>
      </c>
      <c r="AM69" s="78" t="n">
        <f aca="false">AJ69-(AD69+G69+T69+U69+AF69+AP69-Q69-W69-AH69-AO69)</f>
        <v>0</v>
      </c>
      <c r="AN69" s="78" t="n">
        <f aca="false">0</f>
        <v>0</v>
      </c>
      <c r="AO69" s="78" t="n">
        <f aca="false">0</f>
        <v>0</v>
      </c>
      <c r="AP69" s="78" t="n">
        <f aca="false">0</f>
        <v>0</v>
      </c>
    </row>
    <row r="70" customFormat="false" ht="14.25" hidden="false" customHeight="false" outlineLevel="0" collapsed="false">
      <c r="A70" s="61" t="n">
        <v>1910</v>
      </c>
      <c r="B70" s="48" t="n">
        <v>1960</v>
      </c>
      <c r="C70" s="77" t="n">
        <f aca="false">Partners!H70</f>
        <v>1.83563034110825</v>
      </c>
      <c r="D70" s="50" t="n">
        <f aca="false">Partners!I70</f>
        <v>3597.83546857217</v>
      </c>
      <c r="E70" s="62" t="n">
        <v>0.12</v>
      </c>
      <c r="F70" s="62" t="n">
        <v>0.085</v>
      </c>
      <c r="G70" s="56" t="n">
        <f aca="false">D70*E70</f>
        <v>431.740256228661</v>
      </c>
      <c r="H70" s="56" t="n">
        <f aca="false">D70*F70</f>
        <v>305.816014828635</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42.841140301028</v>
      </c>
      <c r="Q70" s="56" t="n">
        <f aca="false">H70+J70+K70+L70+N70+O70+P70</f>
        <v>393.657155129663</v>
      </c>
      <c r="R70" s="56" t="n">
        <f aca="false">Q70-G70</f>
        <v>-38.0831010989979</v>
      </c>
      <c r="S70" s="55" t="n">
        <v>0</v>
      </c>
      <c r="T70" s="56" t="n">
        <f aca="false">S70*IF($A70&gt;=1923,C70,1)</f>
        <v>0</v>
      </c>
      <c r="U70" s="55" t="n">
        <v>60</v>
      </c>
      <c r="V70" s="55" t="n">
        <v>0</v>
      </c>
      <c r="W70" s="56" t="n">
        <f aca="false">(X69-0)*jp_foreign_repay+0</f>
        <v>11.7698969802676</v>
      </c>
      <c r="X70" s="56" t="n">
        <f aca="false">X69+T70-W70</f>
        <v>380.560002361987</v>
      </c>
      <c r="Y70" s="56" t="n">
        <f aca="false">AG70+AF70-AH70</f>
        <v>378.179702559575</v>
      </c>
      <c r="Z70" s="56" t="n">
        <f aca="false">X70+Y70</f>
        <v>758.739704921562</v>
      </c>
      <c r="AA70" s="66" t="n">
        <f aca="false">IF(D70&gt;0,Z70/D70,0)</f>
        <v>0.210887827292078</v>
      </c>
      <c r="AB70" s="66" t="n">
        <f aca="false">IF(G70&gt;0,P70/G70,0)</f>
        <v>0.0992289685359761</v>
      </c>
      <c r="AC70" s="66" t="n">
        <f aca="false">IF(T70+AF70&gt;0,T70/(T70+AF70),0)</f>
        <v>0</v>
      </c>
      <c r="AD70" s="78" t="n">
        <f aca="false">AJ69</f>
        <v>0</v>
      </c>
      <c r="AE70" s="78" t="n">
        <f aca="false">AD70+G70+T70+U70+AP70-Q70-W70-AO70</f>
        <v>86.3132041187303</v>
      </c>
      <c r="AF70" s="78" t="n">
        <f aca="false">MAX(0,-AE70)</f>
        <v>0</v>
      </c>
      <c r="AG70" s="78" t="n">
        <f aca="false">Y69+V70</f>
        <v>464.492906678306</v>
      </c>
      <c r="AH70" s="78" t="n">
        <f aca="false">MIN(MAX(0,AE70),AG70)</f>
        <v>86.3132041187303</v>
      </c>
      <c r="AI70" s="78" t="n">
        <f aca="false">AE70+AF70-AH70</f>
        <v>0</v>
      </c>
      <c r="AJ70" s="78" t="n">
        <f aca="false">AI70</f>
        <v>0</v>
      </c>
      <c r="AK70" s="78" t="n">
        <f aca="false">AK69</f>
        <v>0</v>
      </c>
      <c r="AL70" s="78" t="n">
        <f aca="false">AJ70+AK70+AN70-Z70</f>
        <v>-758.739704921562</v>
      </c>
      <c r="AM70" s="78" t="n">
        <f aca="false">AJ70-(AD70+G70+T70+U70+AF70+AP70-Q70-W70-AH70-AO70)</f>
        <v>0</v>
      </c>
      <c r="AN70" s="78" t="n">
        <f aca="false">0</f>
        <v>0</v>
      </c>
      <c r="AO70" s="78" t="n">
        <f aca="false">0</f>
        <v>0</v>
      </c>
      <c r="AP70" s="78" t="n">
        <f aca="false">0</f>
        <v>0</v>
      </c>
    </row>
    <row r="71" customFormat="false" ht="14.25" hidden="false" customHeight="false" outlineLevel="0" collapsed="false">
      <c r="A71" s="61" t="n">
        <v>1911</v>
      </c>
      <c r="B71" s="48" t="n">
        <v>2140</v>
      </c>
      <c r="C71" s="77" t="n">
        <f aca="false">Partners!H71</f>
        <v>1.86933819819109</v>
      </c>
      <c r="D71" s="50" t="n">
        <f aca="false">Partners!I71</f>
        <v>4000.38374412894</v>
      </c>
      <c r="E71" s="62" t="n">
        <v>0.12</v>
      </c>
      <c r="F71" s="62" t="n">
        <v>0.085</v>
      </c>
      <c r="G71" s="56" t="n">
        <f aca="false">D71*E71</f>
        <v>480.046049295473</v>
      </c>
      <c r="H71" s="56" t="n">
        <f aca="false">D71*F71</f>
        <v>340.03261825096</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37.9369852460781</v>
      </c>
      <c r="Q71" s="56" t="n">
        <f aca="false">H71+J71+K71+L71+N71+O71+P71</f>
        <v>424.669603497038</v>
      </c>
      <c r="R71" s="56" t="n">
        <f aca="false">Q71-G71</f>
        <v>-55.3764457984348</v>
      </c>
      <c r="S71" s="55" t="n">
        <v>0</v>
      </c>
      <c r="T71" s="56" t="n">
        <f aca="false">S71*IF($A71&gt;=1923,C71,1)</f>
        <v>0</v>
      </c>
      <c r="U71" s="55" t="n">
        <v>0</v>
      </c>
      <c r="V71" s="55" t="n">
        <v>0</v>
      </c>
      <c r="W71" s="56" t="n">
        <f aca="false">(X70-0)*jp_foreign_repay+0</f>
        <v>11.4168000708596</v>
      </c>
      <c r="X71" s="56" t="n">
        <f aca="false">X70+T71-W71</f>
        <v>369.143202291127</v>
      </c>
      <c r="Y71" s="56" t="n">
        <f aca="false">AG71+AF71-AH71</f>
        <v>334.220056832</v>
      </c>
      <c r="Z71" s="56" t="n">
        <f aca="false">X71+Y71</f>
        <v>703.363259123127</v>
      </c>
      <c r="AA71" s="66" t="n">
        <f aca="false">IF(D71&gt;0,Z71/D71,0)</f>
        <v>0.175823946928942</v>
      </c>
      <c r="AB71" s="66" t="n">
        <f aca="false">IF(G71&gt;0,P71/G71,0)</f>
        <v>0.0790278043153471</v>
      </c>
      <c r="AC71" s="66" t="n">
        <f aca="false">IF(T71+AF71&gt;0,T71/(T71+AF71),0)</f>
        <v>0</v>
      </c>
      <c r="AD71" s="78" t="n">
        <f aca="false">AJ70</f>
        <v>0</v>
      </c>
      <c r="AE71" s="78" t="n">
        <f aca="false">AD71+G71+T71+U71+AP71-Q71-W71-AO71</f>
        <v>43.9596457275752</v>
      </c>
      <c r="AF71" s="78" t="n">
        <f aca="false">MAX(0,-AE71)</f>
        <v>0</v>
      </c>
      <c r="AG71" s="78" t="n">
        <f aca="false">Y70+V71</f>
        <v>378.179702559575</v>
      </c>
      <c r="AH71" s="78" t="n">
        <f aca="false">MIN(MAX(0,AE71),AG71)</f>
        <v>43.9596457275752</v>
      </c>
      <c r="AI71" s="78" t="n">
        <f aca="false">AE71+AF71-AH71</f>
        <v>0</v>
      </c>
      <c r="AJ71" s="78" t="n">
        <f aca="false">AI71</f>
        <v>0</v>
      </c>
      <c r="AK71" s="78" t="n">
        <f aca="false">AK70</f>
        <v>0</v>
      </c>
      <c r="AL71" s="78" t="n">
        <f aca="false">AJ71+AK71+AN71-Z71</f>
        <v>-703.363259123127</v>
      </c>
      <c r="AM71" s="78" t="n">
        <f aca="false">AJ71-(AD71+G71+T71+U71+AF71+AP71-Q71-W71-AH71-AO71)</f>
        <v>0</v>
      </c>
      <c r="AN71" s="78" t="n">
        <f aca="false">0</f>
        <v>0</v>
      </c>
      <c r="AO71" s="78" t="n">
        <f aca="false">0</f>
        <v>0</v>
      </c>
      <c r="AP71" s="78" t="n">
        <f aca="false">0</f>
        <v>0</v>
      </c>
    </row>
    <row r="72" customFormat="false" ht="14.25" hidden="false" customHeight="false" outlineLevel="0" collapsed="false">
      <c r="A72" s="61" t="n">
        <v>1912</v>
      </c>
      <c r="B72" s="48" t="n">
        <v>2320</v>
      </c>
      <c r="C72" s="77" t="n">
        <f aca="false">Partners!H72</f>
        <v>1.90314991846142</v>
      </c>
      <c r="D72" s="50" t="n">
        <f aca="false">Partners!I72</f>
        <v>4415.3078108305</v>
      </c>
      <c r="E72" s="62" t="n">
        <v>0.12</v>
      </c>
      <c r="F72" s="62" t="n">
        <v>0.085</v>
      </c>
      <c r="G72" s="56" t="n">
        <f aca="false">D72*E72</f>
        <v>529.836937299659</v>
      </c>
      <c r="H72" s="56" t="n">
        <f aca="false">D72*F72</f>
        <v>375.301163920592</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35.1681629561564</v>
      </c>
      <c r="Q72" s="56" t="n">
        <f aca="false">H72+J72+K72+L72+N72+O72+P72</f>
        <v>458.769326876749</v>
      </c>
      <c r="R72" s="56" t="n">
        <f aca="false">Q72-G72</f>
        <v>-71.067610422911</v>
      </c>
      <c r="S72" s="55" t="n">
        <v>0</v>
      </c>
      <c r="T72" s="56" t="n">
        <f aca="false">S72*IF($A72&gt;=1923,C72,1)</f>
        <v>0</v>
      </c>
      <c r="U72" s="55" t="n">
        <v>0</v>
      </c>
      <c r="V72" s="55" t="n">
        <v>0</v>
      </c>
      <c r="W72" s="56" t="n">
        <f aca="false">(X71-0)*jp_foreign_repay+0</f>
        <v>11.0742960687338</v>
      </c>
      <c r="X72" s="56" t="n">
        <f aca="false">X71+T72-W72</f>
        <v>358.068906222393</v>
      </c>
      <c r="Y72" s="56" t="n">
        <f aca="false">AG72+AF72-AH72</f>
        <v>274.226742477823</v>
      </c>
      <c r="Z72" s="56" t="n">
        <f aca="false">X72+Y72</f>
        <v>632.295648700217</v>
      </c>
      <c r="AA72" s="66" t="n">
        <f aca="false">IF(D72&gt;0,Z72/D72,0)</f>
        <v>0.143205338289039</v>
      </c>
      <c r="AB72" s="66" t="n">
        <f aca="false">IF(G72&gt;0,P72/G72,0)</f>
        <v>0.0663754458784861</v>
      </c>
      <c r="AC72" s="66" t="n">
        <f aca="false">IF(T72+AF72&gt;0,T72/(T72+AF72),0)</f>
        <v>0</v>
      </c>
      <c r="AD72" s="78" t="n">
        <f aca="false">AJ71</f>
        <v>0</v>
      </c>
      <c r="AE72" s="78" t="n">
        <f aca="false">AD72+G72+T72+U72+AP72-Q72-W72-AO72</f>
        <v>59.9933143541771</v>
      </c>
      <c r="AF72" s="78" t="n">
        <f aca="false">MAX(0,-AE72)</f>
        <v>0</v>
      </c>
      <c r="AG72" s="78" t="n">
        <f aca="false">Y71+V72</f>
        <v>334.220056832</v>
      </c>
      <c r="AH72" s="78" t="n">
        <f aca="false">MIN(MAX(0,AE72),AG72)</f>
        <v>59.9933143541771</v>
      </c>
      <c r="AI72" s="78" t="n">
        <f aca="false">AE72+AF72-AH72</f>
        <v>0</v>
      </c>
      <c r="AJ72" s="78" t="n">
        <f aca="false">AI72</f>
        <v>0</v>
      </c>
      <c r="AK72" s="78" t="n">
        <f aca="false">AK71</f>
        <v>0</v>
      </c>
      <c r="AL72" s="78" t="n">
        <f aca="false">AJ72+AK72+AN72-Z72</f>
        <v>-632.295648700217</v>
      </c>
      <c r="AM72" s="78" t="n">
        <f aca="false">AJ72-(AD72+G72+T72+U72+AF72+AP72-Q72-W72-AH72-AO72)</f>
        <v>0</v>
      </c>
      <c r="AN72" s="78" t="n">
        <f aca="false">0</f>
        <v>0</v>
      </c>
      <c r="AO72" s="78" t="n">
        <f aca="false">0</f>
        <v>0</v>
      </c>
      <c r="AP72" s="78" t="n">
        <f aca="false">0</f>
        <v>0</v>
      </c>
    </row>
    <row r="73" customFormat="false" ht="14.25" hidden="false" customHeight="false" outlineLevel="0" collapsed="false">
      <c r="A73" s="61" t="n">
        <v>1913</v>
      </c>
      <c r="B73" s="48" t="n">
        <v>2500</v>
      </c>
      <c r="C73" s="77" t="n">
        <f aca="false">Partners!H73</f>
        <v>1.93711246681033</v>
      </c>
      <c r="D73" s="50" t="n">
        <f aca="false">Partners!I73</f>
        <v>4842.78116702582</v>
      </c>
      <c r="E73" s="62" t="n">
        <v>0.12</v>
      </c>
      <c r="F73" s="62" t="n">
        <v>0.085</v>
      </c>
      <c r="G73" s="56" t="n">
        <f aca="false">D73*E73</f>
        <v>581.133740043099</v>
      </c>
      <c r="H73" s="56" t="n">
        <f aca="false">D73*F73</f>
        <v>411.636399197195</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31.6147824350108</v>
      </c>
      <c r="Q73" s="56" t="n">
        <f aca="false">H73+J73+K73+L73+N73+O73+P73</f>
        <v>493.251181632206</v>
      </c>
      <c r="R73" s="56" t="n">
        <f aca="false">Q73-G73</f>
        <v>-87.8825584108929</v>
      </c>
      <c r="S73" s="55" t="n">
        <v>0</v>
      </c>
      <c r="T73" s="56" t="n">
        <f aca="false">S73*IF($A73&gt;=1923,C73,1)</f>
        <v>0</v>
      </c>
      <c r="U73" s="55" t="n">
        <v>0</v>
      </c>
      <c r="V73" s="55" t="n">
        <v>0</v>
      </c>
      <c r="W73" s="56" t="n">
        <f aca="false">(X72-0)*jp_foreign_repay+0</f>
        <v>10.7420671866718</v>
      </c>
      <c r="X73" s="56" t="n">
        <f aca="false">X72+T73-W73</f>
        <v>347.326839035722</v>
      </c>
      <c r="Y73" s="56" t="n">
        <f aca="false">AG73+AF73-AH73</f>
        <v>197.086251253602</v>
      </c>
      <c r="Z73" s="56" t="n">
        <f aca="false">X73+Y73</f>
        <v>544.413090289324</v>
      </c>
      <c r="AA73" s="66" t="n">
        <f aca="false">IF(D73&gt;0,Z73/D73,0)</f>
        <v>0.112417445990787</v>
      </c>
      <c r="AB73" s="66" t="n">
        <f aca="false">IF(G73&gt;0,P73/G73,0)</f>
        <v>0.054401904856989</v>
      </c>
      <c r="AC73" s="66" t="n">
        <f aca="false">IF(T73+AF73&gt;0,T73/(T73+AF73),0)</f>
        <v>0</v>
      </c>
      <c r="AD73" s="78" t="n">
        <f aca="false">AJ72</f>
        <v>0</v>
      </c>
      <c r="AE73" s="78" t="n">
        <f aca="false">AD73+G73+T73+U73+AP73-Q73-W73-AO73</f>
        <v>77.1404912242211</v>
      </c>
      <c r="AF73" s="78" t="n">
        <f aca="false">MAX(0,-AE73)</f>
        <v>0</v>
      </c>
      <c r="AG73" s="78" t="n">
        <f aca="false">Y72+V73</f>
        <v>274.226742477823</v>
      </c>
      <c r="AH73" s="78" t="n">
        <f aca="false">MIN(MAX(0,AE73),AG73)</f>
        <v>77.1404912242211</v>
      </c>
      <c r="AI73" s="78" t="n">
        <f aca="false">AE73+AF73-AH73</f>
        <v>0</v>
      </c>
      <c r="AJ73" s="78" t="n">
        <f aca="false">AI73</f>
        <v>0</v>
      </c>
      <c r="AK73" s="78" t="n">
        <f aca="false">AK72</f>
        <v>0</v>
      </c>
      <c r="AL73" s="78" t="n">
        <f aca="false">AJ73+AK73+AN73-Z73</f>
        <v>-544.413090289324</v>
      </c>
      <c r="AM73" s="78" t="n">
        <f aca="false">AJ73-(AD73+G73+T73+U73+AF73+AP73-Q73-W73-AH73-AO73)</f>
        <v>0</v>
      </c>
      <c r="AN73" s="78" t="n">
        <f aca="false">0</f>
        <v>0</v>
      </c>
      <c r="AO73" s="78" t="n">
        <f aca="false">0</f>
        <v>0</v>
      </c>
      <c r="AP73" s="78" t="n">
        <f aca="false">0</f>
        <v>0</v>
      </c>
    </row>
    <row r="74" customFormat="false" ht="14.25" hidden="false" customHeight="false" outlineLevel="0" collapsed="false">
      <c r="A74" s="64" t="n">
        <v>1914</v>
      </c>
      <c r="B74" s="48" t="n">
        <v>2495</v>
      </c>
      <c r="C74" s="77" t="n">
        <f aca="false">Partners!H74</f>
        <v>1.97132283071637</v>
      </c>
      <c r="D74" s="50" t="n">
        <f aca="false">Partners!I74</f>
        <v>4918.45046263733</v>
      </c>
      <c r="E74" s="62" t="n">
        <v>0.12</v>
      </c>
      <c r="F74" s="62" t="n">
        <v>0.085</v>
      </c>
      <c r="G74" s="56" t="n">
        <f aca="false">D74*E74</f>
        <v>590.21405551648</v>
      </c>
      <c r="H74" s="56" t="n">
        <f aca="false">D74*F74</f>
        <v>418.068289324173</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27.2206545144662</v>
      </c>
      <c r="Q74" s="56" t="n">
        <f aca="false">H74+J74+K74+L74+N74+O74+P74</f>
        <v>530.288943838639</v>
      </c>
      <c r="R74" s="56" t="n">
        <f aca="false">Q74-G74</f>
        <v>-59.9251116778403</v>
      </c>
      <c r="S74" s="55" t="n">
        <v>0</v>
      </c>
      <c r="T74" s="56" t="n">
        <f aca="false">S74*IF($A74&gt;=1923,C74,1)</f>
        <v>0</v>
      </c>
      <c r="U74" s="55" t="n">
        <v>0</v>
      </c>
      <c r="V74" s="55" t="n">
        <v>0</v>
      </c>
      <c r="W74" s="56" t="n">
        <f aca="false">(X73-0)*jp_foreign_repay+0</f>
        <v>10.4198051710716</v>
      </c>
      <c r="X74" s="56" t="n">
        <f aca="false">X73+T74-W74</f>
        <v>336.90703386465</v>
      </c>
      <c r="Y74" s="56" t="n">
        <f aca="false">AG74+AF74-AH74</f>
        <v>147.580944746833</v>
      </c>
      <c r="Z74" s="56" t="n">
        <f aca="false">X74+Y74</f>
        <v>484.487978611483</v>
      </c>
      <c r="AA74" s="66" t="n">
        <f aca="false">IF(D74&gt;0,Z74/D74,0)</f>
        <v>0.0985041899459724</v>
      </c>
      <c r="AB74" s="66" t="n">
        <f aca="false">IF(G74&gt;0,P74/G74,0)</f>
        <v>0.0461199699669066</v>
      </c>
      <c r="AC74" s="66" t="n">
        <f aca="false">IF(T74+AF74&gt;0,T74/(T74+AF74),0)</f>
        <v>0</v>
      </c>
      <c r="AD74" s="78" t="n">
        <f aca="false">AJ73</f>
        <v>0</v>
      </c>
      <c r="AE74" s="78" t="n">
        <f aca="false">AD74+G74+T74+U74+AP74-Q74-W74-AO74</f>
        <v>49.5053065067686</v>
      </c>
      <c r="AF74" s="78" t="n">
        <f aca="false">MAX(0,-AE74)</f>
        <v>0</v>
      </c>
      <c r="AG74" s="78" t="n">
        <f aca="false">Y73+V74</f>
        <v>197.086251253602</v>
      </c>
      <c r="AH74" s="78" t="n">
        <f aca="false">MIN(MAX(0,AE74),AG74)</f>
        <v>49.5053065067686</v>
      </c>
      <c r="AI74" s="78" t="n">
        <f aca="false">AE74+AF74-AH74</f>
        <v>0</v>
      </c>
      <c r="AJ74" s="78" t="n">
        <f aca="false">AI74</f>
        <v>0</v>
      </c>
      <c r="AK74" s="78" t="n">
        <f aca="false">AK73</f>
        <v>0</v>
      </c>
      <c r="AL74" s="78" t="n">
        <f aca="false">AJ74+AK74+AN74-Z74</f>
        <v>-484.487978611483</v>
      </c>
      <c r="AM74" s="78" t="n">
        <f aca="false">AJ74-(AD74+G74+T74+U74+AF74+AP74-Q74-W74-AH74-AO74)</f>
        <v>0</v>
      </c>
      <c r="AN74" s="78" t="n">
        <f aca="false">0</f>
        <v>0</v>
      </c>
      <c r="AO74" s="78" t="n">
        <f aca="false">0</f>
        <v>0</v>
      </c>
      <c r="AP74" s="78" t="n">
        <f aca="false">0</f>
        <v>0</v>
      </c>
    </row>
    <row r="75" customFormat="false" ht="14.25" hidden="false" customHeight="false" outlineLevel="0" collapsed="false">
      <c r="A75" s="64" t="n">
        <v>1915</v>
      </c>
      <c r="B75" s="48" t="n">
        <v>2490</v>
      </c>
      <c r="C75" s="77" t="n">
        <f aca="false">Partners!H75</f>
        <v>2.00658777759746</v>
      </c>
      <c r="D75" s="50" t="n">
        <f aca="false">Partners!I75</f>
        <v>4996.40356621767</v>
      </c>
      <c r="E75" s="62" t="n">
        <v>0.12</v>
      </c>
      <c r="F75" s="62" t="n">
        <v>0.085</v>
      </c>
      <c r="G75" s="56" t="n">
        <f aca="false">D75*E75</f>
        <v>599.568427946121</v>
      </c>
      <c r="H75" s="56" t="n">
        <f aca="false">D75*F75</f>
        <v>424.694303128502</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24.2243989305742</v>
      </c>
      <c r="Q75" s="56" t="n">
        <f aca="false">H75+J75+K75+L75+N75+O75+P75</f>
        <v>508.918702059076</v>
      </c>
      <c r="R75" s="56" t="n">
        <f aca="false">Q75-G75</f>
        <v>-90.6497258870444</v>
      </c>
      <c r="S75" s="55" t="n">
        <v>0</v>
      </c>
      <c r="T75" s="56" t="n">
        <f aca="false">S75*IF($A75&gt;=1923,C75,1)</f>
        <v>0</v>
      </c>
      <c r="U75" s="55" t="n">
        <v>0</v>
      </c>
      <c r="V75" s="55" t="n">
        <v>0</v>
      </c>
      <c r="W75" s="56" t="n">
        <f aca="false">(X74-0)*jp_foreign_repay+0</f>
        <v>10.1072110159395</v>
      </c>
      <c r="X75" s="56" t="n">
        <f aca="false">X74+T75-W75</f>
        <v>326.79982284871</v>
      </c>
      <c r="Y75" s="56" t="n">
        <f aca="false">AG75+AF75-AH75</f>
        <v>67.0384298757285</v>
      </c>
      <c r="Z75" s="56" t="n">
        <f aca="false">X75+Y75</f>
        <v>393.838252724439</v>
      </c>
      <c r="AA75" s="66" t="n">
        <f aca="false">IF(D75&gt;0,Z75/D75,0)</f>
        <v>0.0788243478543865</v>
      </c>
      <c r="AB75" s="66" t="n">
        <f aca="false">IF(G75&gt;0,P75/G75,0)</f>
        <v>0.040403059603317</v>
      </c>
      <c r="AC75" s="66" t="n">
        <f aca="false">IF(T75+AF75&gt;0,T75/(T75+AF75),0)</f>
        <v>0</v>
      </c>
      <c r="AD75" s="78" t="n">
        <f aca="false">AJ74</f>
        <v>0</v>
      </c>
      <c r="AE75" s="78" t="n">
        <f aca="false">AD75+G75+T75+U75+AP75-Q75-W75-AO75</f>
        <v>80.5425148711049</v>
      </c>
      <c r="AF75" s="78" t="n">
        <f aca="false">MAX(0,-AE75)</f>
        <v>0</v>
      </c>
      <c r="AG75" s="78" t="n">
        <f aca="false">Y74+V75</f>
        <v>147.580944746833</v>
      </c>
      <c r="AH75" s="78" t="n">
        <f aca="false">MIN(MAX(0,AE75),AG75)</f>
        <v>80.5425148711049</v>
      </c>
      <c r="AI75" s="78" t="n">
        <f aca="false">AE75+AF75-AH75</f>
        <v>0</v>
      </c>
      <c r="AJ75" s="78" t="n">
        <f aca="false">AI75</f>
        <v>0</v>
      </c>
      <c r="AK75" s="78" t="n">
        <f aca="false">AK74</f>
        <v>0</v>
      </c>
      <c r="AL75" s="78" t="n">
        <f aca="false">AJ75+AK75+AN75-Z75</f>
        <v>-393.838252724439</v>
      </c>
      <c r="AM75" s="78" t="n">
        <f aca="false">AJ75-(AD75+G75+T75+U75+AF75+AP75-Q75-W75-AH75-AO75)</f>
        <v>0</v>
      </c>
      <c r="AN75" s="78" t="n">
        <f aca="false">0</f>
        <v>0</v>
      </c>
      <c r="AO75" s="78" t="n">
        <f aca="false">0</f>
        <v>0</v>
      </c>
      <c r="AP75" s="78" t="n">
        <f aca="false">0</f>
        <v>0</v>
      </c>
    </row>
    <row r="76" customFormat="false" ht="14.25" hidden="false" customHeight="false" outlineLevel="0" collapsed="false">
      <c r="A76" s="64" t="n">
        <v>1916</v>
      </c>
      <c r="B76" s="48" t="n">
        <v>3390</v>
      </c>
      <c r="C76" s="77" t="n">
        <f aca="false">Partners!H76</f>
        <v>2.04411725096926</v>
      </c>
      <c r="D76" s="50" t="n">
        <f aca="false">Partners!I76</f>
        <v>6929.5574807858</v>
      </c>
      <c r="E76" s="62" t="n">
        <v>0.12</v>
      </c>
      <c r="F76" s="62" t="n">
        <v>0.085</v>
      </c>
      <c r="G76" s="56" t="n">
        <f aca="false">D76*E76</f>
        <v>831.546897694296</v>
      </c>
      <c r="H76" s="56" t="n">
        <f aca="false">D76*F76</f>
        <v>589.012385866793</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19.6919126362219</v>
      </c>
      <c r="Q76" s="56" t="n">
        <f aca="false">H76+J76+K76+L76+N76+O76+P76</f>
        <v>673.704298503015</v>
      </c>
      <c r="R76" s="56" t="n">
        <f aca="false">Q76-G76</f>
        <v>-157.842599191281</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0.0457454648499867</v>
      </c>
      <c r="AB76" s="66" t="n">
        <f aca="false">IF(G76&gt;0,P76/G76,0)</f>
        <v>0.0236810607926305</v>
      </c>
      <c r="AC76" s="66" t="n">
        <f aca="false">IF(T76+AF76&gt;0,T76/(T76+AF76),0)</f>
        <v>0</v>
      </c>
      <c r="AD76" s="78" t="n">
        <f aca="false">AJ75</f>
        <v>0</v>
      </c>
      <c r="AE76" s="78" t="n">
        <f aca="false">AD76+G76+T76+U76+AP76-Q76-W76-AO76</f>
        <v>148.03860450582</v>
      </c>
      <c r="AF76" s="78" t="n">
        <f aca="false">MAX(0,-AE76)</f>
        <v>0</v>
      </c>
      <c r="AG76" s="78" t="n">
        <f aca="false">Y75+V76</f>
        <v>67.0384298757285</v>
      </c>
      <c r="AH76" s="78" t="n">
        <f aca="false">MIN(MAX(0,AE76),AG76)</f>
        <v>67.0384298757285</v>
      </c>
      <c r="AI76" s="78" t="n">
        <f aca="false">AE76+AF76-AH76</f>
        <v>81.0001746300913</v>
      </c>
      <c r="AJ76" s="78" t="n">
        <f aca="false">AI76</f>
        <v>81.0001746300913</v>
      </c>
      <c r="AK76" s="78" t="n">
        <f aca="false">AK75</f>
        <v>0</v>
      </c>
      <c r="AL76" s="78" t="n">
        <f aca="false">AJ76+AK76+AN76-Z76</f>
        <v>-235.995653533158</v>
      </c>
      <c r="AM76" s="78" t="n">
        <f aca="false">AJ76-(AD76+G76+T76+U76+AF76+AP76-Q76-W76-AH76-AO76)</f>
        <v>0</v>
      </c>
      <c r="AN76" s="78" t="n">
        <f aca="false">0</f>
        <v>0</v>
      </c>
      <c r="AO76" s="78" t="n">
        <f aca="false">0</f>
        <v>0</v>
      </c>
      <c r="AP76" s="78" t="n">
        <f aca="false">0</f>
        <v>0</v>
      </c>
    </row>
    <row r="77" customFormat="false" ht="14.25" hidden="false" customHeight="false" outlineLevel="0" collapsed="false">
      <c r="A77" s="64" t="n">
        <v>1917</v>
      </c>
      <c r="B77" s="48" t="n">
        <v>4290</v>
      </c>
      <c r="C77" s="77" t="n">
        <f aca="false">Partners!H77</f>
        <v>2.07979779007356</v>
      </c>
      <c r="D77" s="50" t="n">
        <f aca="false">Partners!I77</f>
        <v>8922.33251941559</v>
      </c>
      <c r="E77" s="62" t="n">
        <v>0.12</v>
      </c>
      <c r="F77" s="62" t="n">
        <v>0.085</v>
      </c>
      <c r="G77" s="56" t="n">
        <f aca="false">D77*E77</f>
        <v>1070.67990232987</v>
      </c>
      <c r="H77" s="56" t="n">
        <f aca="false">D77*F77</f>
        <v>758.398264150325</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851.748055558487</v>
      </c>
      <c r="R77" s="56" t="n">
        <f aca="false">Q77-G77</f>
        <v>-218.931846771383</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0.0344625077186085</v>
      </c>
      <c r="AB77" s="66" t="n">
        <f aca="false">IF(G77&gt;0,P77/G77,0)</f>
        <v>0.0148034826969968</v>
      </c>
      <c r="AC77" s="66" t="n">
        <f aca="false">IF(T77+AF77&gt;0,T77/(T77+AF77),0)</f>
        <v>0</v>
      </c>
      <c r="AD77" s="78" t="n">
        <f aca="false">AJ76</f>
        <v>81.0001746300913</v>
      </c>
      <c r="AE77" s="78" t="n">
        <f aca="false">AD77+G77+T77+U77+AP77-Q77-W77-AO77</f>
        <v>290.422146556577</v>
      </c>
      <c r="AF77" s="78" t="n">
        <f aca="false">MAX(0,-AE77)</f>
        <v>0</v>
      </c>
      <c r="AG77" s="78" t="n">
        <f aca="false">Y76+V77</f>
        <v>0</v>
      </c>
      <c r="AH77" s="78" t="n">
        <f aca="false">MIN(MAX(0,AE77),AG77)</f>
        <v>0</v>
      </c>
      <c r="AI77" s="78" t="n">
        <f aca="false">AE77+AF77-AH77</f>
        <v>290.422146556577</v>
      </c>
      <c r="AJ77" s="78" t="n">
        <f aca="false">AI77</f>
        <v>290.422146556577</v>
      </c>
      <c r="AK77" s="78" t="n">
        <f aca="false">AK76</f>
        <v>0</v>
      </c>
      <c r="AL77" s="78" t="n">
        <f aca="false">AJ77+AK77+AN77-Z77</f>
        <v>-17.0638067617749</v>
      </c>
      <c r="AM77" s="78" t="n">
        <f aca="false">AJ77-(AD77+G77+T77+U77+AF77+AP77-Q77-W77-AH77-AO77)</f>
        <v>0</v>
      </c>
      <c r="AN77" s="78" t="n">
        <f aca="false">0</f>
        <v>0</v>
      </c>
      <c r="AO77" s="78" t="n">
        <f aca="false">0</f>
        <v>0</v>
      </c>
      <c r="AP77" s="78" t="n">
        <f aca="false">0</f>
        <v>0</v>
      </c>
    </row>
    <row r="78" customFormat="false" ht="14.25" hidden="false" customHeight="false" outlineLevel="0" collapsed="false">
      <c r="A78" s="64" t="n">
        <v>1918</v>
      </c>
      <c r="B78" s="48" t="n">
        <v>6010</v>
      </c>
      <c r="C78" s="77" t="n">
        <f aca="false">Partners!H78</f>
        <v>2.11581559144266</v>
      </c>
      <c r="D78" s="50" t="n">
        <f aca="false">Partners!I78</f>
        <v>12716.0517045704</v>
      </c>
      <c r="E78" s="62" t="n">
        <v>0.12</v>
      </c>
      <c r="F78" s="62" t="n">
        <v>0.085</v>
      </c>
      <c r="G78" s="56" t="n">
        <f aca="false">D78*E78</f>
        <v>1525.92620454845</v>
      </c>
      <c r="H78" s="56" t="n">
        <f aca="false">D78*F78</f>
        <v>1080.86439488848</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1270.2386925544</v>
      </c>
      <c r="R78" s="56" t="n">
        <f aca="false">Q78-G78</f>
        <v>-255.687511994046</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0.0234555018844096</v>
      </c>
      <c r="AB78" s="66" t="n">
        <f aca="false">IF(G78&gt;0,P78/G78,0)</f>
        <v>0.0100753874073925</v>
      </c>
      <c r="AC78" s="66" t="n">
        <f aca="false">IF(T78+AF78&gt;0,T78/(T78+AF78),0)</f>
        <v>0</v>
      </c>
      <c r="AD78" s="78" t="n">
        <f aca="false">AJ77</f>
        <v>290.422146556577</v>
      </c>
      <c r="AE78" s="78" t="n">
        <f aca="false">AD78+G78+T78+U78+AP78-Q78-W78-AO78</f>
        <v>536.885079951072</v>
      </c>
      <c r="AF78" s="78" t="n">
        <f aca="false">MAX(0,-AE78)</f>
        <v>0</v>
      </c>
      <c r="AG78" s="78" t="n">
        <f aca="false">Y77+V78</f>
        <v>0</v>
      </c>
      <c r="AH78" s="78" t="n">
        <f aca="false">MIN(MAX(0,AE78),AG78)</f>
        <v>0</v>
      </c>
      <c r="AI78" s="78" t="n">
        <f aca="false">AE78+AF78-AH78</f>
        <v>536.885079951072</v>
      </c>
      <c r="AJ78" s="78" t="n">
        <f aca="false">AI78</f>
        <v>536.885079951072</v>
      </c>
      <c r="AK78" s="78" t="n">
        <f aca="false">AK77</f>
        <v>0</v>
      </c>
      <c r="AL78" s="78" t="n">
        <f aca="false">AJ78+AK78+AN78-Z78</f>
        <v>238.623705232271</v>
      </c>
      <c r="AM78" s="78" t="n">
        <f aca="false">AJ78-(AD78+G78+T78+U78+AF78+AP78-Q78-W78-AH78-AO78)</f>
        <v>0</v>
      </c>
      <c r="AN78" s="78" t="n">
        <f aca="false">0</f>
        <v>0</v>
      </c>
      <c r="AO78" s="78" t="n">
        <f aca="false">0</f>
        <v>0</v>
      </c>
      <c r="AP78" s="78" t="n">
        <f aca="false">0</f>
        <v>0</v>
      </c>
    </row>
    <row r="79" customFormat="false" ht="14.25" hidden="false" customHeight="false" outlineLevel="0" collapsed="false">
      <c r="A79" s="64" t="n">
        <v>1919</v>
      </c>
      <c r="B79" s="48" t="n">
        <v>7730</v>
      </c>
      <c r="C79" s="77" t="n">
        <f aca="false">Partners!H79</f>
        <v>2.14967269511875</v>
      </c>
      <c r="D79" s="50" t="n">
        <f aca="false">Partners!I79</f>
        <v>16616.9699332679</v>
      </c>
      <c r="E79" s="62" t="n">
        <v>0.12</v>
      </c>
      <c r="F79" s="62" t="n">
        <v>0.085</v>
      </c>
      <c r="G79" s="56" t="n">
        <f aca="false">D79*E79</f>
        <v>1994.03639199215</v>
      </c>
      <c r="H79" s="56" t="n">
        <f aca="false">D79*F79</f>
        <v>1412.44244432777</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1670.35551306371</v>
      </c>
      <c r="R79" s="56" t="n">
        <f aca="false">Q79-G79</f>
        <v>-323.680878928437</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0.0174107273852628</v>
      </c>
      <c r="AB79" s="66" t="n">
        <f aca="false">IF(G79&gt;0,P79/G79,0)</f>
        <v>0.00747883478748404</v>
      </c>
      <c r="AC79" s="66" t="n">
        <f aca="false">IF(T79+AF79&gt;0,T79/(T79+AF79),0)</f>
        <v>0</v>
      </c>
      <c r="AD79" s="78" t="n">
        <f aca="false">AJ78</f>
        <v>536.885079951072</v>
      </c>
      <c r="AE79" s="78" t="n">
        <f aca="false">AD79+G79+T79+U79+AP79-Q79-W79-AO79</f>
        <v>851.618117637945</v>
      </c>
      <c r="AF79" s="78" t="n">
        <f aca="false">MAX(0,-AE79)</f>
        <v>0</v>
      </c>
      <c r="AG79" s="78" t="n">
        <f aca="false">Y78+V79</f>
        <v>0</v>
      </c>
      <c r="AH79" s="78" t="n">
        <f aca="false">MIN(MAX(0,AE79),AG79)</f>
        <v>0</v>
      </c>
      <c r="AI79" s="78" t="n">
        <f aca="false">AE79+AF79-AH79</f>
        <v>851.618117637945</v>
      </c>
      <c r="AJ79" s="78" t="n">
        <f aca="false">AI79</f>
        <v>851.618117637945</v>
      </c>
      <c r="AK79" s="78" t="n">
        <f aca="false">AK78</f>
        <v>0</v>
      </c>
      <c r="AL79" s="78" t="n">
        <f aca="false">AJ79+AK79+AN79-Z79</f>
        <v>562.304584160708</v>
      </c>
      <c r="AM79" s="78" t="n">
        <f aca="false">AJ79-(AD79+G79+T79+U79+AF79+AP79-Q79-W79-AH79-AO79)</f>
        <v>0</v>
      </c>
      <c r="AN79" s="78" t="n">
        <f aca="false">0</f>
        <v>0</v>
      </c>
      <c r="AO79" s="78" t="n">
        <f aca="false">0</f>
        <v>0</v>
      </c>
      <c r="AP79" s="78" t="n">
        <f aca="false">0</f>
        <v>0</v>
      </c>
    </row>
    <row r="80" customFormat="false" ht="14.25" hidden="false" customHeight="false" outlineLevel="0" collapsed="false">
      <c r="A80" s="64" t="n">
        <v>1920</v>
      </c>
      <c r="B80" s="48" t="n">
        <v>7930</v>
      </c>
      <c r="C80" s="77" t="n">
        <f aca="false">Partners!H80</f>
        <v>2.18200931858338</v>
      </c>
      <c r="D80" s="50" t="n">
        <f aca="false">Partners!I80</f>
        <v>17303.3338963662</v>
      </c>
      <c r="E80" s="62" t="n">
        <v>0.12</v>
      </c>
      <c r="F80" s="62" t="n">
        <v>0.085</v>
      </c>
      <c r="G80" s="56" t="n">
        <f aca="false">D80*E80</f>
        <v>2076.40006756394</v>
      </c>
      <c r="H80" s="56" t="n">
        <f aca="false">D80*F80</f>
        <v>1470.78338119112</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1771.24905786499</v>
      </c>
      <c r="R80" s="56" t="n">
        <f aca="false">Q80-G80</f>
        <v>-305.151009698954</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0.0162185003857468</v>
      </c>
      <c r="AB80" s="66" t="n">
        <f aca="false">IF(G80&gt;0,P80/G80,0)</f>
        <v>0.00696670978769192</v>
      </c>
      <c r="AC80" s="66" t="n">
        <f aca="false">IF(T80+AF80&gt;0,T80/(T80+AF80),0)</f>
        <v>0</v>
      </c>
      <c r="AD80" s="78" t="n">
        <f aca="false">AJ79</f>
        <v>851.618117637945</v>
      </c>
      <c r="AE80" s="78" t="n">
        <f aca="false">AD80+G80+T80+U80+AP80-Q80-W80-AO80</f>
        <v>1148.08972133258</v>
      </c>
      <c r="AF80" s="78" t="n">
        <f aca="false">MAX(0,-AE80)</f>
        <v>0</v>
      </c>
      <c r="AG80" s="78" t="n">
        <f aca="false">Y79+V80</f>
        <v>0</v>
      </c>
      <c r="AH80" s="78" t="n">
        <f aca="false">MIN(MAX(0,AE80),AG80)</f>
        <v>0</v>
      </c>
      <c r="AI80" s="78" t="n">
        <f aca="false">AE80+AF80-AH80</f>
        <v>1148.08972133258</v>
      </c>
      <c r="AJ80" s="78" t="n">
        <f aca="false">AI80</f>
        <v>1148.08972133258</v>
      </c>
      <c r="AK80" s="78" t="n">
        <f aca="false">AK79</f>
        <v>0</v>
      </c>
      <c r="AL80" s="78" t="n">
        <f aca="false">AJ80+AK80+AN80-Z80</f>
        <v>867.455593859662</v>
      </c>
      <c r="AM80" s="78" t="n">
        <f aca="false">AJ80-(AD80+G80+T80+U80+AF80+AP80-Q80-W80-AH80-AO80)</f>
        <v>0</v>
      </c>
      <c r="AN80" s="78" t="n">
        <f aca="false">0</f>
        <v>0</v>
      </c>
      <c r="AO80" s="78" t="n">
        <f aca="false">0</f>
        <v>0</v>
      </c>
      <c r="AP80" s="78" t="n">
        <f aca="false">0</f>
        <v>0</v>
      </c>
    </row>
    <row r="81" customFormat="false" ht="14.25" hidden="false" customHeight="false" outlineLevel="0" collapsed="false">
      <c r="A81" s="64" t="n">
        <v>1921</v>
      </c>
      <c r="B81" s="48" t="n">
        <v>7430</v>
      </c>
      <c r="C81" s="77" t="n">
        <f aca="false">Partners!H81</f>
        <v>2.21740388494479</v>
      </c>
      <c r="D81" s="50" t="n">
        <f aca="false">Partners!I81</f>
        <v>16475.3108651398</v>
      </c>
      <c r="E81" s="62" t="n">
        <v>0.1211</v>
      </c>
      <c r="F81" s="62" t="n">
        <v>0.0867</v>
      </c>
      <c r="G81" s="56" t="n">
        <f aca="false">D81*E81</f>
        <v>1995.16014576843</v>
      </c>
      <c r="H81" s="56" t="n">
        <f aca="false">D81*F81</f>
        <v>1428.40945200762</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1729.44115838127</v>
      </c>
      <c r="R81" s="56" t="n">
        <f aca="false">Q81-G81</f>
        <v>-265.718987387163</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0.0165226080331336</v>
      </c>
      <c r="AB81" s="66" t="n">
        <f aca="false">IF(G81&gt;0,P81/G81,0)</f>
        <v>0.00703287222502219</v>
      </c>
      <c r="AC81" s="66" t="n">
        <f aca="false">IF(T81+AF81&gt;0,T81/(T81+AF81),0)</f>
        <v>0</v>
      </c>
      <c r="AD81" s="78" t="n">
        <f aca="false">AJ80</f>
        <v>1148.08972133258</v>
      </c>
      <c r="AE81" s="78" t="n">
        <f aca="false">AD81+G81+T81+U81+AP81-Q81-W81-AO81</f>
        <v>1405.38968489556</v>
      </c>
      <c r="AF81" s="78" t="n">
        <f aca="false">MAX(0,-AE81)</f>
        <v>0</v>
      </c>
      <c r="AG81" s="78" t="n">
        <f aca="false">Y80+V81</f>
        <v>0</v>
      </c>
      <c r="AH81" s="78" t="n">
        <f aca="false">MIN(MAX(0,AE81),AG81)</f>
        <v>0</v>
      </c>
      <c r="AI81" s="78" t="n">
        <f aca="false">AE81+AF81-AH81</f>
        <v>1405.38968489556</v>
      </c>
      <c r="AJ81" s="78" t="n">
        <f aca="false">AI81</f>
        <v>1405.38968489556</v>
      </c>
      <c r="AK81" s="78" t="n">
        <f aca="false">AK80</f>
        <v>0</v>
      </c>
      <c r="AL81" s="78" t="n">
        <f aca="false">AJ81+AK81+AN81-Z81</f>
        <v>1133.17458124682</v>
      </c>
      <c r="AM81" s="78" t="n">
        <f aca="false">AJ81-(AD81+G81+T81+U81+AF81+AP81-Q81-W81-AH81-AO81)</f>
        <v>0</v>
      </c>
      <c r="AN81" s="78" t="n">
        <f aca="false">0</f>
        <v>0</v>
      </c>
      <c r="AO81" s="78" t="n">
        <f aca="false">0</f>
        <v>0</v>
      </c>
      <c r="AP81" s="78" t="n">
        <f aca="false">0</f>
        <v>0</v>
      </c>
    </row>
    <row r="82" customFormat="false" ht="14.25" hidden="false" customHeight="false" outlineLevel="0" collapsed="false">
      <c r="A82" s="64" t="n">
        <v>1922</v>
      </c>
      <c r="B82" s="48" t="n">
        <v>7700</v>
      </c>
      <c r="C82" s="77" t="n">
        <f aca="false">Partners!H82</f>
        <v>2.2507877215347</v>
      </c>
      <c r="D82" s="50" t="n">
        <f aca="false">Partners!I82</f>
        <v>17331.0654558172</v>
      </c>
      <c r="E82" s="62" t="n">
        <v>0.1222</v>
      </c>
      <c r="F82" s="62" t="n">
        <v>0.0883</v>
      </c>
      <c r="G82" s="56" t="n">
        <f aca="false">D82*E82</f>
        <v>2117.85619870086</v>
      </c>
      <c r="H82" s="56" t="n">
        <f aca="false">D82*F82</f>
        <v>1530.33307974866</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1760.94383493109</v>
      </c>
      <c r="R82" s="56" t="n">
        <f aca="false">Q82-G82</f>
        <v>-356.912363769766</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0.0152355694006477</v>
      </c>
      <c r="AB82" s="66" t="n">
        <f aca="false">IF(G82&gt;0,P82/G82,0)</f>
        <v>0.00642666635760528</v>
      </c>
      <c r="AC82" s="66" t="n">
        <f aca="false">IF(T82+AF82&gt;0,T82/(T82+AF82),0)</f>
        <v>0</v>
      </c>
      <c r="AD82" s="78" t="n">
        <f aca="false">AJ81</f>
        <v>1405.38968489556</v>
      </c>
      <c r="AE82" s="78" t="n">
        <f aca="false">AD82+G82+T82+U82+AP82-Q82-W82-AO82</f>
        <v>1754.13559555586</v>
      </c>
      <c r="AF82" s="78" t="n">
        <f aca="false">MAX(0,-AE82)</f>
        <v>0</v>
      </c>
      <c r="AG82" s="78" t="n">
        <f aca="false">Y81+V82</f>
        <v>0</v>
      </c>
      <c r="AH82" s="78" t="n">
        <f aca="false">MIN(MAX(0,AE82),AG82)</f>
        <v>0</v>
      </c>
      <c r="AI82" s="78" t="n">
        <f aca="false">AE82+AF82-AH82</f>
        <v>1754.13559555586</v>
      </c>
      <c r="AJ82" s="78" t="n">
        <f aca="false">AI82</f>
        <v>1754.13559555586</v>
      </c>
      <c r="AK82" s="78" t="n">
        <f aca="false">AK81</f>
        <v>0</v>
      </c>
      <c r="AL82" s="78" t="n">
        <f aca="false">AJ82+AK82+AN82-Z82</f>
        <v>1490.08694501659</v>
      </c>
      <c r="AM82" s="78" t="n">
        <f aca="false">AJ82-(AD82+G82+T82+U82+AF82+AP82-Q82-W82-AH82-AO82)</f>
        <v>0</v>
      </c>
      <c r="AN82" s="78" t="n">
        <f aca="false">0</f>
        <v>0</v>
      </c>
      <c r="AO82" s="78" t="n">
        <f aca="false">0</f>
        <v>0</v>
      </c>
      <c r="AP82" s="78" t="n">
        <f aca="false">0</f>
        <v>0</v>
      </c>
    </row>
    <row r="83" customFormat="false" ht="14.25" hidden="false" customHeight="false" outlineLevel="0" collapsed="false">
      <c r="A83" s="61" t="n">
        <v>1923</v>
      </c>
      <c r="B83" s="48" t="n">
        <v>7430</v>
      </c>
      <c r="C83" s="77" t="n">
        <f aca="false">Partners!H83</f>
        <v>2.2846480695426</v>
      </c>
      <c r="D83" s="50" t="n">
        <f aca="false">Partners!I83</f>
        <v>16974.9351567016</v>
      </c>
      <c r="E83" s="62" t="n">
        <v>0.1233</v>
      </c>
      <c r="F83" s="62" t="n">
        <v>0.09</v>
      </c>
      <c r="G83" s="56" t="n">
        <f aca="false">D83*E83</f>
        <v>2093.0095048213</v>
      </c>
      <c r="H83" s="56" t="n">
        <f aca="false">D83*F83</f>
        <v>1527.74416410314</v>
      </c>
      <c r="I83" s="55" t="n">
        <v>120</v>
      </c>
      <c r="J83" s="56" t="n">
        <f aca="false">IF($A83&gt;=1927,(1-pac_quota)*Navy!X83,I83)</f>
        <v>120</v>
      </c>
      <c r="K83" s="55" t="n">
        <v>0</v>
      </c>
      <c r="L83" s="56" t="n">
        <f aca="false">INDEX(Siberia!$D$38:$D$52,MATCH($A83,Siberia!$A$38:$A$52,0))</f>
        <v>23.1884521667134</v>
      </c>
      <c r="M83" s="55" t="n">
        <v>150</v>
      </c>
      <c r="N83" s="56" t="n">
        <f aca="false">M83*C83</f>
        <v>342.697210431391</v>
      </c>
      <c r="O83" s="56" t="n">
        <f aca="false">IF($A83&gt;=1927,10*(1-pac_quota),0)</f>
        <v>0</v>
      </c>
      <c r="P83" s="56" t="n">
        <f aca="false">jp_coupon*(Z82-0)+0</f>
        <v>13.2024325269635</v>
      </c>
      <c r="Q83" s="56" t="n">
        <f aca="false">H83+J83+K83+L83+N83+O83+P83</f>
        <v>2026.83225922821</v>
      </c>
      <c r="R83" s="56" t="n">
        <f aca="false">Q83-G83</f>
        <v>-66.1772455930943</v>
      </c>
      <c r="S83" s="55" t="n">
        <v>150</v>
      </c>
      <c r="T83" s="56" t="n">
        <f aca="false">S83*IF($A83&gt;=1923,C83,1)</f>
        <v>342.697210431391</v>
      </c>
      <c r="U83" s="55" t="n">
        <v>0</v>
      </c>
      <c r="V83" s="55" t="n">
        <v>0</v>
      </c>
      <c r="W83" s="56" t="n">
        <f aca="false">(X82-0)*jp_foreign_repay+0</f>
        <v>7.92145951617811</v>
      </c>
      <c r="X83" s="56" t="n">
        <f aca="false">X82+T83-W83</f>
        <v>598.824401454483</v>
      </c>
      <c r="Y83" s="56" t="n">
        <f aca="false">AG83+AF83-AH83</f>
        <v>0</v>
      </c>
      <c r="Z83" s="56" t="n">
        <f aca="false">X83+Y83</f>
        <v>598.824401454483</v>
      </c>
      <c r="AA83" s="66" t="n">
        <f aca="false">IF(D83&gt;0,Z83/D83,0)</f>
        <v>0.0352769772565566</v>
      </c>
      <c r="AB83" s="66" t="n">
        <f aca="false">IF(G83&gt;0,P83/G83,0)</f>
        <v>0.0063078703161889</v>
      </c>
      <c r="AC83" s="66" t="n">
        <f aca="false">IF(T83+AF83&gt;0,T83/(T83+AF83),0)</f>
        <v>1</v>
      </c>
      <c r="AD83" s="78" t="n">
        <f aca="false">AJ82</f>
        <v>1754.13559555586</v>
      </c>
      <c r="AE83" s="78" t="n">
        <f aca="false">AD83+G83+T83+U83+AP83-Q83-W83-AO83</f>
        <v>2155.08859206417</v>
      </c>
      <c r="AF83" s="78" t="n">
        <f aca="false">MAX(0,-AE83)</f>
        <v>0</v>
      </c>
      <c r="AG83" s="78" t="n">
        <f aca="false">Y82+V83</f>
        <v>0</v>
      </c>
      <c r="AH83" s="78" t="n">
        <f aca="false">MIN(MAX(0,AE83),AG83)</f>
        <v>0</v>
      </c>
      <c r="AI83" s="78" t="n">
        <f aca="false">AE83+AF83-AH83</f>
        <v>2155.08859206417</v>
      </c>
      <c r="AJ83" s="78" t="n">
        <f aca="false">AI83</f>
        <v>2155.08859206417</v>
      </c>
      <c r="AK83" s="78" t="n">
        <f aca="false">AK82</f>
        <v>0</v>
      </c>
      <c r="AL83" s="78" t="n">
        <f aca="false">AJ83+AK83+AN83-Z83</f>
        <v>1556.26419060968</v>
      </c>
      <c r="AM83" s="78" t="n">
        <f aca="false">AJ83-(AD83+G83+T83+U83+AF83+AP83-Q83-W83-AH83-AO83)</f>
        <v>0</v>
      </c>
      <c r="AN83" s="78" t="n">
        <f aca="false">0</f>
        <v>0</v>
      </c>
      <c r="AO83" s="78" t="n">
        <f aca="false">0</f>
        <v>0</v>
      </c>
      <c r="AP83" s="78" t="n">
        <f aca="false">0</f>
        <v>0</v>
      </c>
    </row>
    <row r="84" customFormat="false" ht="14.25" hidden="false" customHeight="false" outlineLevel="0" collapsed="false">
      <c r="A84" s="61" t="n">
        <v>1924</v>
      </c>
      <c r="B84" s="48" t="n">
        <v>7900</v>
      </c>
      <c r="C84" s="77" t="n">
        <f aca="false">Partners!H84</f>
        <v>2.32229986895874</v>
      </c>
      <c r="D84" s="50" t="n">
        <f aca="false">Partners!I84</f>
        <v>18346.1689647741</v>
      </c>
      <c r="E84" s="62" t="n">
        <v>0.1244</v>
      </c>
      <c r="F84" s="62" t="n">
        <v>0.0917</v>
      </c>
      <c r="G84" s="56" t="n">
        <f aca="false">D84*E84</f>
        <v>2282.2634192179</v>
      </c>
      <c r="H84" s="56" t="n">
        <f aca="false">D84*F84</f>
        <v>1682.34369406978</v>
      </c>
      <c r="I84" s="55" t="n">
        <v>110</v>
      </c>
      <c r="J84" s="56" t="n">
        <f aca="false">IF($A84&gt;=1927,(1-pac_quota)*Navy!X84,I84)</f>
        <v>110</v>
      </c>
      <c r="K84" s="55" t="n">
        <v>0</v>
      </c>
      <c r="L84" s="56" t="n">
        <f aca="false">INDEX(Siberia!$D$38:$D$52,MATCH($A84,Siberia!$A$38:$A$52,0))</f>
        <v>23.0557741667134</v>
      </c>
      <c r="M84" s="55" t="n">
        <v>200</v>
      </c>
      <c r="N84" s="56" t="n">
        <f aca="false">M84*C84</f>
        <v>464.459973791749</v>
      </c>
      <c r="O84" s="56" t="n">
        <f aca="false">IF($A84&gt;=1927,10*(1-pac_quota),0)</f>
        <v>0</v>
      </c>
      <c r="P84" s="56" t="n">
        <f aca="false">jp_coupon*(Z83-0)+0</f>
        <v>29.9412200727242</v>
      </c>
      <c r="Q84" s="56" t="n">
        <f aca="false">H84+J84+K84+L84+N84+O84+P84</f>
        <v>2309.80066210097</v>
      </c>
      <c r="R84" s="56" t="n">
        <f aca="false">Q84-G84</f>
        <v>27.5372428830742</v>
      </c>
      <c r="S84" s="55" t="n">
        <v>0</v>
      </c>
      <c r="T84" s="56" t="n">
        <f aca="false">S84*IF($A84&gt;=1923,C84,1)</f>
        <v>0</v>
      </c>
      <c r="U84" s="55" t="n">
        <v>0</v>
      </c>
      <c r="V84" s="55" t="n">
        <v>0</v>
      </c>
      <c r="W84" s="56" t="n">
        <f aca="false">(X83-0)*jp_foreign_repay+0</f>
        <v>17.9647320436345</v>
      </c>
      <c r="X84" s="56" t="n">
        <f aca="false">X83+T84-W84</f>
        <v>580.859669410849</v>
      </c>
      <c r="Y84" s="56" t="n">
        <f aca="false">AG84+AF84-AH84</f>
        <v>0</v>
      </c>
      <c r="Z84" s="56" t="n">
        <f aca="false">X84+Y84</f>
        <v>580.859669410849</v>
      </c>
      <c r="AA84" s="66" t="n">
        <f aca="false">IF(D84&gt;0,Z84/D84,0)</f>
        <v>0.0316610879648029</v>
      </c>
      <c r="AB84" s="66" t="n">
        <f aca="false">IF(G84&gt;0,P84/G84,0)</f>
        <v>0.0131190903822069</v>
      </c>
      <c r="AC84" s="66" t="n">
        <f aca="false">IF(T84+AF84&gt;0,T84/(T84+AF84),0)</f>
        <v>0</v>
      </c>
      <c r="AD84" s="78" t="n">
        <f aca="false">AJ83</f>
        <v>2155.08859206417</v>
      </c>
      <c r="AE84" s="78" t="n">
        <f aca="false">AD84+G84+T84+U84+AP84-Q84-W84-AO84</f>
        <v>2109.58661713746</v>
      </c>
      <c r="AF84" s="78" t="n">
        <f aca="false">MAX(0,-AE84)</f>
        <v>0</v>
      </c>
      <c r="AG84" s="78" t="n">
        <f aca="false">Y83+V84</f>
        <v>0</v>
      </c>
      <c r="AH84" s="78" t="n">
        <f aca="false">MIN(MAX(0,AE84),AG84)</f>
        <v>0</v>
      </c>
      <c r="AI84" s="78" t="n">
        <f aca="false">AE84+AF84-AH84</f>
        <v>2109.58661713746</v>
      </c>
      <c r="AJ84" s="78" t="n">
        <f aca="false">AI84</f>
        <v>2109.58661713746</v>
      </c>
      <c r="AK84" s="78" t="n">
        <f aca="false">AK83</f>
        <v>0</v>
      </c>
      <c r="AL84" s="78" t="n">
        <f aca="false">AJ84+AK84+AN84-Z84</f>
        <v>1528.72694772661</v>
      </c>
      <c r="AM84" s="78" t="n">
        <f aca="false">AJ84-(AD84+G84+T84+U84+AF84+AP84-Q84-W84-AH84-AO84)</f>
        <v>0</v>
      </c>
      <c r="AN84" s="78" t="n">
        <f aca="false">0</f>
        <v>0</v>
      </c>
      <c r="AO84" s="78" t="n">
        <f aca="false">0</f>
        <v>0</v>
      </c>
      <c r="AP84" s="78" t="n">
        <f aca="false">0</f>
        <v>0</v>
      </c>
    </row>
    <row r="85" customFormat="false" ht="14.25" hidden="false" customHeight="false" outlineLevel="0" collapsed="false">
      <c r="A85" s="61" t="n">
        <v>1925</v>
      </c>
      <c r="B85" s="48" t="n">
        <v>8130</v>
      </c>
      <c r="C85" s="77" t="n">
        <f aca="false">Partners!H85</f>
        <v>2.36057832386825</v>
      </c>
      <c r="D85" s="50" t="n">
        <f aca="false">Partners!I85</f>
        <v>19191.5017730489</v>
      </c>
      <c r="E85" s="62" t="n">
        <v>0.1256</v>
      </c>
      <c r="F85" s="62" t="n">
        <v>0.0933</v>
      </c>
      <c r="G85" s="56" t="n">
        <f aca="false">D85*E85</f>
        <v>2410.45262269494</v>
      </c>
      <c r="H85" s="56" t="n">
        <f aca="false">D85*F85</f>
        <v>1790.56711542546</v>
      </c>
      <c r="I85" s="55" t="n">
        <v>112.5</v>
      </c>
      <c r="J85" s="56" t="n">
        <f aca="false">IF($A85&gt;=1927,(1-pac_quota)*Navy!X85,I85)</f>
        <v>112.5</v>
      </c>
      <c r="K85" s="55" t="n">
        <v>0</v>
      </c>
      <c r="L85" s="56" t="n">
        <f aca="false">INDEX(Siberia!$D$38:$D$52,MATCH($A85,Siberia!$A$38:$A$52,0))</f>
        <v>23.4827329475785</v>
      </c>
      <c r="M85" s="55" t="n">
        <v>150</v>
      </c>
      <c r="N85" s="56" t="n">
        <f aca="false">M85*C85</f>
        <v>354.086748580237</v>
      </c>
      <c r="O85" s="56" t="n">
        <f aca="false">IF($A85&gt;=1927,10*(1-pac_quota),0)</f>
        <v>0</v>
      </c>
      <c r="P85" s="56" t="n">
        <f aca="false">jp_coupon*(Z84-0)+0</f>
        <v>29.0429834705424</v>
      </c>
      <c r="Q85" s="56" t="n">
        <f aca="false">H85+J85+K85+L85+N85+O85+P85</f>
        <v>2309.67958042382</v>
      </c>
      <c r="R85" s="56" t="n">
        <f aca="false">Q85-G85</f>
        <v>-100.77304227112</v>
      </c>
      <c r="S85" s="55" t="n">
        <v>0</v>
      </c>
      <c r="T85" s="56" t="n">
        <f aca="false">S85*IF($A85&gt;=1923,C85,1)</f>
        <v>0</v>
      </c>
      <c r="U85" s="55" t="n">
        <v>0</v>
      </c>
      <c r="V85" s="55" t="n">
        <v>0</v>
      </c>
      <c r="W85" s="56" t="n">
        <f aca="false">(X84-0)*jp_foreign_repay+0</f>
        <v>17.4257900823255</v>
      </c>
      <c r="X85" s="56" t="n">
        <f aca="false">X84+T85-W85</f>
        <v>563.433879328523</v>
      </c>
      <c r="Y85" s="56" t="n">
        <f aca="false">AG85+AF85-AH85</f>
        <v>0</v>
      </c>
      <c r="Z85" s="56" t="n">
        <f aca="false">X85+Y85</f>
        <v>563.433879328523</v>
      </c>
      <c r="AA85" s="66" t="n">
        <f aca="false">IF(D85&gt;0,Z85/D85,0)</f>
        <v>0.0293585090938411</v>
      </c>
      <c r="AB85" s="66" t="n">
        <f aca="false">IF(G85&gt;0,P85/G85,0)</f>
        <v>0.0120487676036842</v>
      </c>
      <c r="AC85" s="66" t="n">
        <f aca="false">IF(T85+AF85&gt;0,T85/(T85+AF85),0)</f>
        <v>0</v>
      </c>
      <c r="AD85" s="78" t="n">
        <f aca="false">AJ84</f>
        <v>2109.58661713746</v>
      </c>
      <c r="AE85" s="78" t="n">
        <f aca="false">AD85+G85+T85+U85+AP85-Q85-W85-AO85</f>
        <v>2192.93386932625</v>
      </c>
      <c r="AF85" s="78" t="n">
        <f aca="false">MAX(0,-AE85)</f>
        <v>0</v>
      </c>
      <c r="AG85" s="78" t="n">
        <f aca="false">Y84+V85</f>
        <v>0</v>
      </c>
      <c r="AH85" s="78" t="n">
        <f aca="false">MIN(MAX(0,AE85),AG85)</f>
        <v>0</v>
      </c>
      <c r="AI85" s="78" t="n">
        <f aca="false">AE85+AF85-AH85</f>
        <v>2192.93386932625</v>
      </c>
      <c r="AJ85" s="78" t="n">
        <f aca="false">AI85</f>
        <v>2192.93386932625</v>
      </c>
      <c r="AK85" s="78" t="n">
        <f aca="false">AK84</f>
        <v>0</v>
      </c>
      <c r="AL85" s="78" t="n">
        <f aca="false">AJ85+AK85+AN85-Z85</f>
        <v>1629.49998999773</v>
      </c>
      <c r="AM85" s="78" t="n">
        <f aca="false">AJ85-(AD85+G85+T85+U85+AF85+AP85-Q85-W85-AH85-AO85)</f>
        <v>0</v>
      </c>
      <c r="AN85" s="78" t="n">
        <f aca="false">0</f>
        <v>0</v>
      </c>
      <c r="AO85" s="78" t="n">
        <f aca="false">0</f>
        <v>0</v>
      </c>
      <c r="AP85" s="78" t="n">
        <f aca="false">0</f>
        <v>0</v>
      </c>
    </row>
    <row r="86" customFormat="false" ht="14.25" hidden="false" customHeight="false" outlineLevel="0" collapsed="false">
      <c r="A86" s="61" t="n">
        <v>1926</v>
      </c>
      <c r="B86" s="48" t="n">
        <v>7980</v>
      </c>
      <c r="C86" s="77" t="n">
        <f aca="false">Partners!H86</f>
        <v>2.40049551473288</v>
      </c>
      <c r="D86" s="50" t="n">
        <f aca="false">Partners!I86</f>
        <v>19155.9542075684</v>
      </c>
      <c r="E86" s="62" t="n">
        <v>0.1267</v>
      </c>
      <c r="F86" s="62" t="n">
        <v>0.095</v>
      </c>
      <c r="G86" s="56" t="n">
        <f aca="false">D86*E86</f>
        <v>2427.05939809892</v>
      </c>
      <c r="H86" s="56" t="n">
        <f aca="false">D86*F86</f>
        <v>1819.815649719</v>
      </c>
      <c r="I86" s="55" t="n">
        <v>115</v>
      </c>
      <c r="J86" s="56" t="n">
        <f aca="false">IF($A86&gt;=1927,(1-pac_quota)*Navy!X86,I86)</f>
        <v>115</v>
      </c>
      <c r="K86" s="55" t="n">
        <v>0</v>
      </c>
      <c r="L86" s="56" t="n">
        <f aca="false">INDEX(Siberia!$D$38:$D$52,MATCH($A86,Siberia!$A$38:$A$52,0))</f>
        <v>23.0557741667134</v>
      </c>
      <c r="M86" s="55" t="n">
        <v>100</v>
      </c>
      <c r="N86" s="56" t="n">
        <f aca="false">M86*C86</f>
        <v>240.049551473288</v>
      </c>
      <c r="O86" s="56" t="n">
        <f aca="false">IF($A86&gt;=1927,10*(1-pac_quota),0)</f>
        <v>0</v>
      </c>
      <c r="P86" s="56" t="n">
        <f aca="false">jp_coupon*(Z85-0)+0</f>
        <v>28.1716939664262</v>
      </c>
      <c r="Q86" s="56" t="n">
        <f aca="false">H86+J86+K86+L86+N86+O86+P86</f>
        <v>2226.09266932543</v>
      </c>
      <c r="R86" s="56" t="n">
        <f aca="false">Q86-G86</f>
        <v>-200.966728773491</v>
      </c>
      <c r="S86" s="55" t="n">
        <v>0</v>
      </c>
      <c r="T86" s="56" t="n">
        <f aca="false">S86*IF($A86&gt;=1923,C86,1)</f>
        <v>0</v>
      </c>
      <c r="U86" s="55" t="n">
        <v>0</v>
      </c>
      <c r="V86" s="55" t="n">
        <v>0</v>
      </c>
      <c r="W86" s="56" t="n">
        <f aca="false">(X85-0)*jp_foreign_repay+0</f>
        <v>16.9030163798557</v>
      </c>
      <c r="X86" s="56" t="n">
        <f aca="false">X85+T86-W86</f>
        <v>546.530862948667</v>
      </c>
      <c r="Y86" s="56" t="n">
        <f aca="false">AG86+AF86-AH86</f>
        <v>0</v>
      </c>
      <c r="Z86" s="56" t="n">
        <f aca="false">X86+Y86</f>
        <v>546.530862948667</v>
      </c>
      <c r="AA86" s="66" t="n">
        <f aca="false">IF(D86&gt;0,Z86/D86,0)</f>
        <v>0.0285305997825332</v>
      </c>
      <c r="AB86" s="66" t="n">
        <f aca="false">IF(G86&gt;0,P86/G86,0)</f>
        <v>0.0116073360167834</v>
      </c>
      <c r="AC86" s="66" t="n">
        <f aca="false">IF(T86+AF86&gt;0,T86/(T86+AF86),0)</f>
        <v>0</v>
      </c>
      <c r="AD86" s="78" t="n">
        <f aca="false">AJ85</f>
        <v>2192.93386932625</v>
      </c>
      <c r="AE86" s="78" t="n">
        <f aca="false">AD86+G86+T86+U86+AP86-Q86-W86-AO86</f>
        <v>2376.99758171989</v>
      </c>
      <c r="AF86" s="78" t="n">
        <f aca="false">MAX(0,-AE86)</f>
        <v>0</v>
      </c>
      <c r="AG86" s="78" t="n">
        <f aca="false">Y85+V86</f>
        <v>0</v>
      </c>
      <c r="AH86" s="78" t="n">
        <f aca="false">MIN(MAX(0,AE86),AG86)</f>
        <v>0</v>
      </c>
      <c r="AI86" s="78" t="n">
        <f aca="false">AE86+AF86-AH86</f>
        <v>2376.99758171989</v>
      </c>
      <c r="AJ86" s="78" t="n">
        <f aca="false">AI86</f>
        <v>2376.99758171989</v>
      </c>
      <c r="AK86" s="78" t="n">
        <f aca="false">AK85</f>
        <v>0</v>
      </c>
      <c r="AL86" s="78" t="n">
        <f aca="false">AJ86+AK86+AN86-Z86</f>
        <v>1830.46671877122</v>
      </c>
      <c r="AM86" s="78" t="n">
        <f aca="false">AJ86-(AD86+G86+T86+U86+AF86+AP86-Q86-W86-AH86-AO86)</f>
        <v>0</v>
      </c>
      <c r="AN86" s="78" t="n">
        <f aca="false">0</f>
        <v>0</v>
      </c>
      <c r="AO86" s="78" t="n">
        <f aca="false">0</f>
        <v>0</v>
      </c>
      <c r="AP86" s="78" t="n">
        <f aca="false">0</f>
        <v>0</v>
      </c>
    </row>
    <row r="87" customFormat="false" ht="14.25" hidden="false" customHeight="false" outlineLevel="0" collapsed="false">
      <c r="A87" s="61" t="n">
        <v>1927</v>
      </c>
      <c r="B87" s="48" t="n">
        <v>8130</v>
      </c>
      <c r="C87" s="77" t="n">
        <f aca="false">Partners!H87</f>
        <v>2.44246949814448</v>
      </c>
      <c r="D87" s="50" t="n">
        <f aca="false">Partners!I87</f>
        <v>19857.2770199146</v>
      </c>
      <c r="E87" s="62" t="n">
        <v>0.1278</v>
      </c>
      <c r="F87" s="62" t="n">
        <v>0.0967</v>
      </c>
      <c r="G87" s="56" t="n">
        <f aca="false">D87*E87+'Japan rescue'!J89</f>
        <v>2553.70096775253</v>
      </c>
      <c r="H87" s="56" t="n">
        <f aca="false">D87*F87</f>
        <v>1920.19868782574</v>
      </c>
      <c r="I87" s="55" t="n">
        <v>120</v>
      </c>
      <c r="J87" s="56" t="n">
        <f aca="false">IF($A87&gt;=1927,(1-pac_quota)*Navy!X87,I87)</f>
        <v>103.8141111</v>
      </c>
      <c r="K87" s="55" t="n">
        <v>0</v>
      </c>
      <c r="L87" s="56" t="n">
        <f aca="false">INDEX(Siberia!$D$38:$D$52,MATCH($A87,Siberia!$A$38:$A$52,0))</f>
        <v>22.4864957922267</v>
      </c>
      <c r="M87" s="55" t="n">
        <v>450</v>
      </c>
      <c r="N87" s="56" t="n">
        <f aca="false">'Japan rescue'!D59</f>
        <v>400</v>
      </c>
      <c r="O87" s="56" t="n">
        <f aca="false">IF($A87&gt;=1927,10*(1-pac_quota),0)</f>
        <v>3.5</v>
      </c>
      <c r="P87" s="56" t="n">
        <f aca="false">jp_coupon*(Z86-'Japan rescue'!B89)+'Japan rescue'!J89</f>
        <v>43.2675077548842</v>
      </c>
      <c r="Q87" s="56" t="n">
        <f aca="false">H87+J87+K87+L87+N87+O87+P87</f>
        <v>2493.26680247285</v>
      </c>
      <c r="R87" s="56" t="n">
        <f aca="false">Q87-G87</f>
        <v>-60.4341652796838</v>
      </c>
      <c r="S87" s="55" t="n">
        <v>0</v>
      </c>
      <c r="T87" s="56" t="n">
        <f aca="false">'Japan rescue'!C89</f>
        <v>496.861234517947</v>
      </c>
      <c r="U87" s="55" t="n">
        <v>0</v>
      </c>
      <c r="V87" s="55" t="n">
        <v>0</v>
      </c>
      <c r="W87" s="56" t="n">
        <f aca="false">(X86-'Japan rescue'!B89)*jp_foreign_repay+'Japan rescue'!F89</f>
        <v>16.39592588846</v>
      </c>
      <c r="X87" s="56" t="n">
        <f aca="false">X86+T87-W87</f>
        <v>1026.99617157815</v>
      </c>
      <c r="Y87" s="56" t="n">
        <f aca="false">AG87+AF87-AH87</f>
        <v>0</v>
      </c>
      <c r="Z87" s="56" t="n">
        <f aca="false">X87+Y87</f>
        <v>1026.99617157815</v>
      </c>
      <c r="AA87" s="66" t="n">
        <f aca="false">IF(D87&gt;0,Z87/D87,0)</f>
        <v>0.051718882228827</v>
      </c>
      <c r="AB87" s="66" t="n">
        <f aca="false">IF(G87&gt;0,P87/G87,0)</f>
        <v>0.016943059622585</v>
      </c>
      <c r="AC87" s="66" t="n">
        <f aca="false">IF(T87+AF87&gt;0,T87/(T87+AF87),0)</f>
        <v>1</v>
      </c>
      <c r="AD87" s="78" t="n">
        <f aca="false">AJ86</f>
        <v>2376.99758171989</v>
      </c>
      <c r="AE87" s="78" t="n">
        <f aca="false">AD87+G87+T87+U87+AP87-Q87-W87-AO87</f>
        <v>2421.03582111111</v>
      </c>
      <c r="AF87" s="78" t="n">
        <f aca="false">MAX(0,-AE87)</f>
        <v>0</v>
      </c>
      <c r="AG87" s="78" t="n">
        <f aca="false">Y86+V87</f>
        <v>0</v>
      </c>
      <c r="AH87" s="78" t="n">
        <f aca="false">MIN(MAX(0,AE87),AG87)</f>
        <v>0</v>
      </c>
      <c r="AI87" s="78" t="n">
        <f aca="false">AE87+AF87-AH87</f>
        <v>2421.03582111111</v>
      </c>
      <c r="AJ87" s="78" t="n">
        <f aca="false">AI87</f>
        <v>2421.03582111111</v>
      </c>
      <c r="AK87" s="78" t="n">
        <f aca="false">N87</f>
        <v>400</v>
      </c>
      <c r="AL87" s="78" t="n">
        <f aca="false">AJ87+AK87+AN87-Z87</f>
        <v>2290.90088405091</v>
      </c>
      <c r="AM87" s="78" t="n">
        <f aca="false">AJ87-(AD87+G87+T87+U87+AF87+AP87-Q87-W87-AH87-AO87)</f>
        <v>0</v>
      </c>
      <c r="AN87" s="78" t="n">
        <f aca="false">'Japan rescue'!H89</f>
        <v>496.861234517947</v>
      </c>
      <c r="AO87" s="78" t="n">
        <f aca="false">'Japan rescue'!C89</f>
        <v>496.861234517947</v>
      </c>
      <c r="AP87" s="78" t="n">
        <f aca="false">'Japan rescue'!F89</f>
        <v>0</v>
      </c>
    </row>
    <row r="88" customFormat="false" ht="14.25" hidden="false" customHeight="false" outlineLevel="0" collapsed="false">
      <c r="A88" s="61" t="n">
        <v>1928</v>
      </c>
      <c r="B88" s="48" t="n">
        <v>8180</v>
      </c>
      <c r="C88" s="77" t="n">
        <f aca="false">Partners!H88</f>
        <v>2.48471939425099</v>
      </c>
      <c r="D88" s="50" t="n">
        <f aca="false">Partners!I88</f>
        <v>20325.0046449731</v>
      </c>
      <c r="E88" s="62" t="n">
        <v>0.1289</v>
      </c>
      <c r="F88" s="62" t="n">
        <v>0.0983</v>
      </c>
      <c r="G88" s="56" t="n">
        <f aca="false">D88*E88+'Japan rescue'!J90</f>
        <v>2647.22046663552</v>
      </c>
      <c r="H88" s="56" t="n">
        <f aca="false">D88*F88</f>
        <v>1997.94795660085</v>
      </c>
      <c r="I88" s="55" t="n">
        <v>120</v>
      </c>
      <c r="J88" s="56" t="n">
        <f aca="false">IF($A88&gt;=1927,(1-pac_quota)*Navy!X88,I88)</f>
        <v>105.267908375</v>
      </c>
      <c r="K88" s="55" t="n">
        <v>0</v>
      </c>
      <c r="L88" s="56" t="n">
        <f aca="false">INDEX(Siberia!$D$38:$D$52,MATCH($A88,Siberia!$A$38:$A$52,0))</f>
        <v>22.77113497947</v>
      </c>
      <c r="M88" s="55" t="n">
        <v>0</v>
      </c>
      <c r="N88" s="56" t="n">
        <f aca="false">M88*C88</f>
        <v>0</v>
      </c>
      <c r="O88" s="56" t="n">
        <f aca="false">IF($A88&gt;=1927,10*(1-pac_quota),0)</f>
        <v>3.5</v>
      </c>
      <c r="P88" s="56" t="n">
        <f aca="false">jp_coupon*(Z87-'Japan rescue'!B90)+'Japan rescue'!J90</f>
        <v>53.8341147514975</v>
      </c>
      <c r="Q88" s="56" t="n">
        <f aca="false">H88+J88+K88+L88+N88+O88+P88</f>
        <v>2183.32111470682</v>
      </c>
      <c r="R88" s="56" t="n">
        <f aca="false">Q88-G88</f>
        <v>-463.899351928696</v>
      </c>
      <c r="S88" s="55" t="n">
        <v>0</v>
      </c>
      <c r="T88" s="56" t="n">
        <f aca="false">S88*IF($A88&gt;=1923,C88,1)</f>
        <v>0</v>
      </c>
      <c r="U88" s="55" t="n">
        <v>0</v>
      </c>
      <c r="V88" s="55" t="n">
        <v>0</v>
      </c>
      <c r="W88" s="56" t="n">
        <f aca="false">(X87-'Japan rescue'!B90)*jp_foreign_repay+'Japan rescue'!F90</f>
        <v>15.9040481118062</v>
      </c>
      <c r="X88" s="56" t="n">
        <f aca="false">X87+T88-W88</f>
        <v>1011.09212346635</v>
      </c>
      <c r="Y88" s="56" t="n">
        <f aca="false">AG88+AF88-AH88</f>
        <v>0</v>
      </c>
      <c r="Z88" s="56" t="n">
        <f aca="false">X88+Y88</f>
        <v>1011.09212346635</v>
      </c>
      <c r="AA88" s="66" t="n">
        <f aca="false">IF(D88&gt;0,Z88/D88,0)</f>
        <v>0.0497462185680936</v>
      </c>
      <c r="AB88" s="66" t="n">
        <f aca="false">IF(G88&gt;0,P88/G88,0)</f>
        <v>0.0203360904125669</v>
      </c>
      <c r="AC88" s="66" t="n">
        <f aca="false">IF(T88+AF88&gt;0,T88/(T88+AF88),0)</f>
        <v>0</v>
      </c>
      <c r="AD88" s="78" t="n">
        <f aca="false">AJ87</f>
        <v>2421.03582111111</v>
      </c>
      <c r="AE88" s="78" t="n">
        <f aca="false">AD88+G88+T88+U88+AP88-Q88-W88-AO88</f>
        <v>2869.031124928</v>
      </c>
      <c r="AF88" s="78" t="n">
        <f aca="false">MAX(0,-AE88)</f>
        <v>0</v>
      </c>
      <c r="AG88" s="78" t="n">
        <f aca="false">Y87+V88</f>
        <v>0</v>
      </c>
      <c r="AH88" s="78" t="n">
        <f aca="false">MIN(MAX(0,AE88),AG88)</f>
        <v>0</v>
      </c>
      <c r="AI88" s="78" t="n">
        <f aca="false">AE88+AF88-AH88</f>
        <v>2869.031124928</v>
      </c>
      <c r="AJ88" s="78" t="n">
        <f aca="false">AI88</f>
        <v>2869.031124928</v>
      </c>
      <c r="AK88" s="78" t="n">
        <f aca="false">AK87</f>
        <v>400</v>
      </c>
      <c r="AL88" s="78" t="n">
        <f aca="false">AJ88+AK88+AN88-Z88</f>
        <v>2754.8002359796</v>
      </c>
      <c r="AM88" s="78" t="n">
        <f aca="false">AJ88-(AD88+G88+T88+U88+AF88+AP88-Q88-W88-AH88-AO88)</f>
        <v>0</v>
      </c>
      <c r="AN88" s="78" t="n">
        <f aca="false">'Japan rescue'!H90</f>
        <v>496.861234517947</v>
      </c>
      <c r="AO88" s="78" t="n">
        <f aca="false">'Japan rescue'!C90</f>
        <v>0</v>
      </c>
      <c r="AP88" s="78" t="n">
        <f aca="false">'Japan rescue'!F90</f>
        <v>0</v>
      </c>
    </row>
    <row r="89" customFormat="false" ht="14.25" hidden="false" customHeight="false" outlineLevel="0" collapsed="false">
      <c r="A89" s="61" t="n">
        <v>1929</v>
      </c>
      <c r="B89" s="48" t="n">
        <v>8130</v>
      </c>
      <c r="C89" s="77" t="n">
        <f aca="false">Partners!H89</f>
        <v>2.52838842456388</v>
      </c>
      <c r="D89" s="50" t="n">
        <f aca="false">Partners!I89</f>
        <v>20555.7978917044</v>
      </c>
      <c r="E89" s="62" t="n">
        <v>0.13</v>
      </c>
      <c r="F89" s="62" t="n">
        <v>0.1</v>
      </c>
      <c r="G89" s="56" t="n">
        <f aca="false">D89*E89+'Japan rescue'!J91</f>
        <v>2699.58109382005</v>
      </c>
      <c r="H89" s="56" t="n">
        <f aca="false">D89*F89</f>
        <v>2055.57978917044</v>
      </c>
      <c r="I89" s="55" t="n">
        <v>120</v>
      </c>
      <c r="J89" s="56" t="n">
        <f aca="false">IF($A89&gt;=1927,(1-pac_quota)*Navy!X89,I89)</f>
        <v>98.728289625</v>
      </c>
      <c r="K89" s="55" t="n">
        <v>0</v>
      </c>
      <c r="L89" s="56" t="n">
        <f aca="false">INDEX(Siberia!$D$38:$D$52,MATCH($A89,Siberia!$A$38:$A$52,0))</f>
        <v>22.77113497947</v>
      </c>
      <c r="M89" s="55" t="n">
        <v>0</v>
      </c>
      <c r="N89" s="56" t="n">
        <f aca="false">M89*C89</f>
        <v>0</v>
      </c>
      <c r="O89" s="56" t="n">
        <f aca="false">IF($A89&gt;=1927,10*(1-pac_quota),0)</f>
        <v>3.5</v>
      </c>
      <c r="P89" s="56" t="n">
        <f aca="false">jp_coupon*(Z88-'Japan rescue'!B91)+'Japan rescue'!J91</f>
        <v>53.0389123459072</v>
      </c>
      <c r="Q89" s="56" t="n">
        <f aca="false">H89+J89+K89+L89+N89+O89+P89</f>
        <v>2233.61812612081</v>
      </c>
      <c r="R89" s="56" t="n">
        <f aca="false">Q89-G89</f>
        <v>-465.962967699241</v>
      </c>
      <c r="S89" s="55" t="n">
        <v>0</v>
      </c>
      <c r="T89" s="56" t="n">
        <f aca="false">S89*IF($A89&gt;=1923,C89,1)</f>
        <v>0</v>
      </c>
      <c r="U89" s="55" t="n">
        <v>0</v>
      </c>
      <c r="V89" s="55" t="n">
        <v>0</v>
      </c>
      <c r="W89" s="56" t="n">
        <f aca="false">(X88-'Japan rescue'!B91)*jp_foreign_repay+'Japan rescue'!F91</f>
        <v>114.799173572041</v>
      </c>
      <c r="X89" s="56" t="n">
        <f aca="false">X88+T89-W89</f>
        <v>896.292949894307</v>
      </c>
      <c r="Y89" s="56" t="n">
        <f aca="false">AG89+AF89-AH89</f>
        <v>0</v>
      </c>
      <c r="Z89" s="56" t="n">
        <f aca="false">X89+Y89</f>
        <v>896.292949894307</v>
      </c>
      <c r="AA89" s="66" t="n">
        <f aca="false">IF(D89&gt;0,Z89/D89,0)</f>
        <v>0.043602926756544</v>
      </c>
      <c r="AB89" s="66" t="n">
        <f aca="false">IF(G89&gt;0,P89/G89,0)</f>
        <v>0.0196470898641738</v>
      </c>
      <c r="AC89" s="66" t="n">
        <f aca="false">IF(T89+AF89&gt;0,T89/(T89+AF89),0)</f>
        <v>0</v>
      </c>
      <c r="AD89" s="78" t="n">
        <f aca="false">AJ88</f>
        <v>2869.031124928</v>
      </c>
      <c r="AE89" s="78" t="n">
        <f aca="false">AD89+G89+T89+U89+AP89-Q89-W89-AO89</f>
        <v>3319.56716595879</v>
      </c>
      <c r="AF89" s="78" t="n">
        <f aca="false">MAX(0,-AE89)</f>
        <v>0</v>
      </c>
      <c r="AG89" s="78" t="n">
        <f aca="false">Y88+V89</f>
        <v>0</v>
      </c>
      <c r="AH89" s="78" t="n">
        <f aca="false">MIN(MAX(0,AE89),AG89)</f>
        <v>0</v>
      </c>
      <c r="AI89" s="78" t="n">
        <f aca="false">AE89+AF89-AH89</f>
        <v>3319.56716595879</v>
      </c>
      <c r="AJ89" s="78" t="n">
        <f aca="false">AI89</f>
        <v>3319.56716595879</v>
      </c>
      <c r="AK89" s="78" t="n">
        <f aca="false">AK88</f>
        <v>400</v>
      </c>
      <c r="AL89" s="78" t="n">
        <f aca="false">AJ89+AK89+AN89-Z89</f>
        <v>3220.76320367884</v>
      </c>
      <c r="AM89" s="78" t="n">
        <f aca="false">AJ89-(AD89+G89+T89+U89+AF89+AP89-Q89-W89-AH89-AO89)</f>
        <v>0</v>
      </c>
      <c r="AN89" s="78" t="n">
        <f aca="false">'Japan rescue'!H91</f>
        <v>397.488987614358</v>
      </c>
      <c r="AO89" s="78" t="n">
        <f aca="false">'Japan rescue'!C91</f>
        <v>0</v>
      </c>
      <c r="AP89" s="78" t="n">
        <f aca="false">'Japan rescue'!F91</f>
        <v>99.3722469035894</v>
      </c>
    </row>
    <row r="90" customFormat="false" ht="14.25" hidden="false" customHeight="false" outlineLevel="0" collapsed="false">
      <c r="A90" s="61" t="n">
        <v>1930</v>
      </c>
      <c r="B90" s="48" t="n">
        <v>7330</v>
      </c>
      <c r="C90" s="77" t="n">
        <f aca="false">Partners!H90</f>
        <v>2.57354539740471</v>
      </c>
      <c r="D90" s="50" t="n">
        <f aca="false">Partners!I90</f>
        <v>18864.0877629765</v>
      </c>
      <c r="E90" s="62" t="n">
        <v>0.1267</v>
      </c>
      <c r="F90" s="62" t="n">
        <v>0.1017</v>
      </c>
      <c r="G90" s="56" t="n">
        <f aca="false">D90*E90+'Japan rescue'!J92</f>
        <v>2411.94181388792</v>
      </c>
      <c r="H90" s="56" t="n">
        <f aca="false">D90*F90</f>
        <v>1918.47772549471</v>
      </c>
      <c r="I90" s="55" t="n">
        <v>120</v>
      </c>
      <c r="J90" s="56" t="n">
        <f aca="false">IF($A90&gt;=1927,(1-pac_quota)*Navy!X90,I90)</f>
        <v>101.27252282</v>
      </c>
      <c r="K90" s="55" t="n">
        <v>0</v>
      </c>
      <c r="L90" s="56" t="n">
        <f aca="false">INDEX(Siberia!$D$38:$D$52,MATCH($A90,Siberia!$A$38:$A$52,0))</f>
        <v>21.7748978241182</v>
      </c>
      <c r="M90" s="55" t="n">
        <v>0</v>
      </c>
      <c r="N90" s="56" t="n">
        <f aca="false">M90*C90</f>
        <v>0</v>
      </c>
      <c r="O90" s="56" t="n">
        <f aca="false">IF($A90&gt;=1927,10*(1-pac_quota),0)</f>
        <v>3.5</v>
      </c>
      <c r="P90" s="56" t="n">
        <f aca="false">jp_coupon*(Z89-'Japan rescue'!B92)+'Japan rescue'!J92</f>
        <v>46.8020924327871</v>
      </c>
      <c r="Q90" s="56" t="n">
        <f aca="false">H90+J90+K90+L90+N90+O90+P90</f>
        <v>2091.82723857162</v>
      </c>
      <c r="R90" s="56" t="n">
        <f aca="false">Q90-G90</f>
        <v>-320.114575316298</v>
      </c>
      <c r="S90" s="55" t="n">
        <v>0</v>
      </c>
      <c r="T90" s="56" t="n">
        <f aca="false">S90*IF($A90&gt;=1923,C90,1)</f>
        <v>0</v>
      </c>
      <c r="U90" s="55" t="n">
        <v>0</v>
      </c>
      <c r="V90" s="55" t="n">
        <v>0</v>
      </c>
      <c r="W90" s="56" t="n">
        <f aca="false">(X89-'Japan rescue'!B92)*jp_foreign_repay+'Japan rescue'!F92</f>
        <v>114.336365771988</v>
      </c>
      <c r="X90" s="56" t="n">
        <f aca="false">X89+T90-W90</f>
        <v>781.956584122319</v>
      </c>
      <c r="Y90" s="56" t="n">
        <f aca="false">AG90+AF90-AH90</f>
        <v>0</v>
      </c>
      <c r="Z90" s="56" t="n">
        <f aca="false">X90+Y90</f>
        <v>781.956584122319</v>
      </c>
      <c r="AA90" s="66" t="n">
        <f aca="false">IF(D90&gt;0,Z90/D90,0)</f>
        <v>0.0414521281891521</v>
      </c>
      <c r="AB90" s="66" t="n">
        <f aca="false">IF(G90&gt;0,P90/G90,0)</f>
        <v>0.0194043206860553</v>
      </c>
      <c r="AC90" s="66" t="n">
        <f aca="false">IF(T90+AF90&gt;0,T90/(T90+AF90),0)</f>
        <v>0</v>
      </c>
      <c r="AD90" s="78" t="n">
        <f aca="false">AJ89</f>
        <v>3319.56716595879</v>
      </c>
      <c r="AE90" s="78" t="n">
        <f aca="false">AD90+G90+T90+U90+AP90-Q90-W90-AO90</f>
        <v>3624.71762240669</v>
      </c>
      <c r="AF90" s="78" t="n">
        <f aca="false">MAX(0,-AE90)</f>
        <v>0</v>
      </c>
      <c r="AG90" s="78" t="n">
        <f aca="false">Y89+V90</f>
        <v>0</v>
      </c>
      <c r="AH90" s="78" t="n">
        <f aca="false">MIN(MAX(0,AE90),AG90)</f>
        <v>0</v>
      </c>
      <c r="AI90" s="78" t="n">
        <f aca="false">AE90+AF90-AH90</f>
        <v>3624.71762240669</v>
      </c>
      <c r="AJ90" s="78" t="n">
        <f aca="false">AI90</f>
        <v>3624.71762240669</v>
      </c>
      <c r="AK90" s="78" t="n">
        <f aca="false">AK89</f>
        <v>400</v>
      </c>
      <c r="AL90" s="78" t="n">
        <f aca="false">AJ90+AK90+AN90-Z90</f>
        <v>3540.87777899514</v>
      </c>
      <c r="AM90" s="78" t="n">
        <f aca="false">AJ90-(AD90+G90+T90+U90+AF90+AP90-Q90-W90-AH90-AO90)</f>
        <v>0</v>
      </c>
      <c r="AN90" s="78" t="n">
        <f aca="false">'Japan rescue'!H92</f>
        <v>298.116740710768</v>
      </c>
      <c r="AO90" s="78" t="n">
        <f aca="false">'Japan rescue'!C92</f>
        <v>0</v>
      </c>
      <c r="AP90" s="78" t="n">
        <f aca="false">'Japan rescue'!F92</f>
        <v>99.3722469035894</v>
      </c>
    </row>
    <row r="91" customFormat="false" ht="14.25" hidden="false" customHeight="false" outlineLevel="0" collapsed="false">
      <c r="A91" s="61" t="n">
        <v>1931</v>
      </c>
      <c r="B91" s="48" t="n">
        <v>6630</v>
      </c>
      <c r="C91" s="77" t="n">
        <f aca="false">Partners!H91</f>
        <v>2.61982957371166</v>
      </c>
      <c r="D91" s="50" t="n">
        <f aca="false">Partners!I91</f>
        <v>17369.4700737083</v>
      </c>
      <c r="E91" s="62" t="n">
        <v>0.1233</v>
      </c>
      <c r="F91" s="62" t="n">
        <v>0.1033</v>
      </c>
      <c r="G91" s="56" t="n">
        <f aca="false">D91*E91+'Japan rescue'!J93</f>
        <v>2158.05208082733</v>
      </c>
      <c r="H91" s="56" t="n">
        <f aca="false">D91*F91</f>
        <v>1794.26625861407</v>
      </c>
      <c r="I91" s="55" t="n">
        <v>120</v>
      </c>
      <c r="J91" s="56" t="n">
        <f aca="false">IF($A91&gt;=1927,(1-pac_quota)*Navy!X91,I91)</f>
        <v>100.795689155</v>
      </c>
      <c r="K91" s="55" t="n">
        <v>0</v>
      </c>
      <c r="L91" s="56" t="n">
        <f aca="false">INDEX(Siberia!$D$38:$D$52,MATCH($A91,Siberia!$A$38:$A$52,0))</f>
        <v>19.4977843261712</v>
      </c>
      <c r="M91" s="55" t="n">
        <v>0</v>
      </c>
      <c r="N91" s="56" t="n">
        <f aca="false">M91*C91</f>
        <v>0</v>
      </c>
      <c r="O91" s="56" t="n">
        <f aca="false">IF($A91&gt;=1927,10*(1-pac_quota),0)</f>
        <v>3.5</v>
      </c>
      <c r="P91" s="56" t="n">
        <f aca="false">jp_coupon*(Z90-'Japan rescue'!B93)+'Japan rescue'!J93</f>
        <v>40.5884129096698</v>
      </c>
      <c r="Q91" s="56" t="n">
        <f aca="false">H91+J91+K91+L91+N91+O91+P91</f>
        <v>1958.64814500491</v>
      </c>
      <c r="R91" s="56" t="n">
        <f aca="false">Q91-G91</f>
        <v>-199.403935822418</v>
      </c>
      <c r="S91" s="55" t="n">
        <v>0</v>
      </c>
      <c r="T91" s="56" t="n">
        <f aca="false">S91*IF($A91&gt;=1923,C91,1)</f>
        <v>0</v>
      </c>
      <c r="U91" s="55" t="n">
        <v>0</v>
      </c>
      <c r="V91" s="55" t="n">
        <v>0</v>
      </c>
      <c r="W91" s="56" t="n">
        <f aca="false">(X90-'Japan rescue'!B93)*jp_foreign_repay+'Japan rescue'!F93</f>
        <v>113.887442205936</v>
      </c>
      <c r="X91" s="56" t="n">
        <f aca="false">X90+T91-W91</f>
        <v>668.069141916383</v>
      </c>
      <c r="Y91" s="56" t="n">
        <f aca="false">AG91+AF91-AH91</f>
        <v>0</v>
      </c>
      <c r="Z91" s="56" t="n">
        <f aca="false">X91+Y91</f>
        <v>668.069141916383</v>
      </c>
      <c r="AA91" s="66" t="n">
        <f aca="false">IF(D91&gt;0,Z91/D91,0)</f>
        <v>0.03846226390796</v>
      </c>
      <c r="AB91" s="66" t="n">
        <f aca="false">IF(G91&gt;0,P91/G91,0)</f>
        <v>0.018807893132083</v>
      </c>
      <c r="AC91" s="66" t="n">
        <f aca="false">IF(T91+AF91&gt;0,T91/(T91+AF91),0)</f>
        <v>0</v>
      </c>
      <c r="AD91" s="78" t="n">
        <f aca="false">AJ90</f>
        <v>3624.71762240669</v>
      </c>
      <c r="AE91" s="78" t="n">
        <f aca="false">AD91+G91+T91+U91+AP91-Q91-W91-AO91</f>
        <v>3809.60636292676</v>
      </c>
      <c r="AF91" s="78" t="n">
        <f aca="false">MAX(0,-AE91)</f>
        <v>0</v>
      </c>
      <c r="AG91" s="78" t="n">
        <f aca="false">Y90+V91</f>
        <v>0</v>
      </c>
      <c r="AH91" s="78" t="n">
        <f aca="false">MIN(MAX(0,AE91),AG91)</f>
        <v>0</v>
      </c>
      <c r="AI91" s="78" t="n">
        <f aca="false">AE91+AF91-AH91</f>
        <v>3809.60636292676</v>
      </c>
      <c r="AJ91" s="78" t="n">
        <f aca="false">AI91</f>
        <v>3809.60636292676</v>
      </c>
      <c r="AK91" s="78" t="n">
        <f aca="false">AK90</f>
        <v>400</v>
      </c>
      <c r="AL91" s="78" t="n">
        <f aca="false">AJ91+AK91+AN91-Z91</f>
        <v>3740.28171481756</v>
      </c>
      <c r="AM91" s="78" t="n">
        <f aca="false">AJ91-(AD91+G91+T91+U91+AF91+AP91-Q91-W91-AH91-AO91)</f>
        <v>0</v>
      </c>
      <c r="AN91" s="78" t="n">
        <f aca="false">'Japan rescue'!H93</f>
        <v>198.744493807179</v>
      </c>
      <c r="AO91" s="78" t="n">
        <f aca="false">'Japan rescue'!C93</f>
        <v>0</v>
      </c>
      <c r="AP91" s="78" t="n">
        <f aca="false">'Japan rescue'!F93</f>
        <v>99.3722469035894</v>
      </c>
    </row>
    <row r="92" customFormat="false" ht="14.25" hidden="false" customHeight="false" outlineLevel="0" collapsed="false">
      <c r="A92" s="61" t="n">
        <v>1932</v>
      </c>
      <c r="B92" s="48" t="n">
        <v>6480</v>
      </c>
      <c r="C92" s="77" t="n">
        <f aca="false">Partners!H92</f>
        <v>2.66635356188774</v>
      </c>
      <c r="D92" s="50" t="n">
        <f aca="false">Partners!I92</f>
        <v>17277.9710810326</v>
      </c>
      <c r="E92" s="62" t="n">
        <v>0.12</v>
      </c>
      <c r="F92" s="62" t="n">
        <v>0.105</v>
      </c>
      <c r="G92" s="56" t="n">
        <f aca="false">D92*E92+'Japan rescue'!J94</f>
        <v>2084.2874768833</v>
      </c>
      <c r="H92" s="56" t="n">
        <f aca="false">D92*F92</f>
        <v>1814.18696350842</v>
      </c>
      <c r="I92" s="55" t="n">
        <v>120</v>
      </c>
      <c r="J92" s="56" t="n">
        <f aca="false">IF($A92&gt;=1927,(1-pac_quota)*Navy!X92,I92)</f>
        <v>87.89079957</v>
      </c>
      <c r="K92" s="55" t="n">
        <v>0</v>
      </c>
      <c r="L92" s="56" t="n">
        <f aca="false">INDEX(Siberia!$D$38:$D$52,MATCH($A92,Siberia!$A$38:$A$52,0))</f>
        <v>17.3629904218459</v>
      </c>
      <c r="M92" s="55" t="n">
        <v>0</v>
      </c>
      <c r="N92" s="56" t="n">
        <f aca="false">M92*C92</f>
        <v>0</v>
      </c>
      <c r="O92" s="56" t="n">
        <f aca="false">IF($A92&gt;=1927,10*(1-pac_quota),0)</f>
        <v>3.5</v>
      </c>
      <c r="P92" s="56" t="n">
        <f aca="false">jp_coupon*(Z91-'Japan rescue'!B94)+'Japan rescue'!J94</f>
        <v>34.397179564855</v>
      </c>
      <c r="Q92" s="56" t="n">
        <f aca="false">H92+J92+K92+L92+N92+O92+P92</f>
        <v>1957.33793306512</v>
      </c>
      <c r="R92" s="56" t="n">
        <f aca="false">Q92-G92</f>
        <v>-126.949543818183</v>
      </c>
      <c r="S92" s="55" t="n">
        <v>0</v>
      </c>
      <c r="T92" s="56" t="n">
        <f aca="false">S92*IF($A92&gt;=1923,C92,1)</f>
        <v>0</v>
      </c>
      <c r="U92" s="55" t="n">
        <v>0</v>
      </c>
      <c r="V92" s="55" t="n">
        <v>0</v>
      </c>
      <c r="W92" s="56" t="n">
        <f aca="false">(X91-'Japan rescue'!B94)*jp_foreign_repay+'Japan rescue'!F94</f>
        <v>113.451986346866</v>
      </c>
      <c r="X92" s="56" t="n">
        <f aca="false">X91+T92-W92</f>
        <v>554.617155569517</v>
      </c>
      <c r="Y92" s="56" t="n">
        <f aca="false">AG92+AF92-AH92</f>
        <v>0</v>
      </c>
      <c r="Z92" s="56" t="n">
        <f aca="false">X92+Y92</f>
        <v>554.617155569517</v>
      </c>
      <c r="AA92" s="66" t="n">
        <f aca="false">IF(D92&gt;0,Z92/D92,0)</f>
        <v>0.032099669166501</v>
      </c>
      <c r="AB92" s="66" t="n">
        <f aca="false">IF(G92&gt;0,P92/G92,0)</f>
        <v>0.0165030879599633</v>
      </c>
      <c r="AC92" s="66" t="n">
        <f aca="false">IF(T92+AF92&gt;0,T92/(T92+AF92),0)</f>
        <v>0</v>
      </c>
      <c r="AD92" s="78" t="n">
        <f aca="false">AJ91</f>
        <v>3809.60636292676</v>
      </c>
      <c r="AE92" s="78" t="n">
        <f aca="false">AD92+G92+T92+U92+AP92-Q92-W92-AO92</f>
        <v>3922.47616730167</v>
      </c>
      <c r="AF92" s="78" t="n">
        <f aca="false">MAX(0,-AE92)</f>
        <v>0</v>
      </c>
      <c r="AG92" s="78" t="n">
        <f aca="false">Y91+V92</f>
        <v>0</v>
      </c>
      <c r="AH92" s="78" t="n">
        <f aca="false">MIN(MAX(0,AE92),AG92)</f>
        <v>0</v>
      </c>
      <c r="AI92" s="78" t="n">
        <f aca="false">AE92+AF92-AH92</f>
        <v>3922.47616730167</v>
      </c>
      <c r="AJ92" s="78" t="n">
        <f aca="false">AI92</f>
        <v>3922.47616730167</v>
      </c>
      <c r="AK92" s="78" t="n">
        <f aca="false">AK91</f>
        <v>400</v>
      </c>
      <c r="AL92" s="78" t="n">
        <f aca="false">AJ92+AK92+AN92-Z92</f>
        <v>3867.23125863574</v>
      </c>
      <c r="AM92" s="78" t="n">
        <f aca="false">AJ92-(AD92+G92+T92+U92+AF92+AP92-Q92-W92-AH92-AO92)</f>
        <v>0</v>
      </c>
      <c r="AN92" s="78" t="n">
        <f aca="false">'Japan rescue'!H94</f>
        <v>99.3722469035894</v>
      </c>
      <c r="AO92" s="78" t="n">
        <f aca="false">'Japan rescue'!C94</f>
        <v>0</v>
      </c>
      <c r="AP92" s="78" t="n">
        <f aca="false">'Japan rescue'!F94</f>
        <v>99.3722469035894</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35" hidden="false" customHeight="false" outlineLevel="0" collapsed="false">
      <c r="A1" s="79" t="s">
        <v>1632</v>
      </c>
    </row>
    <row r="2" customFormat="false" ht="13.8" hidden="false" customHeight="false" outlineLevel="0" collapsed="false">
      <c r="A2" s="1" t="s">
        <v>1633</v>
      </c>
    </row>
    <row r="3" customFormat="false" ht="13.8" hidden="false" customHeight="false" outlineLevel="0" collapsed="false">
      <c r="A3" s="1" t="s">
        <v>1634</v>
      </c>
    </row>
    <row r="4" customFormat="false" ht="13.8" hidden="false" customHeight="false" outlineLevel="0" collapsed="false">
      <c r="A4" s="28" t="s">
        <v>1635</v>
      </c>
      <c r="H4" s="28" t="s">
        <v>1636</v>
      </c>
      <c r="T4" s="28" t="s">
        <v>1637</v>
      </c>
      <c r="AM4" s="28" t="s">
        <v>1638</v>
      </c>
      <c r="AR4" s="28" t="s">
        <v>1639</v>
      </c>
      <c r="AV4" s="28" t="s">
        <v>1640</v>
      </c>
      <c r="BC4" s="28" t="s">
        <v>1641</v>
      </c>
      <c r="BX4" s="28" t="s">
        <v>1642</v>
      </c>
      <c r="CF4" s="28" t="s">
        <v>1643</v>
      </c>
      <c r="CO4" s="28" t="s">
        <v>1644</v>
      </c>
      <c r="CV4" s="28" t="s">
        <v>1645</v>
      </c>
      <c r="CZ4" s="28" t="s">
        <v>1646</v>
      </c>
      <c r="DC4" s="28" t="s">
        <v>1647</v>
      </c>
    </row>
    <row r="5" customFormat="false" ht="42.5" hidden="false" customHeight="true" outlineLevel="0" collapsed="false">
      <c r="A5" s="80" t="s">
        <v>1635</v>
      </c>
      <c r="B5" s="80" t="s">
        <v>103</v>
      </c>
      <c r="C5" s="80" t="s">
        <v>1648</v>
      </c>
      <c r="D5" s="80" t="s">
        <v>1649</v>
      </c>
      <c r="E5" s="80" t="s">
        <v>1650</v>
      </c>
      <c r="F5" s="80" t="s">
        <v>1651</v>
      </c>
      <c r="G5" s="80" t="s">
        <v>1652</v>
      </c>
      <c r="H5" s="80" t="s">
        <v>1653</v>
      </c>
      <c r="I5" s="80" t="s">
        <v>1654</v>
      </c>
      <c r="J5" s="80" t="s">
        <v>1655</v>
      </c>
      <c r="K5" s="80" t="s">
        <v>1656</v>
      </c>
      <c r="L5" s="80" t="s">
        <v>1657</v>
      </c>
      <c r="M5" s="80" t="s">
        <v>1658</v>
      </c>
      <c r="N5" s="80" t="s">
        <v>1659</v>
      </c>
      <c r="O5" s="80" t="s">
        <v>1660</v>
      </c>
      <c r="P5" s="80" t="s">
        <v>1661</v>
      </c>
      <c r="Q5" s="80" t="s">
        <v>1662</v>
      </c>
      <c r="R5" s="80" t="s">
        <v>1663</v>
      </c>
      <c r="S5" s="80" t="s">
        <v>1664</v>
      </c>
      <c r="T5" s="80" t="s">
        <v>1665</v>
      </c>
      <c r="U5" s="80" t="s">
        <v>1666</v>
      </c>
      <c r="V5" s="80" t="s">
        <v>1667</v>
      </c>
      <c r="W5" s="80" t="s">
        <v>1668</v>
      </c>
      <c r="X5" s="80" t="s">
        <v>1669</v>
      </c>
      <c r="Y5" s="80" t="s">
        <v>1670</v>
      </c>
      <c r="Z5" s="80" t="s">
        <v>1671</v>
      </c>
      <c r="AA5" s="80" t="s">
        <v>1672</v>
      </c>
      <c r="AB5" s="80" t="s">
        <v>1673</v>
      </c>
      <c r="AC5" s="80" t="s">
        <v>1674</v>
      </c>
      <c r="AD5" s="80" t="s">
        <v>1675</v>
      </c>
      <c r="AE5" s="80" t="s">
        <v>1676</v>
      </c>
      <c r="AF5" s="80" t="s">
        <v>1677</v>
      </c>
      <c r="AG5" s="80" t="s">
        <v>1678</v>
      </c>
      <c r="AH5" s="80" t="s">
        <v>1679</v>
      </c>
      <c r="AI5" s="80" t="s">
        <v>1680</v>
      </c>
      <c r="AJ5" s="80" t="s">
        <v>1681</v>
      </c>
      <c r="AK5" s="80" t="s">
        <v>1682</v>
      </c>
      <c r="AL5" s="80" t="s">
        <v>1683</v>
      </c>
      <c r="AM5" s="80" t="s">
        <v>1684</v>
      </c>
      <c r="AN5" s="80" t="s">
        <v>1685</v>
      </c>
      <c r="AO5" s="80" t="s">
        <v>1686</v>
      </c>
      <c r="AP5" s="80" t="s">
        <v>1687</v>
      </c>
      <c r="AQ5" s="80" t="s">
        <v>1688</v>
      </c>
      <c r="AR5" s="80" t="s">
        <v>1689</v>
      </c>
      <c r="AS5" s="80" t="s">
        <v>1690</v>
      </c>
      <c r="AT5" s="80" t="s">
        <v>1691</v>
      </c>
      <c r="AU5" s="80" t="s">
        <v>1692</v>
      </c>
      <c r="AV5" s="80" t="s">
        <v>1693</v>
      </c>
      <c r="AW5" s="80" t="s">
        <v>1694</v>
      </c>
      <c r="AX5" s="80" t="s">
        <v>1695</v>
      </c>
      <c r="AY5" s="80" t="s">
        <v>1696</v>
      </c>
      <c r="AZ5" s="80" t="s">
        <v>1697</v>
      </c>
      <c r="BA5" s="80" t="s">
        <v>1698</v>
      </c>
      <c r="BB5" s="80" t="s">
        <v>1699</v>
      </c>
      <c r="BC5" s="80" t="s">
        <v>1700</v>
      </c>
      <c r="BD5" s="80" t="s">
        <v>1701</v>
      </c>
      <c r="BE5" s="80" t="s">
        <v>1702</v>
      </c>
      <c r="BF5" s="80" t="s">
        <v>1703</v>
      </c>
      <c r="BG5" s="80" t="s">
        <v>1704</v>
      </c>
      <c r="BH5" s="80" t="s">
        <v>1705</v>
      </c>
      <c r="BI5" s="80" t="s">
        <v>1706</v>
      </c>
      <c r="BJ5" s="80" t="s">
        <v>1707</v>
      </c>
      <c r="BK5" s="80" t="s">
        <v>1708</v>
      </c>
      <c r="BL5" s="80" t="s">
        <v>1709</v>
      </c>
      <c r="BM5" s="80" t="s">
        <v>1710</v>
      </c>
      <c r="BN5" s="80" t="s">
        <v>1711</v>
      </c>
      <c r="BO5" s="80" t="s">
        <v>1712</v>
      </c>
      <c r="BP5" s="80" t="s">
        <v>1713</v>
      </c>
      <c r="BQ5" s="80" t="s">
        <v>1714</v>
      </c>
      <c r="BR5" s="80" t="s">
        <v>1715</v>
      </c>
      <c r="BS5" s="80" t="s">
        <v>1716</v>
      </c>
      <c r="BT5" s="80" t="s">
        <v>1717</v>
      </c>
      <c r="BU5" s="80" t="s">
        <v>1718</v>
      </c>
      <c r="BV5" s="80" t="s">
        <v>1719</v>
      </c>
      <c r="BW5" s="80" t="s">
        <v>1720</v>
      </c>
      <c r="BX5" s="80" t="s">
        <v>1721</v>
      </c>
      <c r="BY5" s="80" t="s">
        <v>1722</v>
      </c>
      <c r="BZ5" s="80" t="s">
        <v>1723</v>
      </c>
      <c r="CA5" s="80" t="s">
        <v>1724</v>
      </c>
      <c r="CB5" s="80" t="s">
        <v>1725</v>
      </c>
      <c r="CC5" s="80" t="s">
        <v>1726</v>
      </c>
      <c r="CD5" s="80" t="s">
        <v>1727</v>
      </c>
      <c r="CE5" s="80" t="s">
        <v>1728</v>
      </c>
      <c r="CF5" s="80" t="s">
        <v>1729</v>
      </c>
      <c r="CG5" s="80" t="s">
        <v>1730</v>
      </c>
      <c r="CH5" s="80" t="s">
        <v>1731</v>
      </c>
      <c r="CI5" s="80" t="s">
        <v>1732</v>
      </c>
      <c r="CJ5" s="80" t="s">
        <v>1733</v>
      </c>
      <c r="CK5" s="80" t="s">
        <v>1734</v>
      </c>
      <c r="CL5" s="80" t="s">
        <v>1735</v>
      </c>
      <c r="CM5" s="80" t="s">
        <v>1736</v>
      </c>
      <c r="CN5" s="80" t="s">
        <v>1737</v>
      </c>
      <c r="CO5" s="80" t="s">
        <v>1738</v>
      </c>
      <c r="CP5" s="80" t="s">
        <v>1739</v>
      </c>
      <c r="CQ5" s="80" t="s">
        <v>1740</v>
      </c>
      <c r="CR5" s="80" t="s">
        <v>1741</v>
      </c>
      <c r="CS5" s="80" t="s">
        <v>1742</v>
      </c>
      <c r="CT5" s="80" t="s">
        <v>1743</v>
      </c>
      <c r="CU5" s="80" t="s">
        <v>1744</v>
      </c>
      <c r="CV5" s="80" t="s">
        <v>1745</v>
      </c>
      <c r="CW5" s="80" t="s">
        <v>1746</v>
      </c>
      <c r="CX5" s="80" t="s">
        <v>1747</v>
      </c>
      <c r="CY5" s="80" t="s">
        <v>1748</v>
      </c>
      <c r="CZ5" s="80" t="s">
        <v>1749</v>
      </c>
      <c r="DA5" s="80" t="s">
        <v>1750</v>
      </c>
      <c r="DB5" s="80" t="s">
        <v>1751</v>
      </c>
      <c r="DC5" s="80" t="s">
        <v>1752</v>
      </c>
      <c r="DD5" s="80" t="s">
        <v>1753</v>
      </c>
      <c r="DE5" s="80" t="s">
        <v>1754</v>
      </c>
      <c r="DF5" s="80" t="s">
        <v>1755</v>
      </c>
      <c r="DG5" s="80" t="s">
        <v>1756</v>
      </c>
      <c r="DH5" s="80" t="s">
        <v>1757</v>
      </c>
      <c r="DI5" s="80" t="s">
        <v>1758</v>
      </c>
      <c r="DJ5" s="80" t="s">
        <v>1759</v>
      </c>
      <c r="DK5" s="80" t="s">
        <v>1760</v>
      </c>
      <c r="DL5" s="80" t="s">
        <v>1761</v>
      </c>
      <c r="DM5" s="80" t="s">
        <v>1762</v>
      </c>
      <c r="DN5" s="80" t="s">
        <v>1763</v>
      </c>
      <c r="DO5" s="80" t="s">
        <v>1764</v>
      </c>
      <c r="DP5" s="80" t="s">
        <v>1765</v>
      </c>
    </row>
    <row r="6" customFormat="false" ht="13.8" hidden="false" customHeight="false" outlineLevel="0" collapsed="false">
      <c r="A6" s="1" t="s">
        <v>1766</v>
      </c>
      <c r="B6" s="81" t="n">
        <v>1918</v>
      </c>
      <c r="C6" s="81" t="n">
        <v>92</v>
      </c>
      <c r="D6" s="1" t="s">
        <v>1767</v>
      </c>
      <c r="E6" s="82" t="n">
        <v>0</v>
      </c>
      <c r="F6" s="83" t="n">
        <v>0</v>
      </c>
      <c r="G6" s="84" t="n">
        <f aca="false">1-E6*IF(F6=1,sib_winter,1)</f>
        <v>1</v>
      </c>
      <c r="H6" s="83" t="n">
        <v>40</v>
      </c>
      <c r="I6" s="83" t="n">
        <v>10</v>
      </c>
      <c r="J6" s="83" t="n">
        <v>30</v>
      </c>
      <c r="K6" s="83" t="n">
        <v>55</v>
      </c>
      <c r="L6" s="83" t="n">
        <v>4</v>
      </c>
      <c r="M6" s="81" t="n">
        <f aca="false">SUM(H6:L6)</f>
        <v>139</v>
      </c>
      <c r="N6" s="82" t="n">
        <v>0.1</v>
      </c>
      <c r="O6" s="82" t="n">
        <v>0</v>
      </c>
      <c r="P6" s="81" t="n">
        <f aca="false">H6*N6+I6*O6+J6*sib_sw+K6+L6*sib_pw</f>
        <v>90.9</v>
      </c>
      <c r="Q6" s="81" t="n">
        <f aca="false">M6-P6</f>
        <v>48.1</v>
      </c>
      <c r="R6" s="82" t="n">
        <v>0.5</v>
      </c>
      <c r="S6" s="85" t="n">
        <v>3</v>
      </c>
      <c r="T6" s="81" t="n">
        <f aca="false">P6*(R6*S6*sib_ammo+(1-R6)*sib_loc_kg)</f>
        <v>204.525</v>
      </c>
      <c r="U6" s="81" t="n">
        <f aca="false">H6*N6*sib_jp_kg</f>
        <v>3.6</v>
      </c>
      <c r="V6" s="83" t="n">
        <v>0</v>
      </c>
      <c r="W6" s="83" t="n">
        <v>150</v>
      </c>
      <c r="X6" s="83" t="n">
        <v>0</v>
      </c>
      <c r="Y6" s="83" t="n">
        <v>108.695652173913</v>
      </c>
      <c r="Z6" s="81" t="n">
        <f aca="false">Y6*sib_amur</f>
        <v>108.695652173913</v>
      </c>
      <c r="AA6" s="86" t="n">
        <v>0</v>
      </c>
      <c r="AB6" s="83" t="n">
        <v>0</v>
      </c>
      <c r="AC6" s="83" t="n">
        <v>100</v>
      </c>
      <c r="AD6" s="82" t="n">
        <v>0.85</v>
      </c>
      <c r="AE6" s="81" t="n">
        <f aca="false">(J6*sib_sw+K6+L6*sib_pw)*sib_bread+P6*sib_horses*sib_oats+AC6*sib_relief_kg</f>
        <v>230.4725</v>
      </c>
      <c r="AF6" s="81" t="n">
        <f aca="false">sib_surplus*AD6*sib_harvest*1000000/365*sib_callmax</f>
        <v>698.630136986301</v>
      </c>
      <c r="AG6" s="81" t="n">
        <f aca="false">MAX(0,AE6-AF6)</f>
        <v>0</v>
      </c>
      <c r="AH6" s="81" t="n">
        <f aca="false">AE6-AG6</f>
        <v>230.4725</v>
      </c>
      <c r="AI6" s="81" t="n">
        <f aca="false">I6*O6*sib_cn_kg</f>
        <v>0</v>
      </c>
      <c r="AJ6" s="81" t="n">
        <f aca="false">Q6*sib_loc_kg+H6*(1-N6)*sib_jp_kg</f>
        <v>104.55</v>
      </c>
      <c r="AK6" s="81" t="n">
        <f aca="false">T6+U6+V6+W6+X6+AB6</f>
        <v>358.125</v>
      </c>
      <c r="AL6" s="81" t="n">
        <f aca="false">AI6+AG6</f>
        <v>0</v>
      </c>
      <c r="AM6" s="81" t="n">
        <f aca="false">AK6+AJ6</f>
        <v>462.675</v>
      </c>
      <c r="AN6" s="81" t="n">
        <f aca="false">AK6+AL6+sib_e2*AJ6</f>
        <v>420.855</v>
      </c>
      <c r="AO6" s="81" t="n">
        <f aca="false">AK6+AL6+sib_e3*AJ6</f>
        <v>389.49</v>
      </c>
      <c r="AP6" s="81" t="n">
        <f aca="false">AK6+AL6+Z6</f>
        <v>466.820652173913</v>
      </c>
      <c r="AQ6" s="81" t="n">
        <f aca="false">AK6+AL6+Z6</f>
        <v>466.820652173913</v>
      </c>
      <c r="AR6" s="81" t="n">
        <f aca="false">H6+I6+L6</f>
        <v>54</v>
      </c>
      <c r="AS6" s="81" t="n">
        <f aca="false">H6*N6+I6*O6+L6*sib_pw</f>
        <v>7.4</v>
      </c>
      <c r="AT6" s="87" t="n">
        <f aca="false">(MAX(0,AR6-0)+AR6*sib_rot*C6/365)*1000/sib_mtrain/C6</f>
        <v>0.676831447290054</v>
      </c>
      <c r="AU6" s="87" t="n">
        <f aca="false">(MAX(0,AS6-0)+AS6*sib_rot*C6/365)*1000/sib_mtrain/C6</f>
        <v>0.0927509761101185</v>
      </c>
      <c r="AV6" s="83" t="n">
        <v>700</v>
      </c>
      <c r="AW6" s="83" t="n">
        <v>0</v>
      </c>
      <c r="AX6" s="81" t="n">
        <f aca="false">(SUM(AV$6:AV6)+SUM(AW$6:AW6))*0.9</f>
        <v>630</v>
      </c>
      <c r="AY6" s="82" t="n">
        <v>0.6</v>
      </c>
      <c r="AZ6" s="84" t="n">
        <f aca="false">1-(1-AY6)*sib_sick</f>
        <v>0.6</v>
      </c>
      <c r="BA6" s="81" t="n">
        <f aca="false">sib_loco0*AZ6+AX6</f>
        <v>1410</v>
      </c>
      <c r="BB6" s="84" t="n">
        <f aca="false">AX6/BA6</f>
        <v>0.446808510638298</v>
      </c>
      <c r="BC6" s="83" t="n">
        <v>14</v>
      </c>
      <c r="BD6" s="83" t="n">
        <v>10</v>
      </c>
      <c r="BE6" s="83" t="n">
        <v>7</v>
      </c>
      <c r="BF6" s="83" t="n">
        <v>12</v>
      </c>
      <c r="BG6" s="83" t="n">
        <v>10</v>
      </c>
      <c r="BH6" s="87" t="n">
        <f aca="false">BC$6+(BC6-BC$6)*sib_works</f>
        <v>14</v>
      </c>
      <c r="BI6" s="87" t="n">
        <f aca="false">BD$6+(BD6-BD$6)*sib_works</f>
        <v>10</v>
      </c>
      <c r="BJ6" s="87" t="n">
        <f aca="false">BE$6+(BE6-BE$6)*sib_works</f>
        <v>7</v>
      </c>
      <c r="BK6" s="87" t="n">
        <f aca="false">BF$6+(BF6-BF$6)*sib_works</f>
        <v>12</v>
      </c>
      <c r="BL6" s="87" t="n">
        <f aca="false">BG$6+(BG6-BG$6)*sib_works</f>
        <v>10</v>
      </c>
      <c r="BM6" s="83" t="n">
        <v>0</v>
      </c>
      <c r="BN6" s="87" t="n">
        <f aca="false">(BH6*G6-sib_pass)*(1-sib_civ)*(1-sib_fuel-BM6*sib_strike)-AT6</f>
        <v>7.05116855270995</v>
      </c>
      <c r="BO6" s="87" t="n">
        <f aca="false">(BI6*G6-sib_pass)*(1-sib_civ)*(1-sib_fuel-BM6*sib_strike)-AT6</f>
        <v>4.47516855270995</v>
      </c>
      <c r="BP6" s="87" t="n">
        <f aca="false">(BJ6*G6-sib_pass)*(1-sib_civ)*(1-sib_fuel-BM6*sib_strike)-AU6</f>
        <v>3.12724902388988</v>
      </c>
      <c r="BQ6" s="87" t="n">
        <f aca="false">(BK6*G6-sib_pass)*(1-sib_civ)*(1-sib_fuel-BM6*sib_strike)-AU6</f>
        <v>6.34724902388988</v>
      </c>
      <c r="BR6" s="87" t="n">
        <f aca="false">(BL6*G6-sib_pass)*(1-sib_civ)*(1-sib_fuel-BM6*sib_strike)-AU6</f>
        <v>5.05924902388988</v>
      </c>
      <c r="BS6" s="87" t="n">
        <f aca="false">AM6/(sib_net1*(1+sib_decup*BB6))</f>
        <v>0.769433338051093</v>
      </c>
      <c r="BT6" s="87" t="n">
        <f aca="false">AN6/(sib_net2*(1+sib_decup*BB6))</f>
        <v>0.866525824681299</v>
      </c>
      <c r="BU6" s="87" t="n">
        <f aca="false">AO6/(sib_net3a*(1+sib_decup*BB6))</f>
        <v>0.748483287335173</v>
      </c>
      <c r="BV6" s="87" t="n">
        <f aca="false">AP6/(sib_net3b*(1+sib_decup*BB6))</f>
        <v>1.06234303259449</v>
      </c>
      <c r="BW6" s="87" t="n">
        <f aca="false">AQ6/(sib_net4*(1+sib_decup*BB6))</f>
        <v>0.841021567470634</v>
      </c>
      <c r="BX6" s="84" t="n">
        <f aca="false">BS6/BN6</f>
        <v>0.109121393468233</v>
      </c>
      <c r="BY6" s="84" t="n">
        <f aca="false">BT6/BO6</f>
        <v>0.193629762650297</v>
      </c>
      <c r="BZ6" s="84" t="n">
        <f aca="false">BU6/BP6</f>
        <v>0.239342400178979</v>
      </c>
      <c r="CA6" s="84" t="n">
        <f aca="false">BV6/BQ6</f>
        <v>0.167370624438402</v>
      </c>
      <c r="CB6" s="84" t="n">
        <f aca="false">BW6/BR6</f>
        <v>0.1662344675068</v>
      </c>
      <c r="CC6" s="84" t="n">
        <f aca="false">MAX(BX6:CB6)</f>
        <v>0.239342400178979</v>
      </c>
      <c r="CD6" s="1" t="str">
        <f aca="false">CHOOSE(MATCH(CC6,BX6:CB6,0),"Vladivostok-Harbin","Harbin-Manzhouli","Manzhouli-Kitaisky (branch)","Kitaisky-Irkutsk","Irkutsk-Ob")</f>
        <v>Manzhouli-Kitaisky (branch)</v>
      </c>
      <c r="CE6" s="87" t="n">
        <f aca="false">MIN(BN6-BS6,BO6-BT6,BP6-BU6,BQ6-BV6,BR6-BW6)</f>
        <v>2.37876573655471</v>
      </c>
      <c r="CF6" s="88"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f>
        <v>53585.2140323108</v>
      </c>
      <c r="CG6" s="81" t="n">
        <f aca="false">CF6/sib_kmloco*sib_helper</f>
        <v>418.634484627428</v>
      </c>
      <c r="CH6" s="84" t="n">
        <f aca="false">CG6/BA6</f>
        <v>0.296903889806687</v>
      </c>
      <c r="CI6" s="86" t="n">
        <v>10000</v>
      </c>
      <c r="CJ6" s="86" t="n">
        <v>0</v>
      </c>
      <c r="CK6" s="86" t="n">
        <v>0</v>
      </c>
      <c r="CL6" s="88" t="n">
        <f aca="false">(sib_wag0+SUM(CI$6:CI6)+SUM(CJ$6:CJ6))*sib_wserv*(1-sib_civ)</f>
        <v>24990</v>
      </c>
      <c r="CM6" s="88"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f>
        <v>4230.84160503386</v>
      </c>
      <c r="CN6" s="84" t="n">
        <f aca="false">CM6/CL6</f>
        <v>0.169301384755257</v>
      </c>
      <c r="CO6" s="83" t="n">
        <v>1000</v>
      </c>
      <c r="CP6" s="81" t="n">
        <f aca="false">MIN(CO6,AK6+AJ6)</f>
        <v>462.675</v>
      </c>
      <c r="CQ6" s="84" t="n">
        <f aca="false">(AK6+AJ6+Z6-CP6)*365/1000000+sib_civport</f>
        <v>0.839673913043478</v>
      </c>
      <c r="CR6" s="82" t="n">
        <v>2</v>
      </c>
      <c r="CS6" s="84" t="n">
        <f aca="false">CQ6/(CR6*IF(OR(RIGHT(A6,2)="Q1",C6=365),sib_portwin,1))</f>
        <v>0.419836956521739</v>
      </c>
      <c r="CT6" s="87" t="n">
        <f aca="false">(AK6+AJ6+Z6-CP6)*sib_pacship*365/(sib_dwt*0.9*sib_voy)</f>
        <v>0.497336801684628</v>
      </c>
      <c r="CU6" s="84" t="n">
        <f aca="false">CT6/sib_ships</f>
        <v>0.0124334200421157</v>
      </c>
      <c r="CV6" s="88" t="n">
        <f aca="false">0+(AB6+Z6)*C6+AA6</f>
        <v>10000</v>
      </c>
      <c r="CW6" s="87" t="n">
        <f aca="false">IF(C6=365,sib_surge/sib_mtrain/sib_surge_d,0)</f>
        <v>0</v>
      </c>
      <c r="CX6" s="81" t="n">
        <f aca="false">(CC6&gt;sib_util_max)+(CH6&gt;1)+(CN6&gt;1)+(CS6&gt;sib_util_max)+(CU6&gt;1)+(CV6&lt;0)+(CW6&gt;0)*(CE6&lt;CW6)</f>
        <v>0</v>
      </c>
      <c r="CY6" s="1" t="str">
        <f aca="false">IF(CX6=0,"OK","Check")</f>
        <v>OK</v>
      </c>
      <c r="CZ6" s="83" t="n">
        <v>2</v>
      </c>
      <c r="DA6" s="82" t="n">
        <v>3.5</v>
      </c>
      <c r="DB6" s="82" t="n">
        <v>1</v>
      </c>
      <c r="DC6" s="84" t="n">
        <f aca="false">INDEX(Paths!$B$6:$B$92,MATCH(B6,Paths!$A$6:$A$92,0))*sib_cost</f>
        <v>1.66</v>
      </c>
      <c r="DD6" s="87" t="n">
        <f aca="false">L6*sib_c_pac/1000*C6/365*DC6</f>
        <v>2.17573698630137</v>
      </c>
      <c r="DE6" s="87" t="n">
        <f aca="false">K6*sib_c_cz/1000*C6/365*DC6</f>
        <v>13.8075616438356</v>
      </c>
      <c r="DF6" s="87" t="n">
        <f aca="false">J6*sib_c_sib/1000*C6/365*DC6</f>
        <v>1.25523287671233</v>
      </c>
      <c r="DG6" s="87" t="n">
        <f aca="false">((MAX(0,T6-CP6)+V6+AB6+Z6+AA6/C6)*sib_pst_w+Q6*sib_loc_kg*sib_pst_e)*C6*sib_c_store/1000000*DC6</f>
        <v>3.87165618</v>
      </c>
      <c r="DH6" s="87" t="n">
        <f aca="false">((AW6*sib_c_loco+CJ6*sib_c_wag+MAX(0,AZ6-AZ6)*sib_loco0*sib_c_rep+CZ6*sib_c_arm)/1000000+DA6)*DC6</f>
        <v>6.806</v>
      </c>
      <c r="DI6" s="87" t="n">
        <f aca="false">2*(sib_L1*(BS6+AT6)+sib_L2*(BT6+AT6)+sib_L3a*(BU6+AU6)+sib_L3b*(BV6+AU6)+sib_L4*(BW6+AU6))*C6*sib_c_tkm*sib_prail/1000000*DC6</f>
        <v>1.80572685593508</v>
      </c>
      <c r="DJ6" s="87" t="n">
        <f aca="false">CT6*sib_c_ship*C6/365*DC6</f>
        <v>0.0936410256410256</v>
      </c>
      <c r="DK6" s="87" t="n">
        <f aca="false">DB6*DC6</f>
        <v>1.66</v>
      </c>
      <c r="DL6" s="87" t="n">
        <f aca="false">AA6*sib_c_kara/1000000*DC6</f>
        <v>0</v>
      </c>
      <c r="DM6" s="87" t="n">
        <f aca="false">(AC6*sib_c_ref/1000*C6/365+AH6*C6*sib_c_grain/1000000)*DC6</f>
        <v>1.04800847900822</v>
      </c>
      <c r="DN6" s="87" t="n">
        <f aca="false">Z6*C6*sib_c_amur/1000000*DC6</f>
        <v>0.1992</v>
      </c>
      <c r="DO6" s="87" t="n">
        <f aca="false">sib_fed*sib_c_fed/1000000*C6/365*DC6</f>
        <v>0.627616438356164</v>
      </c>
      <c r="DP6" s="87" t="n">
        <f aca="false">SUM(DD6:DO6)</f>
        <v>33.3503804857898</v>
      </c>
    </row>
    <row r="7" customFormat="false" ht="13.8" hidden="false" customHeight="false" outlineLevel="0" collapsed="false">
      <c r="A7" s="1" t="s">
        <v>1768</v>
      </c>
      <c r="B7" s="81" t="n">
        <v>1918</v>
      </c>
      <c r="C7" s="81" t="n">
        <v>92</v>
      </c>
      <c r="D7" s="1" t="s">
        <v>1769</v>
      </c>
      <c r="E7" s="82" t="n">
        <v>0.15</v>
      </c>
      <c r="F7" s="83" t="n">
        <v>1</v>
      </c>
      <c r="G7" s="84" t="n">
        <f aca="false">1-E7*IF(F7=1,sib_winter,1)</f>
        <v>0.85</v>
      </c>
      <c r="H7" s="83" t="n">
        <v>70</v>
      </c>
      <c r="I7" s="83" t="n">
        <v>25</v>
      </c>
      <c r="J7" s="83" t="n">
        <v>50</v>
      </c>
      <c r="K7" s="83" t="n">
        <v>55</v>
      </c>
      <c r="L7" s="83" t="n">
        <v>8</v>
      </c>
      <c r="M7" s="81" t="n">
        <f aca="false">SUM(H7:L7)</f>
        <v>208</v>
      </c>
      <c r="N7" s="82" t="n">
        <v>0.25</v>
      </c>
      <c r="O7" s="82" t="n">
        <v>0.2</v>
      </c>
      <c r="P7" s="81" t="n">
        <f aca="false">H7*N7+I7*O7+J7*sib_sw+K7+L7*sib_pw</f>
        <v>131.8</v>
      </c>
      <c r="Q7" s="81" t="n">
        <f aca="false">M7-P7</f>
        <v>76.2</v>
      </c>
      <c r="R7" s="82" t="n">
        <v>0.35</v>
      </c>
      <c r="S7" s="85" t="n">
        <v>3</v>
      </c>
      <c r="T7" s="81" t="n">
        <f aca="false">P7*(R7*S7*sib_ammo+(1-R7)*sib_loc_kg)</f>
        <v>266.895</v>
      </c>
      <c r="U7" s="81" t="n">
        <f aca="false">H7*N7*sib_jp_kg</f>
        <v>15.75</v>
      </c>
      <c r="V7" s="83" t="n">
        <v>0</v>
      </c>
      <c r="W7" s="83" t="n">
        <v>250</v>
      </c>
      <c r="X7" s="83" t="n">
        <v>200</v>
      </c>
      <c r="Y7" s="83" t="n">
        <v>0</v>
      </c>
      <c r="Z7" s="81" t="n">
        <f aca="false">Y7*sib_amur</f>
        <v>0</v>
      </c>
      <c r="AA7" s="86" t="n">
        <v>0</v>
      </c>
      <c r="AB7" s="83" t="n">
        <v>0</v>
      </c>
      <c r="AC7" s="83" t="n">
        <v>200</v>
      </c>
      <c r="AD7" s="82" t="n">
        <v>0.85</v>
      </c>
      <c r="AE7" s="81" t="n">
        <f aca="false">(J7*sib_sw+K7+L7*sib_pw)*sib_bread+P7*sib_horses*sib_oats+AC7*sib_relief_kg</f>
        <v>346.645</v>
      </c>
      <c r="AF7" s="81" t="n">
        <f aca="false">sib_surplus*AD7*sib_harvest*1000000/365*sib_callmax</f>
        <v>698.630136986301</v>
      </c>
      <c r="AG7" s="81" t="n">
        <f aca="false">MAX(0,AE7-AF7)</f>
        <v>0</v>
      </c>
      <c r="AH7" s="81" t="n">
        <f aca="false">AE7-AG7</f>
        <v>346.645</v>
      </c>
      <c r="AI7" s="81" t="n">
        <f aca="false">I7*O7*sib_cn_kg</f>
        <v>4</v>
      </c>
      <c r="AJ7" s="81" t="n">
        <f aca="false">Q7*sib_loc_kg+H7*(1-N7)*sib_jp_kg</f>
        <v>161.55</v>
      </c>
      <c r="AK7" s="81" t="n">
        <f aca="false">T7+U7+V7+W7+X7+AB7</f>
        <v>732.645</v>
      </c>
      <c r="AL7" s="81" t="n">
        <f aca="false">AI7+AG7</f>
        <v>4</v>
      </c>
      <c r="AM7" s="81" t="n">
        <f aca="false">AK7+AJ7</f>
        <v>894.195</v>
      </c>
      <c r="AN7" s="81" t="n">
        <f aca="false">AK7+AL7+sib_e2*AJ7</f>
        <v>833.575</v>
      </c>
      <c r="AO7" s="81" t="n">
        <f aca="false">AK7+AL7+sib_e3*AJ7</f>
        <v>785.11</v>
      </c>
      <c r="AP7" s="81" t="n">
        <f aca="false">AK7+AL7+Z7</f>
        <v>736.645</v>
      </c>
      <c r="AQ7" s="81" t="n">
        <f aca="false">AK7+AL7+Z7</f>
        <v>736.645</v>
      </c>
      <c r="AR7" s="81" t="n">
        <f aca="false">H7+I7+L7</f>
        <v>103</v>
      </c>
      <c r="AS7" s="81" t="n">
        <f aca="false">H7*N7+I7*O7+L7*sib_pw</f>
        <v>29.3</v>
      </c>
      <c r="AT7" s="87" t="n">
        <f aca="false">(MAX(0,AR7-AR6)+AR7*sib_rot*C7/365)*1000/sib_mtrain/C7</f>
        <v>0.638819403083846</v>
      </c>
      <c r="AU7" s="87" t="n">
        <f aca="false">(MAX(0,AS7-AS6)+AS7*sib_rot*C7/365)*1000/sib_mtrain/C7</f>
        <v>0.277871749056978</v>
      </c>
      <c r="AV7" s="83" t="n">
        <v>0</v>
      </c>
      <c r="AW7" s="83" t="n">
        <v>150</v>
      </c>
      <c r="AX7" s="81" t="n">
        <f aca="false">(SUM(AV$6:AV7)+SUM(AW$6:AW7))*0.9</f>
        <v>765</v>
      </c>
      <c r="AY7" s="82" t="n">
        <v>0.6</v>
      </c>
      <c r="AZ7" s="84" t="n">
        <f aca="false">1-(1-AY7)*sib_sick</f>
        <v>0.6</v>
      </c>
      <c r="BA7" s="81" t="n">
        <f aca="false">sib_loco0*AZ7+AX7</f>
        <v>1545</v>
      </c>
      <c r="BB7" s="84" t="n">
        <f aca="false">AX7/BA7</f>
        <v>0.495145631067961</v>
      </c>
      <c r="BC7" s="83" t="n">
        <v>15</v>
      </c>
      <c r="BD7" s="83" t="n">
        <v>11</v>
      </c>
      <c r="BE7" s="83" t="n">
        <v>8</v>
      </c>
      <c r="BF7" s="83" t="n">
        <v>14</v>
      </c>
      <c r="BG7" s="83" t="n">
        <v>12</v>
      </c>
      <c r="BH7" s="87" t="n">
        <f aca="false">BC$6+(BC7-BC$6)*sib_works</f>
        <v>15</v>
      </c>
      <c r="BI7" s="87" t="n">
        <f aca="false">BD$6+(BD7-BD$6)*sib_works</f>
        <v>11</v>
      </c>
      <c r="BJ7" s="87" t="n">
        <f aca="false">BE$6+(BE7-BE$6)*sib_works</f>
        <v>8</v>
      </c>
      <c r="BK7" s="87" t="n">
        <f aca="false">BF$6+(BF7-BF$6)*sib_works</f>
        <v>14</v>
      </c>
      <c r="BL7" s="87" t="n">
        <f aca="false">BG$6+(BG7-BG$6)*sib_works</f>
        <v>12</v>
      </c>
      <c r="BM7" s="83" t="n">
        <v>0</v>
      </c>
      <c r="BN7" s="87" t="n">
        <f aca="false">(BH7*G7-sib_pass)*(1-sib_civ)*(1-sib_fuel-BM7*sib_strike)-AT7</f>
        <v>6.28418059691615</v>
      </c>
      <c r="BO7" s="87" t="n">
        <f aca="false">(BI7*G7-sib_pass)*(1-sib_civ)*(1-sib_fuel-BM7*sib_strike)-AT7</f>
        <v>4.09458059691615</v>
      </c>
      <c r="BP7" s="87" t="n">
        <f aca="false">(BJ7*G7-sib_pass)*(1-sib_civ)*(1-sib_fuel-BM7*sib_strike)-AU7</f>
        <v>2.81332825094302</v>
      </c>
      <c r="BQ7" s="87" t="n">
        <f aca="false">(BK7*G7-sib_pass)*(1-sib_civ)*(1-sib_fuel-BM7*sib_strike)-AU7</f>
        <v>6.09772825094302</v>
      </c>
      <c r="BR7" s="87" t="n">
        <f aca="false">(BL7*G7-sib_pass)*(1-sib_civ)*(1-sib_fuel-BM7*sib_strike)-AU7</f>
        <v>5.00292825094302</v>
      </c>
      <c r="BS7" s="87" t="n">
        <f aca="false">AM7/(sib_net1*(1+sib_decup*BB7))</f>
        <v>1.46561352280322</v>
      </c>
      <c r="BT7" s="87" t="n">
        <f aca="false">AN7/(sib_net2*(1+sib_decup*BB7))</f>
        <v>1.69155436688536</v>
      </c>
      <c r="BU7" s="87" t="n">
        <f aca="false">AO7/(sib_net3a*(1+sib_decup*BB7))</f>
        <v>1.48699177124994</v>
      </c>
      <c r="BV7" s="87" t="n">
        <f aca="false">AP7/(sib_net3b*(1+sib_decup*BB7))</f>
        <v>1.65220989482394</v>
      </c>
      <c r="BW7" s="87" t="n">
        <f aca="false">AQ7/(sib_net4*(1+sib_decup*BB7))</f>
        <v>1.30799950006896</v>
      </c>
      <c r="BX7" s="84" t="n">
        <f aca="false">BS7/BN7</f>
        <v>0.233222693110132</v>
      </c>
      <c r="BY7" s="84" t="n">
        <f aca="false">BT7/BO7</f>
        <v>0.413120300564936</v>
      </c>
      <c r="BZ7" s="84" t="n">
        <f aca="false">BU7/BP7</f>
        <v>0.528552532308132</v>
      </c>
      <c r="CA7" s="84" t="n">
        <f aca="false">BV7/BQ7</f>
        <v>0.270954989600992</v>
      </c>
      <c r="CB7" s="84" t="n">
        <f aca="false">BW7/BR7</f>
        <v>0.261446783655633</v>
      </c>
      <c r="CC7" s="84" t="n">
        <f aca="false">MAX(BX7:CB7)</f>
        <v>0.528552532308132</v>
      </c>
      <c r="CD7" s="1" t="str">
        <f aca="false">CHOOSE(MATCH(CC7,BX7:CB7,0),"Vladivostok-Harbin","Harbin-Manzhouli","Manzhouli-Kitaisky (branch)","Kitaisky-Irkutsk","Irkutsk-Ob")</f>
        <v>Manzhouli-Kitaisky (branch)</v>
      </c>
      <c r="CE7" s="87" t="n">
        <f aca="false">MIN(BN7-BS7,BO7-BT7,BP7-BU7,BQ7-BV7,BR7-BW7)</f>
        <v>1.32633647969308</v>
      </c>
      <c r="CF7" s="88"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f>
        <v>59868.275851482</v>
      </c>
      <c r="CG7" s="81" t="n">
        <f aca="false">CF7/sib_kmloco*sib_helper</f>
        <v>467.720905089703</v>
      </c>
      <c r="CH7" s="84" t="n">
        <f aca="false">CG7/BA7</f>
        <v>0.302731977404338</v>
      </c>
      <c r="CI7" s="86" t="n">
        <v>0</v>
      </c>
      <c r="CJ7" s="86" t="n">
        <v>0</v>
      </c>
      <c r="CK7" s="86" t="n">
        <v>0</v>
      </c>
      <c r="CL7" s="88" t="n">
        <f aca="false">(sib_wag0+SUM(CI$6:CI7)+SUM(CJ$6:CJ7))*sib_wserv*(1-sib_civ)</f>
        <v>24990</v>
      </c>
      <c r="CM7" s="88"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f>
        <v>6030.57561727219</v>
      </c>
      <c r="CN7" s="84" t="n">
        <f aca="false">CM7/CL7</f>
        <v>0.241319552511892</v>
      </c>
      <c r="CO7" s="83" t="n">
        <v>1000</v>
      </c>
      <c r="CP7" s="81" t="n">
        <f aca="false">MIN(CO7,AK7+AJ7)</f>
        <v>894.195</v>
      </c>
      <c r="CQ7" s="84" t="n">
        <f aca="false">(AK7+AJ7+Z7-CP7)*365/1000000+sib_civport</f>
        <v>0.8</v>
      </c>
      <c r="CR7" s="82" t="n">
        <v>2</v>
      </c>
      <c r="CS7" s="84" t="n">
        <f aca="false">CQ7/(CR7*IF(OR(RIGHT(A7,2)="Q1",C7=365),sib_portwin,1))</f>
        <v>0.4</v>
      </c>
      <c r="CT7" s="87" t="n">
        <f aca="false">(AK7+AJ7+Z7-CP7)*sib_pacship*365/(sib_dwt*0.9*sib_voy)</f>
        <v>0</v>
      </c>
      <c r="CU7" s="84" t="n">
        <f aca="false">CT7/sib_ships</f>
        <v>0</v>
      </c>
      <c r="CV7" s="88" t="n">
        <f aca="false">CV6+(AB7+Z7)*C7+AA7</f>
        <v>10000</v>
      </c>
      <c r="CW7" s="87" t="n">
        <f aca="false">IF(C7=365,sib_surge/sib_mtrain/sib_surge_d,0)</f>
        <v>0</v>
      </c>
      <c r="CX7" s="81" t="n">
        <f aca="false">(CC7&gt;sib_util_max)+(CH7&gt;1)+(CN7&gt;1)+(CS7&gt;sib_util_max)+(CU7&gt;1)+(CV7&lt;0)+(CW7&gt;0)*(CE7&lt;CW7)</f>
        <v>0</v>
      </c>
      <c r="CY7" s="1" t="str">
        <f aca="false">IF(CX7=0,"OK","Check")</f>
        <v>OK</v>
      </c>
      <c r="CZ7" s="83" t="n">
        <v>4</v>
      </c>
      <c r="DA7" s="82" t="n">
        <v>5</v>
      </c>
      <c r="DB7" s="82" t="n">
        <v>1</v>
      </c>
      <c r="DC7" s="84" t="n">
        <f aca="false">INDEX(Paths!$B$6:$B$92,MATCH(B7,Paths!$A$6:$A$92,0))*sib_cost</f>
        <v>1.66</v>
      </c>
      <c r="DD7" s="87" t="n">
        <f aca="false">L7*sib_c_pac/1000*C7/365*DC7</f>
        <v>4.35147397260274</v>
      </c>
      <c r="DE7" s="87" t="n">
        <f aca="false">K7*sib_c_cz/1000*C7/365*DC7</f>
        <v>13.8075616438356</v>
      </c>
      <c r="DF7" s="87" t="n">
        <f aca="false">J7*sib_c_sib/1000*C7/365*DC7</f>
        <v>2.09205479452055</v>
      </c>
      <c r="DG7" s="87" t="n">
        <f aca="false">((MAX(0,T7-CP7)+V7+AB7+Z7+AA7/C7)*sib_pst_w+Q7*sib_loc_kg*sib_pst_e)*C7*sib_c_store/1000000*DC7</f>
        <v>0.61095636</v>
      </c>
      <c r="DH7" s="87" t="n">
        <f aca="false">((AW7*sib_c_loco+CJ7*sib_c_wag+MAX(0,AZ7-AZ6)*sib_loco0*sib_c_rep+CZ7*sib_c_arm)/1000000+DA7)*DC7</f>
        <v>19.754</v>
      </c>
      <c r="DI7" s="87" t="n">
        <f aca="false">2*(sib_L1*(BS7+AT7)+sib_L2*(BT7+AT7)+sib_L3a*(BU7+AU7)+sib_L3b*(BV7+AU7)+sib_L4*(BW7+AU7))*C7*sib_c_tkm*sib_prail/1000000*DC7</f>
        <v>2.92046234457362</v>
      </c>
      <c r="DJ7" s="87" t="n">
        <f aca="false">CT7*sib_c_ship*C7/365*DC7</f>
        <v>0</v>
      </c>
      <c r="DK7" s="87" t="n">
        <f aca="false">DB7*DC7</f>
        <v>1.66</v>
      </c>
      <c r="DL7" s="87" t="n">
        <f aca="false">AA7*sib_c_kara/1000000*DC7</f>
        <v>0</v>
      </c>
      <c r="DM7" s="87" t="n">
        <f aca="false">(AC7*sib_c_ref/1000*C7/365+AH7*C7*sib_c_grain/1000000)*DC7</f>
        <v>1.99128158201644</v>
      </c>
      <c r="DN7" s="87" t="n">
        <f aca="false">Z7*C7*sib_c_amur/1000000*DC7</f>
        <v>0</v>
      </c>
      <c r="DO7" s="87" t="n">
        <f aca="false">sib_fed*sib_c_fed/1000000*C7/365*DC7</f>
        <v>0.627616438356164</v>
      </c>
      <c r="DP7" s="87" t="n">
        <f aca="false">SUM(DD7:DO7)</f>
        <v>47.8154071359051</v>
      </c>
    </row>
    <row r="8" customFormat="false" ht="13.8" hidden="false" customHeight="false" outlineLevel="0" collapsed="false">
      <c r="A8" s="1" t="s">
        <v>1770</v>
      </c>
      <c r="B8" s="81" t="n">
        <v>1919</v>
      </c>
      <c r="C8" s="81" t="n">
        <v>90</v>
      </c>
      <c r="D8" s="1" t="s">
        <v>1771</v>
      </c>
      <c r="E8" s="82" t="n">
        <v>0.3</v>
      </c>
      <c r="F8" s="83" t="n">
        <v>1</v>
      </c>
      <c r="G8" s="84" t="n">
        <f aca="false">1-E8*IF(F8=1,sib_winter,1)</f>
        <v>0.7</v>
      </c>
      <c r="H8" s="83" t="n">
        <v>85</v>
      </c>
      <c r="I8" s="83" t="n">
        <v>35</v>
      </c>
      <c r="J8" s="83" t="n">
        <v>65</v>
      </c>
      <c r="K8" s="83" t="n">
        <v>52</v>
      </c>
      <c r="L8" s="83" t="n">
        <v>11</v>
      </c>
      <c r="M8" s="81" t="n">
        <f aca="false">SUM(H8:L8)</f>
        <v>248</v>
      </c>
      <c r="N8" s="82" t="n">
        <v>0.25</v>
      </c>
      <c r="O8" s="82" t="n">
        <v>0.2</v>
      </c>
      <c r="P8" s="81" t="n">
        <f aca="false">H8*N8+I8*O8+J8*sib_sw+K8+L8*sib_pw</f>
        <v>151.35</v>
      </c>
      <c r="Q8" s="81" t="n">
        <f aca="false">M8-P8</f>
        <v>96.65</v>
      </c>
      <c r="R8" s="82" t="n">
        <v>0.3</v>
      </c>
      <c r="S8" s="85" t="n">
        <v>2.5</v>
      </c>
      <c r="T8" s="81" t="n">
        <f aca="false">P8*(R8*S8*sib_ammo+(1-R8)*sib_loc_kg)</f>
        <v>272.43</v>
      </c>
      <c r="U8" s="81" t="n">
        <f aca="false">H8*N8*sib_jp_kg</f>
        <v>19.125</v>
      </c>
      <c r="V8" s="83" t="n">
        <v>0</v>
      </c>
      <c r="W8" s="83" t="n">
        <v>250</v>
      </c>
      <c r="X8" s="83" t="n">
        <v>300</v>
      </c>
      <c r="Y8" s="83" t="n">
        <v>0</v>
      </c>
      <c r="Z8" s="81" t="n">
        <f aca="false">Y8*sib_amur</f>
        <v>0</v>
      </c>
      <c r="AA8" s="86" t="n">
        <v>0</v>
      </c>
      <c r="AB8" s="83" t="n">
        <v>-55</v>
      </c>
      <c r="AC8" s="83" t="n">
        <v>250</v>
      </c>
      <c r="AD8" s="82" t="n">
        <v>0.7</v>
      </c>
      <c r="AE8" s="81" t="n">
        <f aca="false">(J8*sib_sw+K8+L8*sib_pw)*sib_bread+P8*sib_horses*sib_oats+AC8*sib_relief_kg</f>
        <v>406.05875</v>
      </c>
      <c r="AF8" s="81" t="n">
        <f aca="false">sib_surplus*AD8*sib_harvest*1000000/365*sib_callmax</f>
        <v>575.342465753425</v>
      </c>
      <c r="AG8" s="81" t="n">
        <f aca="false">MAX(0,AE8-AF8)</f>
        <v>0</v>
      </c>
      <c r="AH8" s="81" t="n">
        <f aca="false">AE8-AG8</f>
        <v>406.05875</v>
      </c>
      <c r="AI8" s="81" t="n">
        <f aca="false">I8*O8*sib_cn_kg</f>
        <v>5.6</v>
      </c>
      <c r="AJ8" s="81" t="n">
        <f aca="false">Q8*sib_loc_kg+H8*(1-N8)*sib_jp_kg</f>
        <v>202.35</v>
      </c>
      <c r="AK8" s="81" t="n">
        <f aca="false">T8+U8+V8+W8+X8+AB8</f>
        <v>786.555</v>
      </c>
      <c r="AL8" s="81" t="n">
        <f aca="false">AI8+AG8</f>
        <v>5.6</v>
      </c>
      <c r="AM8" s="81" t="n">
        <f aca="false">AK8+AJ8</f>
        <v>988.905</v>
      </c>
      <c r="AN8" s="81" t="n">
        <f aca="false">AK8+AL8+sib_e2*AJ8</f>
        <v>913.565</v>
      </c>
      <c r="AO8" s="81" t="n">
        <f aca="false">AK8+AL8+sib_e3*AJ8</f>
        <v>852.86</v>
      </c>
      <c r="AP8" s="81" t="n">
        <f aca="false">AK8+AL8+Z8</f>
        <v>792.155</v>
      </c>
      <c r="AQ8" s="81" t="n">
        <f aca="false">AK8+AL8+Z8</f>
        <v>792.155</v>
      </c>
      <c r="AR8" s="81" t="n">
        <f aca="false">H8+I8+L8</f>
        <v>131</v>
      </c>
      <c r="AS8" s="81" t="n">
        <f aca="false">H8*N8+I8*O8+L8*sib_pw</f>
        <v>37.6</v>
      </c>
      <c r="AT8" s="87" t="n">
        <f aca="false">(MAX(0,AR8-AR7)+AR8*sib_rot*C8/365)*1000/sib_mtrain/C8</f>
        <v>0.405496363943853</v>
      </c>
      <c r="AU8" s="87" t="n">
        <f aca="false">(MAX(0,AS8-AS7)+AS8*sib_rot*C8/365)*1000/sib_mtrain/C8</f>
        <v>0.119638085574159</v>
      </c>
      <c r="AV8" s="83" t="n">
        <v>0</v>
      </c>
      <c r="AW8" s="83" t="n">
        <v>0</v>
      </c>
      <c r="AX8" s="81" t="n">
        <f aca="false">(SUM(AV$6:AV8)+SUM(AW$6:AW8))*0.9</f>
        <v>765</v>
      </c>
      <c r="AY8" s="82" t="n">
        <v>0.6</v>
      </c>
      <c r="AZ8" s="84" t="n">
        <f aca="false">1-(1-AY8)*sib_sick</f>
        <v>0.6</v>
      </c>
      <c r="BA8" s="81" t="n">
        <f aca="false">sib_loco0*AZ8+AX8</f>
        <v>1545</v>
      </c>
      <c r="BB8" s="84" t="n">
        <f aca="false">AX8/BA8</f>
        <v>0.495145631067961</v>
      </c>
      <c r="BC8" s="83" t="n">
        <v>16</v>
      </c>
      <c r="BD8" s="83" t="n">
        <v>12</v>
      </c>
      <c r="BE8" s="83" t="n">
        <v>10</v>
      </c>
      <c r="BF8" s="83" t="n">
        <v>16</v>
      </c>
      <c r="BG8" s="83" t="n">
        <v>14</v>
      </c>
      <c r="BH8" s="87" t="n">
        <f aca="false">BC$6+(BC8-BC$6)*sib_works</f>
        <v>16</v>
      </c>
      <c r="BI8" s="87" t="n">
        <f aca="false">BD$6+(BD8-BD$6)*sib_works</f>
        <v>12</v>
      </c>
      <c r="BJ8" s="87" t="n">
        <f aca="false">BE$6+(BE8-BE$6)*sib_works</f>
        <v>10</v>
      </c>
      <c r="BK8" s="87" t="n">
        <f aca="false">BF$6+(BF8-BF$6)*sib_works</f>
        <v>16</v>
      </c>
      <c r="BL8" s="87" t="n">
        <f aca="false">BG$6+(BG8-BG$6)*sib_works</f>
        <v>14</v>
      </c>
      <c r="BM8" s="83" t="n">
        <v>0</v>
      </c>
      <c r="BN8" s="87" t="n">
        <f aca="false">(BH8*G8-sib_pass)*(1-sib_civ)*(1-sib_fuel-BM8*sib_strike)-AT8</f>
        <v>5.51930363605615</v>
      </c>
      <c r="BO8" s="87" t="n">
        <f aca="false">(BI8*G8-sib_pass)*(1-sib_civ)*(1-sib_fuel-BM8*sib_strike)-AT8</f>
        <v>3.71610363605615</v>
      </c>
      <c r="BP8" s="87" t="n">
        <f aca="false">(BJ8*G8-sib_pass)*(1-sib_civ)*(1-sib_fuel-BM8*sib_strike)-AU8</f>
        <v>3.10036191442584</v>
      </c>
      <c r="BQ8" s="87" t="n">
        <f aca="false">(BK8*G8-sib_pass)*(1-sib_civ)*(1-sib_fuel-BM8*sib_strike)-AU8</f>
        <v>5.80516191442584</v>
      </c>
      <c r="BR8" s="87" t="n">
        <f aca="false">(BL8*G8-sib_pass)*(1-sib_civ)*(1-sib_fuel-BM8*sib_strike)-AU8</f>
        <v>4.90356191442584</v>
      </c>
      <c r="BS8" s="87" t="n">
        <f aca="false">AM8/(sib_net1*(1+sib_decup*BB8))</f>
        <v>1.62084616975908</v>
      </c>
      <c r="BT8" s="87" t="n">
        <f aca="false">AN8/(sib_net2*(1+sib_decup*BB8))</f>
        <v>1.85387621411825</v>
      </c>
      <c r="BU8" s="87" t="n">
        <f aca="false">AO8/(sib_net3a*(1+sib_decup*BB8))</f>
        <v>1.61530970440859</v>
      </c>
      <c r="BV8" s="87" t="n">
        <f aca="false">AP8/(sib_net3b*(1+sib_decup*BB8))</f>
        <v>1.77671243167911</v>
      </c>
      <c r="BW8" s="87" t="n">
        <f aca="false">AQ8/(sib_net4*(1+sib_decup*BB8))</f>
        <v>1.40656400841263</v>
      </c>
      <c r="BX8" s="84" t="n">
        <f aca="false">BS8/BN8</f>
        <v>0.293668599634657</v>
      </c>
      <c r="BY8" s="84" t="n">
        <f aca="false">BT8/BO8</f>
        <v>0.498876348907681</v>
      </c>
      <c r="BZ8" s="84" t="n">
        <f aca="false">BU8/BP8</f>
        <v>0.521006820814249</v>
      </c>
      <c r="CA8" s="84" t="n">
        <f aca="false">BV8/BQ8</f>
        <v>0.306057343080127</v>
      </c>
      <c r="CB8" s="84" t="n">
        <f aca="false">BW8/BR8</f>
        <v>0.286845365258802</v>
      </c>
      <c r="CC8" s="84" t="n">
        <f aca="false">MAX(BX8:CB8)</f>
        <v>0.521006820814249</v>
      </c>
      <c r="CD8" s="1" t="str">
        <f aca="false">CHOOSE(MATCH(CC8,BX8:CB8,0),"Vladivostok-Harbin","Harbin-Manzhouli","Manzhouli-Kitaisky (branch)","Kitaisky-Irkutsk","Irkutsk-Ob")</f>
        <v>Manzhouli-Kitaisky (branch)</v>
      </c>
      <c r="CE8" s="87" t="n">
        <f aca="false">MIN(BN8-BS8,BO8-BT8,BP8-BU8,BQ8-BV8,BR8-BW8)</f>
        <v>1.48505221001725</v>
      </c>
      <c r="CF8" s="88"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f>
        <v>57482.2180054767</v>
      </c>
      <c r="CG8" s="81" t="n">
        <f aca="false">CF8/sib_kmloco*sib_helper</f>
        <v>449.079828167787</v>
      </c>
      <c r="CH8" s="84" t="n">
        <f aca="false">CG8/BA8</f>
        <v>0.290666555448406</v>
      </c>
      <c r="CI8" s="86" t="n">
        <v>0</v>
      </c>
      <c r="CJ8" s="86" t="n">
        <v>2000</v>
      </c>
      <c r="CK8" s="86" t="n">
        <v>0</v>
      </c>
      <c r="CL8" s="88" t="n">
        <f aca="false">(sib_wag0+SUM(CI$6:CI8)+SUM(CJ$6:CJ8))*sib_wserv*(1-sib_civ)</f>
        <v>26180</v>
      </c>
      <c r="CM8" s="88"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f>
        <v>5797.76219564801</v>
      </c>
      <c r="CN8" s="84" t="n">
        <f aca="false">CM8/CL8</f>
        <v>0.221457685089687</v>
      </c>
      <c r="CO8" s="83" t="n">
        <v>800</v>
      </c>
      <c r="CP8" s="81" t="n">
        <f aca="false">MIN(CO8,AK8+AJ8)</f>
        <v>800</v>
      </c>
      <c r="CQ8" s="84" t="n">
        <f aca="false">(AK8+AJ8+Z8-CP8)*365/1000000+sib_civport</f>
        <v>0.868950325</v>
      </c>
      <c r="CR8" s="82" t="n">
        <v>2.2</v>
      </c>
      <c r="CS8" s="84" t="n">
        <f aca="false">CQ8/(CR8*IF(OR(RIGHT(A8,2)="Q1",C8=365),sib_portwin,1))</f>
        <v>0.464679318181818</v>
      </c>
      <c r="CT8" s="87" t="n">
        <f aca="false">(AK8+AJ8+Z8-CP8)*sib_pacship*365/(sib_dwt*0.9*sib_voy)</f>
        <v>0.864334558404558</v>
      </c>
      <c r="CU8" s="84" t="n">
        <f aca="false">CT8/sib_ships</f>
        <v>0.021608363960114</v>
      </c>
      <c r="CV8" s="88" t="n">
        <f aca="false">CV7+(AB8+Z8)*C8+AA8</f>
        <v>5050</v>
      </c>
      <c r="CW8" s="87" t="n">
        <f aca="false">IF(C8=365,sib_surge/sib_mtrain/sib_surge_d,0)</f>
        <v>0</v>
      </c>
      <c r="CX8" s="81" t="n">
        <f aca="false">(CC8&gt;sib_util_max)+(CH8&gt;1)+(CN8&gt;1)+(CS8&gt;sib_util_max)+(CU8&gt;1)+(CV8&lt;0)+(CW8&gt;0)*(CE8&lt;CW8)</f>
        <v>0</v>
      </c>
      <c r="CY8" s="1" t="str">
        <f aca="false">IF(CX8=0,"OK","Check")</f>
        <v>OK</v>
      </c>
      <c r="CZ8" s="83" t="n">
        <v>4</v>
      </c>
      <c r="DA8" s="82" t="n">
        <v>4.5</v>
      </c>
      <c r="DB8" s="82" t="n">
        <v>1.5</v>
      </c>
      <c r="DC8" s="84" t="n">
        <f aca="false">INDEX(Paths!$B$6:$B$92,MATCH(B8,Paths!$A$6:$A$92,0))*sib_cost</f>
        <v>1.83</v>
      </c>
      <c r="DD8" s="87" t="n">
        <f aca="false">L8*sib_c_pac/1000*C8/365*DC8</f>
        <v>6.4526301369863</v>
      </c>
      <c r="DE8" s="87" t="n">
        <f aca="false">K8*sib_c_cz/1000*C8/365*DC8</f>
        <v>14.0784657534247</v>
      </c>
      <c r="DF8" s="87" t="n">
        <f aca="false">J8*sib_c_sib/1000*C8/365*DC8</f>
        <v>2.93301369863014</v>
      </c>
      <c r="DG8" s="87" t="n">
        <f aca="false">((MAX(0,T8-CP8)+V8+AB8+Z8+AA8/C8)*sib_pst_w+Q8*sib_loc_kg*sib_pst_e)*C8*sib_c_store/1000000*DC8</f>
        <v>-1.0665766125</v>
      </c>
      <c r="DH8" s="87" t="n">
        <f aca="false">((AW8*sib_c_loco+CJ8*sib_c_wag+MAX(0,AZ8-AZ7)*sib_loco0*sib_c_rep+CZ8*sib_c_arm)/1000000+DA8)*DC8</f>
        <v>14.091</v>
      </c>
      <c r="DI8" s="87" t="n">
        <f aca="false">2*(sib_L1*(BS8+AT8)+sib_L2*(BT8+AT8)+sib_L3a*(BU8+AU8)+sib_L3b*(BV8+AU8)+sib_L4*(BW8+AU8))*C8*sib_c_tkm*sib_prail/1000000*DC8</f>
        <v>3.0538540826373</v>
      </c>
      <c r="DJ8" s="87" t="n">
        <f aca="false">CT8*sib_c_ship*C8/365*DC8</f>
        <v>0.175507276153846</v>
      </c>
      <c r="DK8" s="87" t="n">
        <f aca="false">DB8*DC8</f>
        <v>2.745</v>
      </c>
      <c r="DL8" s="87" t="n">
        <f aca="false">AA8*sib_c_kara/1000000*DC8</f>
        <v>0</v>
      </c>
      <c r="DM8" s="87" t="n">
        <f aca="false">(AC8*sib_c_ref/1000*C8/365+AH8*C8*sib_c_grain/1000000)*DC8</f>
        <v>2.65743164031164</v>
      </c>
      <c r="DN8" s="87" t="n">
        <f aca="false">Z8*C8*sib_c_amur/1000000*DC8</f>
        <v>0</v>
      </c>
      <c r="DO8" s="87" t="n">
        <f aca="false">sib_fed*sib_c_fed/1000000*C8/365*DC8</f>
        <v>0.676849315068493</v>
      </c>
      <c r="DP8" s="87" t="n">
        <f aca="false">SUM(DD8:DO8)</f>
        <v>45.7971752907124</v>
      </c>
    </row>
    <row r="9" customFormat="false" ht="13.8" hidden="false" customHeight="false" outlineLevel="0" collapsed="false">
      <c r="A9" s="1" t="s">
        <v>1772</v>
      </c>
      <c r="B9" s="81" t="n">
        <v>1919</v>
      </c>
      <c r="C9" s="81" t="n">
        <v>91</v>
      </c>
      <c r="D9" s="1" t="s">
        <v>1773</v>
      </c>
      <c r="E9" s="82" t="n">
        <v>0.08</v>
      </c>
      <c r="F9" s="83" t="n">
        <v>0</v>
      </c>
      <c r="G9" s="84" t="n">
        <f aca="false">1-E9*IF(F9=1,sib_winter,1)</f>
        <v>0.92</v>
      </c>
      <c r="H9" s="83" t="n">
        <v>95</v>
      </c>
      <c r="I9" s="83" t="n">
        <v>45</v>
      </c>
      <c r="J9" s="83" t="n">
        <v>80</v>
      </c>
      <c r="K9" s="83" t="n">
        <v>50</v>
      </c>
      <c r="L9" s="83" t="n">
        <v>14</v>
      </c>
      <c r="M9" s="81" t="n">
        <f aca="false">SUM(H9:L9)</f>
        <v>284</v>
      </c>
      <c r="N9" s="82" t="n">
        <v>0.45</v>
      </c>
      <c r="O9" s="82" t="n">
        <v>0.4</v>
      </c>
      <c r="P9" s="81" t="n">
        <f aca="false">H9*N9+I9*O9+J9*sib_sw+K9+L9*sib_pw</f>
        <v>198.65</v>
      </c>
      <c r="Q9" s="81" t="n">
        <f aca="false">M9-P9</f>
        <v>85.35</v>
      </c>
      <c r="R9" s="82" t="n">
        <v>0.3</v>
      </c>
      <c r="S9" s="85" t="n">
        <v>3</v>
      </c>
      <c r="T9" s="81" t="n">
        <f aca="false">P9*(R9*S9*sib_ammo+(1-R9)*sib_loc_kg)</f>
        <v>387.3675</v>
      </c>
      <c r="U9" s="81" t="n">
        <f aca="false">H9*N9*sib_jp_kg</f>
        <v>38.475</v>
      </c>
      <c r="V9" s="83" t="n">
        <v>50</v>
      </c>
      <c r="W9" s="83" t="n">
        <v>300</v>
      </c>
      <c r="X9" s="83" t="n">
        <v>350</v>
      </c>
      <c r="Y9" s="83" t="n">
        <v>219.78021978022</v>
      </c>
      <c r="Z9" s="81" t="n">
        <f aca="false">Y9*sib_amur</f>
        <v>219.78021978022</v>
      </c>
      <c r="AA9" s="86" t="n">
        <v>0</v>
      </c>
      <c r="AB9" s="83" t="n">
        <v>350</v>
      </c>
      <c r="AC9" s="83" t="n">
        <v>300</v>
      </c>
      <c r="AD9" s="82" t="n">
        <v>0.7</v>
      </c>
      <c r="AE9" s="81" t="n">
        <f aca="false">(J9*sib_sw+K9+L9*sib_pw)*sib_bread+P9*sib_horses*sib_oats+AC9*sib_relief_kg</f>
        <v>497.59125</v>
      </c>
      <c r="AF9" s="81" t="n">
        <f aca="false">sib_surplus*AD9*sib_harvest*1000000/365*sib_callmax</f>
        <v>575.342465753425</v>
      </c>
      <c r="AG9" s="81" t="n">
        <f aca="false">MAX(0,AE9-AF9)</f>
        <v>0</v>
      </c>
      <c r="AH9" s="81" t="n">
        <f aca="false">AE9-AG9</f>
        <v>497.59125</v>
      </c>
      <c r="AI9" s="81" t="n">
        <f aca="false">I9*O9*sib_cn_kg</f>
        <v>14.4</v>
      </c>
      <c r="AJ9" s="81" t="n">
        <f aca="false">Q9*sib_loc_kg+H9*(1-N9)*sib_jp_kg</f>
        <v>175.05</v>
      </c>
      <c r="AK9" s="81" t="n">
        <f aca="false">T9+U9+V9+W9+X9+AB9</f>
        <v>1475.8425</v>
      </c>
      <c r="AL9" s="81" t="n">
        <f aca="false">AI9+AG9</f>
        <v>14.4</v>
      </c>
      <c r="AM9" s="81" t="n">
        <f aca="false">AK9+AJ9</f>
        <v>1650.8925</v>
      </c>
      <c r="AN9" s="81" t="n">
        <f aca="false">AK9+AL9+sib_e2*AJ9</f>
        <v>1595.2725</v>
      </c>
      <c r="AO9" s="81" t="n">
        <f aca="false">AK9+AL9+sib_e3*AJ9</f>
        <v>1542.7575</v>
      </c>
      <c r="AP9" s="81" t="n">
        <f aca="false">AK9+AL9+Z9</f>
        <v>1710.02271978022</v>
      </c>
      <c r="AQ9" s="81" t="n">
        <f aca="false">AK9+AL9+Z9</f>
        <v>1710.02271978022</v>
      </c>
      <c r="AR9" s="81" t="n">
        <f aca="false">H9+I9+L9</f>
        <v>154</v>
      </c>
      <c r="AS9" s="81" t="n">
        <f aca="false">H9*N9+I9*O9+L9*sib_pw</f>
        <v>72.65</v>
      </c>
      <c r="AT9" s="87" t="n">
        <f aca="false">(MAX(0,AR9-AR8)+AR9*sib_rot*C9/365)*1000/sib_mtrain/C9</f>
        <v>0.351149915533477</v>
      </c>
      <c r="AU9" s="87" t="n">
        <f aca="false">(MAX(0,AS9-AS8)+AS9*sib_rot*C9/365)*1000/sib_mtrain/C9</f>
        <v>0.461134443942663</v>
      </c>
      <c r="AV9" s="83" t="n">
        <v>0</v>
      </c>
      <c r="AW9" s="83" t="n">
        <v>100</v>
      </c>
      <c r="AX9" s="81" t="n">
        <f aca="false">(SUM(AV$6:AV9)+SUM(AW$6:AW9))*0.9</f>
        <v>855</v>
      </c>
      <c r="AY9" s="82" t="n">
        <v>0.62</v>
      </c>
      <c r="AZ9" s="84" t="n">
        <f aca="false">1-(1-AY9)*sib_sick</f>
        <v>0.62</v>
      </c>
      <c r="BA9" s="81" t="n">
        <f aca="false">sib_loco0*AZ9+AX9</f>
        <v>1661</v>
      </c>
      <c r="BB9" s="84" t="n">
        <f aca="false">AX9/BA9</f>
        <v>0.51475015051174</v>
      </c>
      <c r="BC9" s="83" t="n">
        <v>17</v>
      </c>
      <c r="BD9" s="83" t="n">
        <v>13</v>
      </c>
      <c r="BE9" s="83" t="n">
        <v>12</v>
      </c>
      <c r="BF9" s="83" t="n">
        <v>18</v>
      </c>
      <c r="BG9" s="83" t="n">
        <v>17</v>
      </c>
      <c r="BH9" s="87" t="n">
        <f aca="false">BC$6+(BC9-BC$6)*sib_works</f>
        <v>17</v>
      </c>
      <c r="BI9" s="87" t="n">
        <f aca="false">BD$6+(BD9-BD$6)*sib_works</f>
        <v>13</v>
      </c>
      <c r="BJ9" s="87" t="n">
        <f aca="false">BE$6+(BE9-BE$6)*sib_works</f>
        <v>12</v>
      </c>
      <c r="BK9" s="87" t="n">
        <f aca="false">BF$6+(BF9-BF$6)*sib_works</f>
        <v>18</v>
      </c>
      <c r="BL9" s="87" t="n">
        <f aca="false">BG$6+(BG9-BG$6)*sib_works</f>
        <v>17</v>
      </c>
      <c r="BM9" s="83" t="n">
        <v>0</v>
      </c>
      <c r="BN9" s="87" t="n">
        <f aca="false">(BH9*G9-sib_pass)*(1-sib_civ)*(1-sib_fuel-BM9*sib_strike)-AT9</f>
        <v>8.43301008446652</v>
      </c>
      <c r="BO9" s="87" t="n">
        <f aca="false">(BI9*G9-sib_pass)*(1-sib_civ)*(1-sib_fuel-BM9*sib_strike)-AT9</f>
        <v>6.06309008446652</v>
      </c>
      <c r="BP9" s="87" t="n">
        <f aca="false">(BJ9*G9-sib_pass)*(1-sib_civ)*(1-sib_fuel-BM9*sib_strike)-AU9</f>
        <v>5.36062555605734</v>
      </c>
      <c r="BQ9" s="87" t="n">
        <f aca="false">(BK9*G9-sib_pass)*(1-sib_civ)*(1-sib_fuel-BM9*sib_strike)-AU9</f>
        <v>8.91550555605734</v>
      </c>
      <c r="BR9" s="87" t="n">
        <f aca="false">(BL9*G9-sib_pass)*(1-sib_civ)*(1-sib_fuel-BM9*sib_strike)-AU9</f>
        <v>8.32302555605734</v>
      </c>
      <c r="BS9" s="87" t="n">
        <f aca="false">AM9/(sib_net1*(1+sib_decup*BB9))</f>
        <v>2.69013218731912</v>
      </c>
      <c r="BT9" s="87" t="n">
        <f aca="false">AN9/(sib_net2*(1+sib_decup*BB9))</f>
        <v>3.21842770601418</v>
      </c>
      <c r="BU9" s="87" t="n">
        <f aca="false">AO9/(sib_net3a*(1+sib_decup*BB9))</f>
        <v>2.90498117587043</v>
      </c>
      <c r="BV9" s="87" t="n">
        <f aca="false">AP9/(sib_net3b*(1+sib_decup*BB9))</f>
        <v>3.8130847133555</v>
      </c>
      <c r="BW9" s="87" t="n">
        <f aca="false">AQ9/(sib_net4*(1+sib_decup*BB9))</f>
        <v>3.01869206473977</v>
      </c>
      <c r="BX9" s="84" t="n">
        <f aca="false">BS9/BN9</f>
        <v>0.319000233650177</v>
      </c>
      <c r="BY9" s="84" t="n">
        <f aca="false">BT9/BO9</f>
        <v>0.530823006285145</v>
      </c>
      <c r="BZ9" s="84" t="n">
        <f aca="false">BU9/BP9</f>
        <v>0.541910854524784</v>
      </c>
      <c r="CA9" s="84" t="n">
        <f aca="false">BV9/BQ9</f>
        <v>0.427691361906542</v>
      </c>
      <c r="CB9" s="84" t="n">
        <f aca="false">BW9/BR9</f>
        <v>0.362691673167196</v>
      </c>
      <c r="CC9" s="84" t="n">
        <f aca="false">MAX(BX9:CB9)</f>
        <v>0.541910854524784</v>
      </c>
      <c r="CD9" s="1" t="str">
        <f aca="false">CHOOSE(MATCH(CC9,BX9:CB9,0),"Vladivostok-Harbin","Harbin-Manzhouli","Manzhouli-Kitaisky (branch)","Kitaisky-Irkutsk","Irkutsk-Ob")</f>
        <v>Manzhouli-Kitaisky (branch)</v>
      </c>
      <c r="CE9" s="87" t="n">
        <f aca="false">MIN(BN9-BS9,BO9-BT9,BP9-BU9,BQ9-BV9,BR9-BW9)</f>
        <v>2.45564438018691</v>
      </c>
      <c r="CF9" s="88"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f>
        <v>87170.5155587034</v>
      </c>
      <c r="CG9" s="81" t="n">
        <f aca="false">CF9/sib_kmloco*sib_helper</f>
        <v>681.01965280237</v>
      </c>
      <c r="CH9" s="84" t="n">
        <f aca="false">CG9/BA9</f>
        <v>0.410005811440319</v>
      </c>
      <c r="CI9" s="86" t="n">
        <v>0</v>
      </c>
      <c r="CJ9" s="86" t="n">
        <v>2000</v>
      </c>
      <c r="CK9" s="86" t="n">
        <v>0</v>
      </c>
      <c r="CL9" s="88" t="n">
        <f aca="false">(sib_wag0+SUM(CI$6:CI9)+SUM(CJ$6:CJ9))*sib_wserv*(1-sib_civ)</f>
        <v>27370</v>
      </c>
      <c r="CM9" s="88"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f>
        <v>9808.27752456443</v>
      </c>
      <c r="CN9" s="84" t="n">
        <f aca="false">CM9/CL9</f>
        <v>0.358358696549668</v>
      </c>
      <c r="CO9" s="83" t="n">
        <v>600</v>
      </c>
      <c r="CP9" s="81" t="n">
        <f aca="false">MIN(CO9,AK9+AJ9)</f>
        <v>600</v>
      </c>
      <c r="CQ9" s="84" t="n">
        <f aca="false">(AK9+AJ9+Z9-CP9)*365/1000000+sib_civport</f>
        <v>1.26379554271978</v>
      </c>
      <c r="CR9" s="82" t="n">
        <v>2.4</v>
      </c>
      <c r="CS9" s="84" t="n">
        <f aca="false">CQ9/(CR9*IF(OR(RIGHT(A9,2)="Q1",C9=365),sib_portwin,1))</f>
        <v>0.526581476133242</v>
      </c>
      <c r="CT9" s="87" t="n">
        <f aca="false">(AK9+AJ9+Z9-CP9)*sib_pacship*365/(sib_dwt*0.9*sib_voy)</f>
        <v>5.8139612192793</v>
      </c>
      <c r="CU9" s="84" t="n">
        <f aca="false">CT9/sib_ships</f>
        <v>0.145349030481982</v>
      </c>
      <c r="CV9" s="88" t="n">
        <f aca="false">CV8+(AB9+Z9)*C9+AA9</f>
        <v>56900</v>
      </c>
      <c r="CW9" s="87" t="n">
        <f aca="false">IF(C9=365,sib_surge/sib_mtrain/sib_surge_d,0)</f>
        <v>0</v>
      </c>
      <c r="CX9" s="81" t="n">
        <f aca="false">(CC9&gt;sib_util_max)+(CH9&gt;1)+(CN9&gt;1)+(CS9&gt;sib_util_max)+(CU9&gt;1)+(CV9&lt;0)+(CW9&gt;0)*(CE9&lt;CW9)</f>
        <v>0</v>
      </c>
      <c r="CY9" s="1" t="str">
        <f aca="false">IF(CX9=0,"OK","Check")</f>
        <v>OK</v>
      </c>
      <c r="CZ9" s="83" t="n">
        <v>2</v>
      </c>
      <c r="DA9" s="82" t="n">
        <v>6</v>
      </c>
      <c r="DB9" s="82" t="n">
        <v>1.5</v>
      </c>
      <c r="DC9" s="84" t="n">
        <f aca="false">INDEX(Paths!$B$6:$B$92,MATCH(B9,Paths!$A$6:$A$92,0))*sib_cost</f>
        <v>1.83</v>
      </c>
      <c r="DD9" s="87" t="n">
        <f aca="false">L9*sib_c_pac/1000*C9/365*DC9</f>
        <v>8.30368767123288</v>
      </c>
      <c r="DE9" s="87" t="n">
        <f aca="false">K9*sib_c_cz/1000*C9/365*DC9</f>
        <v>13.687397260274</v>
      </c>
      <c r="DF9" s="87" t="n">
        <f aca="false">J9*sib_c_sib/1000*C9/365*DC9</f>
        <v>3.64997260273973</v>
      </c>
      <c r="DG9" s="87" t="n">
        <f aca="false">((MAX(0,T9-CP9)+V9+AB9+Z9+AA9/C9)*sib_pst_w+Q9*sib_loc_kg*sib_pst_e)*C9*sib_c_store/1000000*DC9</f>
        <v>22.42072011375</v>
      </c>
      <c r="DH9" s="87" t="n">
        <f aca="false">((AW9*sib_c_loco+CJ9*sib_c_wag+MAX(0,AZ9-AZ8)*sib_loco0*sib_c_rep+CZ9*sib_c_arm)/1000000+DA9)*DC9</f>
        <v>22.97748</v>
      </c>
      <c r="DI9" s="87" t="n">
        <f aca="false">2*(sib_L1*(BS9+AT9)+sib_L2*(BT9+AT9)+sib_L3a*(BU9+AU9)+sib_L3b*(BV9+AU9)+sib_L4*(BW9+AU9))*C9*sib_c_tkm*sib_prail/1000000*DC9</f>
        <v>6.0141894291836</v>
      </c>
      <c r="DJ9" s="87" t="n">
        <f aca="false">CT9*sib_c_ship*C9/365*DC9</f>
        <v>1.19366995296154</v>
      </c>
      <c r="DK9" s="87" t="n">
        <f aca="false">DB9*DC9</f>
        <v>2.745</v>
      </c>
      <c r="DL9" s="87" t="n">
        <f aca="false">AA9*sib_c_kara/1000000*DC9</f>
        <v>0</v>
      </c>
      <c r="DM9" s="87" t="n">
        <f aca="false">(AC9*sib_c_ref/1000*C9/365+AH9*C9*sib_c_grain/1000000)*DC9</f>
        <v>3.23466267722979</v>
      </c>
      <c r="DN9" s="87" t="n">
        <f aca="false">Z9*C9*sib_c_amur/1000000*DC9</f>
        <v>0.439200000000001</v>
      </c>
      <c r="DO9" s="87" t="n">
        <f aca="false">sib_fed*sib_c_fed/1000000*C9/365*DC9</f>
        <v>0.684369863013699</v>
      </c>
      <c r="DP9" s="87" t="n">
        <f aca="false">SUM(DD9:DO9)</f>
        <v>85.3503495703852</v>
      </c>
    </row>
    <row r="10" customFormat="false" ht="13.8" hidden="false" customHeight="false" outlineLevel="0" collapsed="false">
      <c r="A10" s="1" t="s">
        <v>1774</v>
      </c>
      <c r="B10" s="81" t="n">
        <v>1919</v>
      </c>
      <c r="C10" s="81" t="n">
        <v>92</v>
      </c>
      <c r="D10" s="1" t="s">
        <v>1775</v>
      </c>
      <c r="E10" s="82" t="n">
        <v>0</v>
      </c>
      <c r="F10" s="83" t="n">
        <v>0</v>
      </c>
      <c r="G10" s="84" t="n">
        <f aca="false">1-E10*IF(F10=1,sib_winter,1)</f>
        <v>1</v>
      </c>
      <c r="H10" s="83" t="n">
        <v>105</v>
      </c>
      <c r="I10" s="83" t="n">
        <v>55</v>
      </c>
      <c r="J10" s="83" t="n">
        <v>95</v>
      </c>
      <c r="K10" s="83" t="n">
        <v>48</v>
      </c>
      <c r="L10" s="83" t="n">
        <v>18</v>
      </c>
      <c r="M10" s="81" t="n">
        <f aca="false">SUM(H10:L10)</f>
        <v>321</v>
      </c>
      <c r="N10" s="82" t="n">
        <v>0.5</v>
      </c>
      <c r="O10" s="82" t="n">
        <v>0.45</v>
      </c>
      <c r="P10" s="81" t="n">
        <f aca="false">H10*N10+I10*O10+J10*sib_sw+K10+L10*sib_pw</f>
        <v>230.8</v>
      </c>
      <c r="Q10" s="81" t="n">
        <f aca="false">M10-P10</f>
        <v>90.2</v>
      </c>
      <c r="R10" s="82" t="n">
        <v>0.35</v>
      </c>
      <c r="S10" s="85" t="n">
        <v>3.5</v>
      </c>
      <c r="T10" s="81" t="n">
        <f aca="false">P10*(R10*S10*sib_ammo+(1-R10)*sib_loc_kg)</f>
        <v>507.76</v>
      </c>
      <c r="U10" s="81" t="n">
        <f aca="false">H10*N10*sib_jp_kg</f>
        <v>47.25</v>
      </c>
      <c r="V10" s="83" t="n">
        <v>300</v>
      </c>
      <c r="W10" s="83" t="n">
        <v>250</v>
      </c>
      <c r="X10" s="83" t="n">
        <v>300</v>
      </c>
      <c r="Y10" s="83" t="n">
        <v>326.086956521739</v>
      </c>
      <c r="Z10" s="81" t="n">
        <f aca="false">Y10*sib_amur</f>
        <v>326.086956521739</v>
      </c>
      <c r="AA10" s="86" t="n">
        <v>15000</v>
      </c>
      <c r="AB10" s="83" t="n">
        <v>600</v>
      </c>
      <c r="AC10" s="83" t="n">
        <v>350</v>
      </c>
      <c r="AD10" s="82" t="n">
        <v>0.7</v>
      </c>
      <c r="AE10" s="81" t="n">
        <f aca="false">(J10*sib_sw+K10+L10*sib_pw)*sib_bread+P10*sib_horses*sib_oats+AC10*sib_relief_kg</f>
        <v>572.845</v>
      </c>
      <c r="AF10" s="81" t="n">
        <f aca="false">sib_surplus*AD10*sib_harvest*1000000/365*sib_callmax</f>
        <v>575.342465753425</v>
      </c>
      <c r="AG10" s="81" t="n">
        <f aca="false">MAX(0,AE10-AF10)</f>
        <v>0</v>
      </c>
      <c r="AH10" s="81" t="n">
        <f aca="false">AE10-AG10</f>
        <v>572.845</v>
      </c>
      <c r="AI10" s="81" t="n">
        <f aca="false">I10*O10*sib_cn_kg</f>
        <v>19.8</v>
      </c>
      <c r="AJ10" s="81" t="n">
        <f aca="false">Q10*sib_loc_kg+H10*(1-N10)*sib_jp_kg</f>
        <v>182.55</v>
      </c>
      <c r="AK10" s="81" t="n">
        <f aca="false">T10+U10+V10+W10+X10+AB10</f>
        <v>2005.01</v>
      </c>
      <c r="AL10" s="81" t="n">
        <f aca="false">AI10+AG10</f>
        <v>19.8</v>
      </c>
      <c r="AM10" s="81" t="n">
        <f aca="false">AK10+AJ10</f>
        <v>2187.56</v>
      </c>
      <c r="AN10" s="81" t="n">
        <f aca="false">AK10+AL10+sib_e2*AJ10</f>
        <v>2134.34</v>
      </c>
      <c r="AO10" s="81" t="n">
        <f aca="false">AK10+AL10+sib_e3*AJ10</f>
        <v>2079.575</v>
      </c>
      <c r="AP10" s="81" t="n">
        <f aca="false">AK10+AL10+Z10</f>
        <v>2350.89695652174</v>
      </c>
      <c r="AQ10" s="81" t="n">
        <f aca="false">AK10+AL10+Z10</f>
        <v>2350.89695652174</v>
      </c>
      <c r="AR10" s="81" t="n">
        <f aca="false">H10+I10+L10</f>
        <v>178</v>
      </c>
      <c r="AS10" s="81" t="n">
        <f aca="false">H10*N10+I10*O10+L10*sib_pw</f>
        <v>92.55</v>
      </c>
      <c r="AT10" s="87" t="n">
        <f aca="false">(MAX(0,AR10-AR9)+AR10*sib_rot*C10/365)*1000/sib_mtrain/C10</f>
        <v>0.371133611276554</v>
      </c>
      <c r="AU10" s="87" t="n">
        <f aca="false">(MAX(0,AS10-AS9)+AS10*sib_rot*C10/365)*1000/sib_mtrain/C10</f>
        <v>0.28259843822381</v>
      </c>
      <c r="AV10" s="83" t="n">
        <v>0</v>
      </c>
      <c r="AW10" s="83" t="n">
        <v>0</v>
      </c>
      <c r="AX10" s="81" t="n">
        <f aca="false">(SUM(AV$6:AV10)+SUM(AW$6:AW10))*0.9</f>
        <v>855</v>
      </c>
      <c r="AY10" s="82" t="n">
        <v>0.68</v>
      </c>
      <c r="AZ10" s="84" t="n">
        <f aca="false">1-(1-AY10)*sib_sick</f>
        <v>0.68</v>
      </c>
      <c r="BA10" s="81" t="n">
        <f aca="false">sib_loco0*AZ10+AX10</f>
        <v>1739</v>
      </c>
      <c r="BB10" s="84" t="n">
        <f aca="false">AX10/BA10</f>
        <v>0.491661874640598</v>
      </c>
      <c r="BC10" s="83" t="n">
        <v>18</v>
      </c>
      <c r="BD10" s="83" t="n">
        <v>14</v>
      </c>
      <c r="BE10" s="83" t="n">
        <v>14</v>
      </c>
      <c r="BF10" s="83" t="n">
        <v>20</v>
      </c>
      <c r="BG10" s="83" t="n">
        <v>20</v>
      </c>
      <c r="BH10" s="87" t="n">
        <f aca="false">BC$6+(BC10-BC$6)*sib_works</f>
        <v>18</v>
      </c>
      <c r="BI10" s="87" t="n">
        <f aca="false">BD$6+(BD10-BD$6)*sib_works</f>
        <v>14</v>
      </c>
      <c r="BJ10" s="87" t="n">
        <f aca="false">BE$6+(BE10-BE$6)*sib_works</f>
        <v>14</v>
      </c>
      <c r="BK10" s="87" t="n">
        <f aca="false">BF$6+(BF10-BF$6)*sib_works</f>
        <v>20</v>
      </c>
      <c r="BL10" s="87" t="n">
        <f aca="false">BG$6+(BG10-BG$6)*sib_works</f>
        <v>20</v>
      </c>
      <c r="BM10" s="83" t="n">
        <v>0</v>
      </c>
      <c r="BN10" s="87" t="n">
        <f aca="false">(BH10*G10-sib_pass)*(1-sib_civ)*(1-sib_fuel-BM10*sib_strike)-AT10</f>
        <v>9.93286638872345</v>
      </c>
      <c r="BO10" s="87" t="n">
        <f aca="false">(BI10*G10-sib_pass)*(1-sib_civ)*(1-sib_fuel-BM10*sib_strike)-AT10</f>
        <v>7.35686638872345</v>
      </c>
      <c r="BP10" s="87" t="n">
        <f aca="false">(BJ10*G10-sib_pass)*(1-sib_civ)*(1-sib_fuel-BM10*sib_strike)-AU10</f>
        <v>7.44540156177619</v>
      </c>
      <c r="BQ10" s="87" t="n">
        <f aca="false">(BK10*G10-sib_pass)*(1-sib_civ)*(1-sib_fuel-BM10*sib_strike)-AU10</f>
        <v>11.3094015617762</v>
      </c>
      <c r="BR10" s="87" t="n">
        <f aca="false">(BL10*G10-sib_pass)*(1-sib_civ)*(1-sib_fuel-BM10*sib_strike)-AU10</f>
        <v>11.3094015617762</v>
      </c>
      <c r="BS10" s="87" t="n">
        <f aca="false">AM10/(sib_net1*(1+sib_decup*BB10))</f>
        <v>3.5892091066054</v>
      </c>
      <c r="BT10" s="87" t="n">
        <f aca="false">AN10/(sib_net2*(1+sib_decup*BB10))</f>
        <v>4.33567224451414</v>
      </c>
      <c r="BU10" s="87" t="n">
        <f aca="false">AO10/(sib_net3a*(1+sib_decup*BB10))</f>
        <v>3.94279507202529</v>
      </c>
      <c r="BV10" s="87" t="n">
        <f aca="false">AP10/(sib_net3b*(1+sib_decup*BB10))</f>
        <v>5.27827639472884</v>
      </c>
      <c r="BW10" s="87" t="n">
        <f aca="false">AQ10/(sib_net4*(1+sib_decup*BB10))</f>
        <v>4.17863547916033</v>
      </c>
      <c r="BX10" s="84" t="n">
        <f aca="false">BS10/BN10</f>
        <v>0.361346761965926</v>
      </c>
      <c r="BY10" s="84" t="n">
        <f aca="false">BT10/BO10</f>
        <v>0.58933682024725</v>
      </c>
      <c r="BZ10" s="84" t="n">
        <f aca="false">BU10/BP10</f>
        <v>0.52956110416759</v>
      </c>
      <c r="CA10" s="84" t="n">
        <f aca="false">BV10/BQ10</f>
        <v>0.466715799761545</v>
      </c>
      <c r="CB10" s="84" t="n">
        <f aca="false">BW10/BR10</f>
        <v>0.36948334147789</v>
      </c>
      <c r="CC10" s="84" t="n">
        <f aca="false">MAX(BX10:CB10)</f>
        <v>0.58933682024725</v>
      </c>
      <c r="CD10" s="1" t="str">
        <f aca="false">CHOOSE(MATCH(CC10,BX10:CB10,0),"Vladivostok-Harbin","Harbin-Manzhouli","Manzhouli-Kitaisky (branch)","Kitaisky-Irkutsk","Irkutsk-Ob")</f>
        <v>Harbin-Manzhouli</v>
      </c>
      <c r="CE10" s="87" t="n">
        <f aca="false">MIN(BN10-BS10,BO10-BT10,BP10-BU10,BQ10-BV10,BR10-BW10)</f>
        <v>3.0211941442093</v>
      </c>
      <c r="CF10" s="88"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f>
        <v>105945.924714876</v>
      </c>
      <c r="CG10" s="81" t="n">
        <f aca="false">CF10/sib_kmloco*sib_helper</f>
        <v>827.702536834965</v>
      </c>
      <c r="CH10" s="84" t="n">
        <f aca="false">CG10/BA10</f>
        <v>0.475964656029307</v>
      </c>
      <c r="CI10" s="86" t="n">
        <v>0</v>
      </c>
      <c r="CJ10" s="86" t="n">
        <v>0</v>
      </c>
      <c r="CK10" s="86" t="n">
        <v>0</v>
      </c>
      <c r="CL10" s="88" t="n">
        <f aca="false">(sib_wag0+SUM(CI$6:CI10)+SUM(CJ$6:CJ10))*sib_wserv*(1-sib_civ)</f>
        <v>27370</v>
      </c>
      <c r="CM10" s="88"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f>
        <v>11692.484654168</v>
      </c>
      <c r="CN10" s="84" t="n">
        <f aca="false">CM10/CL10</f>
        <v>0.427200754627989</v>
      </c>
      <c r="CO10" s="83" t="n">
        <v>0</v>
      </c>
      <c r="CP10" s="81" t="n">
        <f aca="false">MIN(CO10,AK10+AJ10)</f>
        <v>0</v>
      </c>
      <c r="CQ10" s="84" t="n">
        <f aca="false">(AK10+AJ10+Z10-CP10)*365/1000000+sib_civport</f>
        <v>1.71748113913043</v>
      </c>
      <c r="CR10" s="82" t="n">
        <v>2.6</v>
      </c>
      <c r="CS10" s="84" t="n">
        <f aca="false">CQ10/(CR10*IF(OR(RIGHT(A10,2)="Q1",C10=365),sib_portwin,1))</f>
        <v>0.660569668896321</v>
      </c>
      <c r="CT10" s="87" t="n">
        <f aca="false">(AK10+AJ10+Z10-CP10)*sib_pacship*365/(sib_dwt*0.9*sib_voy)</f>
        <v>11.5011880688715</v>
      </c>
      <c r="CU10" s="84" t="n">
        <f aca="false">CT10/sib_ships</f>
        <v>0.287529701721789</v>
      </c>
      <c r="CV10" s="88" t="n">
        <f aca="false">CV9+(AB10+Z10)*C10+AA10</f>
        <v>157100</v>
      </c>
      <c r="CW10" s="87" t="n">
        <f aca="false">IF(C10=365,sib_surge/sib_mtrain/sib_surge_d,0)</f>
        <v>0</v>
      </c>
      <c r="CX10" s="81" t="n">
        <f aca="false">(CC10&gt;sib_util_max)+(CH10&gt;1)+(CN10&gt;1)+(CS10&gt;sib_util_max)+(CU10&gt;1)+(CV10&lt;0)+(CW10&gt;0)*(CE10&lt;CW10)</f>
        <v>0</v>
      </c>
      <c r="CY10" s="1" t="str">
        <f aca="false">IF(CX10=0,"OK","Check")</f>
        <v>OK</v>
      </c>
      <c r="CZ10" s="83" t="n">
        <v>2</v>
      </c>
      <c r="DA10" s="82" t="n">
        <v>5</v>
      </c>
      <c r="DB10" s="82" t="n">
        <v>1.5</v>
      </c>
      <c r="DC10" s="84" t="n">
        <f aca="false">INDEX(Paths!$B$6:$B$92,MATCH(B10,Paths!$A$6:$A$92,0))*sib_cost</f>
        <v>1.83</v>
      </c>
      <c r="DD10" s="87" t="n">
        <f aca="false">L10*sib_c_pac/1000*C10/365*DC10</f>
        <v>10.7934904109589</v>
      </c>
      <c r="DE10" s="87" t="n">
        <f aca="false">K10*sib_c_cz/1000*C10/365*DC10</f>
        <v>13.284295890411</v>
      </c>
      <c r="DF10" s="87" t="n">
        <f aca="false">J10*sib_c_sib/1000*C10/365*DC10</f>
        <v>4.38197260273973</v>
      </c>
      <c r="DG10" s="87" t="n">
        <f aca="false">((MAX(0,T10-CP10)+V10+AB10+Z10+AA10/C10)*sib_pst_w+Q10*sib_loc_kg*sib_pst_e)*C10*sib_c_store/1000000*DC10</f>
        <v>67.862968236</v>
      </c>
      <c r="DH10" s="87" t="n">
        <f aca="false">((AW10*sib_c_loco+CJ10*sib_c_wag+MAX(0,AZ10-AZ9)*sib_loco0*sib_c_rep+CZ10*sib_c_arm)/1000000+DA10)*DC10</f>
        <v>11.10444</v>
      </c>
      <c r="DI10" s="87" t="n">
        <f aca="false">2*(sib_L1*(BS10+AT10)+sib_L2*(BT10+AT10)+sib_L3a*(BU10+AU10)+sib_L3b*(BV10+AU10)+sib_L4*(BW10+AU10))*C10*sib_c_tkm*sib_prail/1000000*DC10</f>
        <v>7.8710740182011</v>
      </c>
      <c r="DJ10" s="87" t="n">
        <f aca="false">CT10*sib_c_ship*C10/365*DC10</f>
        <v>2.38726852184615</v>
      </c>
      <c r="DK10" s="87" t="n">
        <f aca="false">DB10*DC10</f>
        <v>2.745</v>
      </c>
      <c r="DL10" s="87" t="n">
        <f aca="false">AA10*sib_c_kara/1000000*DC10</f>
        <v>0.41175</v>
      </c>
      <c r="DM10" s="87" t="n">
        <f aca="false">(AC10*sib_c_ref/1000*C10/365+AH10*C10*sib_c_grain/1000000)*DC10</f>
        <v>3.80748702300822</v>
      </c>
      <c r="DN10" s="87" t="n">
        <f aca="false">Z10*C10*sib_c_amur/1000000*DC10</f>
        <v>0.6588</v>
      </c>
      <c r="DO10" s="87" t="n">
        <f aca="false">sib_fed*sib_c_fed/1000000*C10/365*DC10</f>
        <v>0.691890410958904</v>
      </c>
      <c r="DP10" s="87" t="n">
        <f aca="false">SUM(DD10:DO10)</f>
        <v>126.000437114124</v>
      </c>
    </row>
    <row r="11" customFormat="false" ht="13.8" hidden="false" customHeight="false" outlineLevel="0" collapsed="false">
      <c r="A11" s="1" t="s">
        <v>1776</v>
      </c>
      <c r="B11" s="81" t="n">
        <v>1919</v>
      </c>
      <c r="C11" s="81" t="n">
        <v>92</v>
      </c>
      <c r="D11" s="1" t="s">
        <v>1777</v>
      </c>
      <c r="E11" s="82" t="n">
        <v>0.15</v>
      </c>
      <c r="F11" s="83" t="n">
        <v>1</v>
      </c>
      <c r="G11" s="84" t="n">
        <f aca="false">1-E11*IF(F11=1,sib_winter,1)</f>
        <v>0.85</v>
      </c>
      <c r="H11" s="83" t="n">
        <v>120</v>
      </c>
      <c r="I11" s="83" t="n">
        <v>60</v>
      </c>
      <c r="J11" s="83" t="n">
        <v>100</v>
      </c>
      <c r="K11" s="83" t="n">
        <v>45</v>
      </c>
      <c r="L11" s="83" t="n">
        <v>24</v>
      </c>
      <c r="M11" s="81" t="n">
        <f aca="false">SUM(H11:L11)</f>
        <v>349</v>
      </c>
      <c r="N11" s="82" t="n">
        <v>0.6</v>
      </c>
      <c r="O11" s="82" t="n">
        <v>0.5</v>
      </c>
      <c r="P11" s="81" t="n">
        <f aca="false">H11*N11+I11*O11+J11*sib_sw+K11+L11*sib_pw</f>
        <v>262.4</v>
      </c>
      <c r="Q11" s="81" t="n">
        <f aca="false">M11-P11</f>
        <v>86.6</v>
      </c>
      <c r="R11" s="82" t="n">
        <v>0.55</v>
      </c>
      <c r="S11" s="85" t="n">
        <v>6</v>
      </c>
      <c r="T11" s="81" t="n">
        <f aca="false">P11*(R11*S11*sib_ammo+(1-R11)*sib_loc_kg)</f>
        <v>1043.04</v>
      </c>
      <c r="U11" s="81" t="n">
        <f aca="false">H11*N11*sib_jp_kg</f>
        <v>64.8</v>
      </c>
      <c r="V11" s="83" t="n">
        <v>400</v>
      </c>
      <c r="W11" s="83" t="n">
        <v>150</v>
      </c>
      <c r="X11" s="83" t="n">
        <v>100</v>
      </c>
      <c r="Y11" s="83" t="n">
        <v>0</v>
      </c>
      <c r="Z11" s="81" t="n">
        <f aca="false">Y11*sib_amur</f>
        <v>0</v>
      </c>
      <c r="AA11" s="86" t="n">
        <v>0</v>
      </c>
      <c r="AB11" s="83" t="n">
        <v>-420</v>
      </c>
      <c r="AC11" s="83" t="n">
        <v>600</v>
      </c>
      <c r="AD11" s="82" t="n">
        <v>0.7</v>
      </c>
      <c r="AE11" s="81" t="n">
        <f aca="false">(J11*sib_sw+K11+L11*sib_pw)*sib_bread+P11*sib_horses*sib_oats+AC11*sib_relief_kg</f>
        <v>739.56</v>
      </c>
      <c r="AF11" s="81" t="n">
        <f aca="false">sib_surplus*AD11*sib_harvest*1000000/365*sib_callmax</f>
        <v>575.342465753425</v>
      </c>
      <c r="AG11" s="81" t="n">
        <f aca="false">MAX(0,AE11-AF11)</f>
        <v>164.217534246575</v>
      </c>
      <c r="AH11" s="81" t="n">
        <f aca="false">AE11-AG11</f>
        <v>575.342465753425</v>
      </c>
      <c r="AI11" s="81" t="n">
        <f aca="false">I11*O11*sib_cn_kg</f>
        <v>24</v>
      </c>
      <c r="AJ11" s="81" t="n">
        <f aca="false">Q11*sib_loc_kg+H11*(1-N11)*sib_jp_kg</f>
        <v>173.1</v>
      </c>
      <c r="AK11" s="81" t="n">
        <f aca="false">T11+U11+V11+W11+X11+AB11</f>
        <v>1337.84</v>
      </c>
      <c r="AL11" s="81" t="n">
        <f aca="false">AI11+AG11</f>
        <v>188.217534246575</v>
      </c>
      <c r="AM11" s="81" t="n">
        <f aca="false">AK11+AJ11</f>
        <v>1510.94</v>
      </c>
      <c r="AN11" s="81" t="n">
        <f aca="false">AK11+AL11+sib_e2*AJ11</f>
        <v>1629.91753424658</v>
      </c>
      <c r="AO11" s="81" t="n">
        <f aca="false">AK11+AL11+sib_e3*AJ11</f>
        <v>1577.98753424658</v>
      </c>
      <c r="AP11" s="81" t="n">
        <f aca="false">AK11+AL11+Z11</f>
        <v>1526.05753424658</v>
      </c>
      <c r="AQ11" s="81" t="n">
        <f aca="false">AK11+AL11+Z11</f>
        <v>1526.05753424658</v>
      </c>
      <c r="AR11" s="81" t="n">
        <f aca="false">H11+I11+L11</f>
        <v>204</v>
      </c>
      <c r="AS11" s="81" t="n">
        <f aca="false">H11*N11+I11*O11+L11*sib_pw</f>
        <v>122.4</v>
      </c>
      <c r="AT11" s="87" t="n">
        <f aca="false">(MAX(0,AR11-AR10)+AR11*sib_rot*C11/365)*1000/sib_mtrain/C11</f>
        <v>0.407160346767256</v>
      </c>
      <c r="AU11" s="87" t="n">
        <f aca="false">(MAX(0,AS11-AS10)+AS11*sib_rot*C11/365)*1000/sib_mtrain/C11</f>
        <v>0.416397657335716</v>
      </c>
      <c r="AV11" s="83" t="n">
        <v>0</v>
      </c>
      <c r="AW11" s="83" t="n">
        <v>0</v>
      </c>
      <c r="AX11" s="81" t="n">
        <f aca="false">(SUM(AV$6:AV11)+SUM(AW$6:AW11))*0.9</f>
        <v>855</v>
      </c>
      <c r="AY11" s="82" t="n">
        <v>0.7</v>
      </c>
      <c r="AZ11" s="84" t="n">
        <f aca="false">1-(1-AY11)*sib_sick</f>
        <v>0.7</v>
      </c>
      <c r="BA11" s="81" t="n">
        <f aca="false">sib_loco0*AZ11+AX11</f>
        <v>1765</v>
      </c>
      <c r="BB11" s="84" t="n">
        <f aca="false">AX11/BA11</f>
        <v>0.484419263456091</v>
      </c>
      <c r="BC11" s="83" t="n">
        <v>18</v>
      </c>
      <c r="BD11" s="83" t="n">
        <v>15</v>
      </c>
      <c r="BE11" s="83" t="n">
        <v>15</v>
      </c>
      <c r="BF11" s="83" t="n">
        <v>22</v>
      </c>
      <c r="BG11" s="83" t="n">
        <v>22</v>
      </c>
      <c r="BH11" s="87" t="n">
        <f aca="false">BC$6+(BC11-BC$6)*sib_works</f>
        <v>18</v>
      </c>
      <c r="BI11" s="87" t="n">
        <f aca="false">BD$6+(BD11-BD$6)*sib_works</f>
        <v>15</v>
      </c>
      <c r="BJ11" s="87" t="n">
        <f aca="false">BE$6+(BE11-BE$6)*sib_works</f>
        <v>15</v>
      </c>
      <c r="BK11" s="87" t="n">
        <f aca="false">BF$6+(BF11-BF$6)*sib_works</f>
        <v>22</v>
      </c>
      <c r="BL11" s="87" t="n">
        <f aca="false">BG$6+(BG11-BG$6)*sib_works</f>
        <v>22</v>
      </c>
      <c r="BM11" s="83" t="n">
        <v>1</v>
      </c>
      <c r="BN11" s="87" t="n">
        <f aca="false">(BH11*G11-sib_pass)*(1-sib_civ)*(1-sib_fuel-BM11*sib_strike)-AT11</f>
        <v>8.15803965323274</v>
      </c>
      <c r="BO11" s="87" t="n">
        <f aca="false">(BI11*G11-sib_pass)*(1-sib_civ)*(1-sib_fuel-BM11*sib_strike)-AT11</f>
        <v>6.51583965323274</v>
      </c>
      <c r="BP11" s="87" t="n">
        <f aca="false">(BJ11*G11-sib_pass)*(1-sib_civ)*(1-sib_fuel-BM11*sib_strike)-AU11</f>
        <v>6.50660234266428</v>
      </c>
      <c r="BQ11" s="87" t="n">
        <f aca="false">(BK11*G11-sib_pass)*(1-sib_civ)*(1-sib_fuel-BM11*sib_strike)-AU11</f>
        <v>10.3384023426643</v>
      </c>
      <c r="BR11" s="87" t="n">
        <f aca="false">(BL11*G11-sib_pass)*(1-sib_civ)*(1-sib_fuel-BM11*sib_strike)-AU11</f>
        <v>10.3384023426643</v>
      </c>
      <c r="BS11" s="87" t="n">
        <f aca="false">AM11/(sib_net1*(1+sib_decup*BB11))</f>
        <v>2.48442729246048</v>
      </c>
      <c r="BT11" s="87" t="n">
        <f aca="false">AN11/(sib_net2*(1+sib_decup*BB11))</f>
        <v>3.31817095791185</v>
      </c>
      <c r="BU11" s="87" t="n">
        <f aca="false">AO11/(sib_net3a*(1+sib_decup*BB11))</f>
        <v>2.99828885707234</v>
      </c>
      <c r="BV11" s="87" t="n">
        <f aca="false">AP11/(sib_net3b*(1+sib_decup*BB11))</f>
        <v>3.43375833958454</v>
      </c>
      <c r="BW11" s="87" t="n">
        <f aca="false">AQ11/(sib_net4*(1+sib_decup*BB11))</f>
        <v>2.71839201883776</v>
      </c>
      <c r="BX11" s="84" t="n">
        <f aca="false">BS11/BN11</f>
        <v>0.304537290582546</v>
      </c>
      <c r="BY11" s="84" t="n">
        <f aca="false">BT11/BO11</f>
        <v>0.50924687139371</v>
      </c>
      <c r="BZ11" s="84" t="n">
        <f aca="false">BU11/BP11</f>
        <v>0.460807146213981</v>
      </c>
      <c r="CA11" s="84" t="n">
        <f aca="false">BV11/BQ11</f>
        <v>0.33213626494436</v>
      </c>
      <c r="CB11" s="84" t="n">
        <f aca="false">BW11/BR11</f>
        <v>0.262941209747618</v>
      </c>
      <c r="CC11" s="84" t="n">
        <f aca="false">MAX(BX11:CB11)</f>
        <v>0.50924687139371</v>
      </c>
      <c r="CD11" s="1" t="str">
        <f aca="false">CHOOSE(MATCH(CC11,BX11:CB11,0),"Vladivostok-Harbin","Harbin-Manzhouli","Manzhouli-Kitaisky (branch)","Kitaisky-Irkutsk","Irkutsk-Ob")</f>
        <v>Harbin-Manzhouli</v>
      </c>
      <c r="CE11" s="87" t="n">
        <f aca="false">MIN(BN11-BS11,BO11-BT11,BP11-BU11,BQ11-BV11,BR11-BW11)</f>
        <v>3.19766869532089</v>
      </c>
      <c r="CF11" s="88"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f>
        <v>89824.6609017727</v>
      </c>
      <c r="CG11" s="81" t="n">
        <f aca="false">CF11/sib_kmloco*sib_helper</f>
        <v>701.755163295099</v>
      </c>
      <c r="CH11" s="84" t="n">
        <f aca="false">CG11/BA11</f>
        <v>0.397594993368328</v>
      </c>
      <c r="CI11" s="86" t="n">
        <v>0</v>
      </c>
      <c r="CJ11" s="86" t="n">
        <v>0</v>
      </c>
      <c r="CK11" s="86" t="n">
        <v>3000</v>
      </c>
      <c r="CL11" s="88" t="n">
        <f aca="false">(sib_wag0+SUM(CI$6:CI11)+SUM(CJ$6:CJ11))*sib_wserv*(1-sib_civ)</f>
        <v>27370</v>
      </c>
      <c r="CM11" s="88"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f>
        <v>12037.4106643108</v>
      </c>
      <c r="CN11" s="84" t="n">
        <f aca="false">CM11/CL11</f>
        <v>0.439803093325202</v>
      </c>
      <c r="CO11" s="83" t="n">
        <v>0</v>
      </c>
      <c r="CP11" s="81" t="n">
        <f aca="false">MIN(CO11,AK11+AJ11)</f>
        <v>0</v>
      </c>
      <c r="CQ11" s="84" t="n">
        <f aca="false">(AK11+AJ11+Z11-CP11)*365/1000000+sib_civport</f>
        <v>1.3514931</v>
      </c>
      <c r="CR11" s="82" t="n">
        <v>2.8</v>
      </c>
      <c r="CS11" s="84" t="n">
        <f aca="false">CQ11/(CR11*IF(OR(RIGHT(A11,2)="Q1",C11=365),sib_portwin,1))</f>
        <v>0.482676107142857</v>
      </c>
      <c r="CT11" s="87" t="n">
        <f aca="false">(AK11+AJ11+Z11-CP11)*sib_pacship*365/(sib_dwt*0.9*sib_voy)</f>
        <v>6.91330381766382</v>
      </c>
      <c r="CU11" s="84" t="n">
        <f aca="false">CT11/sib_ships</f>
        <v>0.172832595441595</v>
      </c>
      <c r="CV11" s="88" t="n">
        <f aca="false">CV10+(AB11+Z11)*C11+AA11</f>
        <v>118460</v>
      </c>
      <c r="CW11" s="87" t="n">
        <f aca="false">IF(C11=365,sib_surge/sib_mtrain/sib_surge_d,0)</f>
        <v>0</v>
      </c>
      <c r="CX11" s="81" t="n">
        <f aca="false">(CC11&gt;sib_util_max)+(CH11&gt;1)+(CN11&gt;1)+(CS11&gt;sib_util_max)+(CU11&gt;1)+(CV11&lt;0)+(CW11&gt;0)*(CE11&lt;CW11)</f>
        <v>0</v>
      </c>
      <c r="CY11" s="1" t="str">
        <f aca="false">IF(CX11=0,"OK","Check")</f>
        <v>OK</v>
      </c>
      <c r="CZ11" s="83" t="n">
        <v>0</v>
      </c>
      <c r="DA11" s="82" t="n">
        <v>3</v>
      </c>
      <c r="DB11" s="82" t="n">
        <v>2</v>
      </c>
      <c r="DC11" s="84" t="n">
        <f aca="false">INDEX(Paths!$B$6:$B$92,MATCH(B11,Paths!$A$6:$A$92,0))*sib_cost</f>
        <v>1.83</v>
      </c>
      <c r="DD11" s="87" t="n">
        <f aca="false">L11*sib_c_pac/1000*C11/365*DC11</f>
        <v>14.3913205479452</v>
      </c>
      <c r="DE11" s="87" t="n">
        <f aca="false">K11*sib_c_cz/1000*C11/365*DC11</f>
        <v>12.4540273972603</v>
      </c>
      <c r="DF11" s="87" t="n">
        <f aca="false">J11*sib_c_sib/1000*C11/365*DC11</f>
        <v>4.61260273972603</v>
      </c>
      <c r="DG11" s="87" t="n">
        <f aca="false">((MAX(0,T11-CP11)+V11+AB11+Z11+AA11/C11)*sib_pst_w+Q11*sib_loc_kg*sib_pst_e)*C11*sib_c_store/1000000*DC11</f>
        <v>36.935641764</v>
      </c>
      <c r="DH11" s="87" t="n">
        <f aca="false">((AW11*sib_c_loco+CJ11*sib_c_wag+MAX(0,AZ11-AZ10)*sib_loco0*sib_c_rep+CZ11*sib_c_arm)/1000000+DA11)*DC11</f>
        <v>5.77548</v>
      </c>
      <c r="DI11" s="87" t="n">
        <f aca="false">2*(sib_L1*(BS11+AT11)+sib_L2*(BT11+AT11)+sib_L3a*(BU11+AU11)+sib_L3b*(BV11+AU11)+sib_L4*(BW11+AU11))*C11*sib_c_tkm*sib_prail/1000000*DC11</f>
        <v>5.73200239165471</v>
      </c>
      <c r="DJ11" s="87" t="n">
        <f aca="false">CT11*sib_c_ship*C11/365*DC11</f>
        <v>1.43497458584615</v>
      </c>
      <c r="DK11" s="87" t="n">
        <f aca="false">DB11*DC11</f>
        <v>3.66</v>
      </c>
      <c r="DL11" s="87" t="n">
        <f aca="false">AA11*sib_c_kara/1000000*DC11</f>
        <v>0</v>
      </c>
      <c r="DM11" s="87" t="n">
        <f aca="false">(AC11*sib_c_ref/1000*C11/365+AH11*C11*sib_c_grain/1000000)*DC11</f>
        <v>6.11631123287671</v>
      </c>
      <c r="DN11" s="87" t="n">
        <f aca="false">Z11*C11*sib_c_amur/1000000*DC11</f>
        <v>0</v>
      </c>
      <c r="DO11" s="87" t="n">
        <f aca="false">sib_fed*sib_c_fed/1000000*C11/365*DC11</f>
        <v>0.691890410958904</v>
      </c>
      <c r="DP11" s="87" t="n">
        <f aca="false">SUM(DD11:DO11)</f>
        <v>91.804251070268</v>
      </c>
    </row>
    <row r="12" customFormat="false" ht="13.8" hidden="false" customHeight="false" outlineLevel="0" collapsed="false">
      <c r="A12" s="1" t="s">
        <v>1778</v>
      </c>
      <c r="B12" s="81" t="n">
        <v>1920</v>
      </c>
      <c r="C12" s="81" t="n">
        <v>91</v>
      </c>
      <c r="D12" s="1" t="s">
        <v>1779</v>
      </c>
      <c r="E12" s="82" t="n">
        <v>0.3</v>
      </c>
      <c r="F12" s="83" t="n">
        <v>1</v>
      </c>
      <c r="G12" s="84" t="n">
        <f aca="false">1-E12*IF(F12=1,sib_winter,1)</f>
        <v>0.7</v>
      </c>
      <c r="H12" s="83" t="n">
        <v>125</v>
      </c>
      <c r="I12" s="83" t="n">
        <v>60</v>
      </c>
      <c r="J12" s="83" t="n">
        <v>110</v>
      </c>
      <c r="K12" s="83" t="n">
        <v>35</v>
      </c>
      <c r="L12" s="83" t="n">
        <v>28</v>
      </c>
      <c r="M12" s="81" t="n">
        <f aca="false">SUM(H12:L12)</f>
        <v>358</v>
      </c>
      <c r="N12" s="82" t="n">
        <v>0.65</v>
      </c>
      <c r="O12" s="82" t="n">
        <v>0.55</v>
      </c>
      <c r="P12" s="81" t="n">
        <f aca="false">H12*N12+I12*O12+J12*sib_sw+K12+L12*sib_pw</f>
        <v>277.55</v>
      </c>
      <c r="Q12" s="81" t="n">
        <f aca="false">M12-P12</f>
        <v>80.45</v>
      </c>
      <c r="R12" s="82" t="n">
        <v>0.6</v>
      </c>
      <c r="S12" s="85" t="n">
        <v>7</v>
      </c>
      <c r="T12" s="81" t="n">
        <f aca="false">P12*(R12*S12*sib_ammo+(1-R12)*sib_loc_kg)</f>
        <v>1332.24</v>
      </c>
      <c r="U12" s="81" t="n">
        <f aca="false">H12*N12*sib_jp_kg</f>
        <v>73.125</v>
      </c>
      <c r="V12" s="83" t="n">
        <v>200</v>
      </c>
      <c r="W12" s="83" t="n">
        <v>100</v>
      </c>
      <c r="X12" s="83" t="n">
        <v>0</v>
      </c>
      <c r="Y12" s="83" t="n">
        <v>0</v>
      </c>
      <c r="Z12" s="81" t="n">
        <f aca="false">Y12*sib_amur</f>
        <v>0</v>
      </c>
      <c r="AA12" s="86" t="n">
        <v>0</v>
      </c>
      <c r="AB12" s="83" t="n">
        <v>-880</v>
      </c>
      <c r="AC12" s="83" t="n">
        <v>700</v>
      </c>
      <c r="AD12" s="82" t="n">
        <v>0.75</v>
      </c>
      <c r="AE12" s="81" t="n">
        <f aca="false">(J12*sib_sw+K12+L12*sib_pw)*sib_bread+P12*sib_horses*sib_oats+AC12*sib_relief_kg</f>
        <v>809.21375</v>
      </c>
      <c r="AF12" s="81" t="n">
        <f aca="false">sib_surplus*AD12*sib_harvest*1000000/365*sib_callmax</f>
        <v>616.438356164384</v>
      </c>
      <c r="AG12" s="81" t="n">
        <f aca="false">MAX(0,AE12-AF12)</f>
        <v>192.775393835616</v>
      </c>
      <c r="AH12" s="81" t="n">
        <f aca="false">AE12-AG12</f>
        <v>616.438356164384</v>
      </c>
      <c r="AI12" s="81" t="n">
        <f aca="false">I12*O12*sib_cn_kg</f>
        <v>26.4</v>
      </c>
      <c r="AJ12" s="81" t="n">
        <f aca="false">Q12*sib_loc_kg+H12*(1-N12)*sib_jp_kg</f>
        <v>160.05</v>
      </c>
      <c r="AK12" s="81" t="n">
        <f aca="false">T12+U12+V12+W12+X12+AB12</f>
        <v>825.365</v>
      </c>
      <c r="AL12" s="81" t="n">
        <f aca="false">AI12+AG12</f>
        <v>219.175393835616</v>
      </c>
      <c r="AM12" s="81" t="n">
        <f aca="false">AK12+AJ12</f>
        <v>985.415</v>
      </c>
      <c r="AN12" s="81" t="n">
        <f aca="false">AK12+AL12+sib_e2*AJ12</f>
        <v>1140.57039383562</v>
      </c>
      <c r="AO12" s="81" t="n">
        <f aca="false">AK12+AL12+sib_e3*AJ12</f>
        <v>1092.55539383562</v>
      </c>
      <c r="AP12" s="81" t="n">
        <f aca="false">AK12+AL12+Z12</f>
        <v>1044.54039383562</v>
      </c>
      <c r="AQ12" s="81" t="n">
        <f aca="false">AK12+AL12+Z12</f>
        <v>1044.54039383562</v>
      </c>
      <c r="AR12" s="81" t="n">
        <f aca="false">H12+I12+L12</f>
        <v>213</v>
      </c>
      <c r="AS12" s="81" t="n">
        <f aca="false">H12*N12+I12*O12+L12*sib_pw</f>
        <v>138.05</v>
      </c>
      <c r="AT12" s="87" t="n">
        <f aca="false">(MAX(0,AR12-AR11)+AR12*sib_rot*C12/365)*1000/sib_mtrain/C12</f>
        <v>0.207150383862713</v>
      </c>
      <c r="AU12" s="87" t="n">
        <f aca="false">(MAX(0,AS12-AS11)+AS12*sib_rot*C12/365)*1000/sib_mtrain/C12</f>
        <v>0.254123220767056</v>
      </c>
      <c r="AV12" s="83" t="n">
        <v>0</v>
      </c>
      <c r="AW12" s="83" t="n">
        <v>0</v>
      </c>
      <c r="AX12" s="81" t="n">
        <f aca="false">(SUM(AV$6:AV12)+SUM(AW$6:AW12))*0.9</f>
        <v>855</v>
      </c>
      <c r="AY12" s="82" t="n">
        <v>0.7</v>
      </c>
      <c r="AZ12" s="84" t="n">
        <f aca="false">1-(1-AY12)*sib_sick</f>
        <v>0.7</v>
      </c>
      <c r="BA12" s="81" t="n">
        <f aca="false">sib_loco0*AZ12+AX12</f>
        <v>1765</v>
      </c>
      <c r="BB12" s="84" t="n">
        <f aca="false">AX12/BA12</f>
        <v>0.484419263456091</v>
      </c>
      <c r="BC12" s="83" t="n">
        <v>18</v>
      </c>
      <c r="BD12" s="83" t="n">
        <v>15</v>
      </c>
      <c r="BE12" s="83" t="n">
        <v>16</v>
      </c>
      <c r="BF12" s="83" t="n">
        <v>22</v>
      </c>
      <c r="BG12" s="83" t="n">
        <v>22</v>
      </c>
      <c r="BH12" s="87" t="n">
        <f aca="false">BC$6+(BC12-BC$6)*sib_works</f>
        <v>18</v>
      </c>
      <c r="BI12" s="87" t="n">
        <f aca="false">BD$6+(BD12-BD$6)*sib_works</f>
        <v>15</v>
      </c>
      <c r="BJ12" s="87" t="n">
        <f aca="false">BE$6+(BE12-BE$6)*sib_works</f>
        <v>16</v>
      </c>
      <c r="BK12" s="87" t="n">
        <f aca="false">BF$6+(BF12-BF$6)*sib_works</f>
        <v>22</v>
      </c>
      <c r="BL12" s="87" t="n">
        <f aca="false">BG$6+(BG12-BG$6)*sib_works</f>
        <v>22</v>
      </c>
      <c r="BM12" s="83" t="n">
        <v>0</v>
      </c>
      <c r="BN12" s="87" t="n">
        <f aca="false">(BH12*G12-sib_pass)*(1-sib_civ)*(1-sib_fuel-BM12*sib_strike)-AT12</f>
        <v>6.61924961613729</v>
      </c>
      <c r="BO12" s="87" t="n">
        <f aca="false">(BI12*G12-sib_pass)*(1-sib_civ)*(1-sib_fuel-BM12*sib_strike)-AT12</f>
        <v>5.26684961613729</v>
      </c>
      <c r="BP12" s="87" t="n">
        <f aca="false">(BJ12*G12-sib_pass)*(1-sib_civ)*(1-sib_fuel-BM12*sib_strike)-AU12</f>
        <v>5.67067677923294</v>
      </c>
      <c r="BQ12" s="87" t="n">
        <f aca="false">(BK12*G12-sib_pass)*(1-sib_civ)*(1-sib_fuel-BM12*sib_strike)-AU12</f>
        <v>8.37547677923294</v>
      </c>
      <c r="BR12" s="87" t="n">
        <f aca="false">(BL12*G12-sib_pass)*(1-sib_civ)*(1-sib_fuel-BM12*sib_strike)-AU12</f>
        <v>8.37547677923294</v>
      </c>
      <c r="BS12" s="87" t="n">
        <f aca="false">AM12/(sib_net1*(1+sib_decup*BB12))</f>
        <v>1.62031048248107</v>
      </c>
      <c r="BT12" s="87" t="n">
        <f aca="false">AN12/(sib_net2*(1+sib_decup*BB12))</f>
        <v>2.32196260041392</v>
      </c>
      <c r="BU12" s="87" t="n">
        <f aca="false">AO12/(sib_net3a*(1+sib_decup*BB12))</f>
        <v>2.0759331692919</v>
      </c>
      <c r="BV12" s="87" t="n">
        <f aca="false">AP12/(sib_net3b*(1+sib_decup*BB12))</f>
        <v>2.35030410576017</v>
      </c>
      <c r="BW12" s="87" t="n">
        <f aca="false">AQ12/(sib_net4*(1+sib_decup*BB12))</f>
        <v>1.86065741706013</v>
      </c>
      <c r="BX12" s="84" t="n">
        <f aca="false">BS12/BN12</f>
        <v>0.244787638546046</v>
      </c>
      <c r="BY12" s="84" t="n">
        <f aca="false">BT12/BO12</f>
        <v>0.440863660374805</v>
      </c>
      <c r="BZ12" s="84" t="n">
        <f aca="false">BU12/BP12</f>
        <v>0.366082083340449</v>
      </c>
      <c r="CA12" s="84" t="n">
        <f aca="false">BV12/BQ12</f>
        <v>0.280617350834017</v>
      </c>
      <c r="CB12" s="84" t="n">
        <f aca="false">BW12/BR12</f>
        <v>0.222155402743596</v>
      </c>
      <c r="CC12" s="84" t="n">
        <f aca="false">MAX(BX12:CB12)</f>
        <v>0.440863660374805</v>
      </c>
      <c r="CD12" s="1" t="str">
        <f aca="false">CHOOSE(MATCH(CC12,BX12:CB12,0),"Vladivostok-Harbin","Harbin-Manzhouli","Manzhouli-Kitaisky (branch)","Kitaisky-Irkutsk","Irkutsk-Ob")</f>
        <v>Harbin-Manzhouli</v>
      </c>
      <c r="CE12" s="87" t="n">
        <f aca="false">MIN(BN12-BS12,BO12-BT12,BP12-BU12,BQ12-BV12,BR12-BW12)</f>
        <v>2.94488701572337</v>
      </c>
      <c r="CF12" s="88"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f>
        <v>71612.0878740064</v>
      </c>
      <c r="CG12" s="81" t="n">
        <f aca="false">CF12/sib_kmloco*sib_helper</f>
        <v>559.469436515675</v>
      </c>
      <c r="CH12" s="84" t="n">
        <f aca="false">CG12/BA12</f>
        <v>0.316979850717096</v>
      </c>
      <c r="CI12" s="86" t="n">
        <v>0</v>
      </c>
      <c r="CJ12" s="86" t="n">
        <v>0</v>
      </c>
      <c r="CK12" s="86" t="n">
        <v>2000</v>
      </c>
      <c r="CL12" s="88" t="n">
        <f aca="false">(sib_wag0+SUM(CI$6:CI12)+SUM(CJ$6:CJ12))*sib_wserv*(1-sib_civ)</f>
        <v>27370</v>
      </c>
      <c r="CM12" s="88"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f>
        <v>8264.66987483678</v>
      </c>
      <c r="CN12" s="84" t="n">
        <f aca="false">CM12/CL12</f>
        <v>0.301960901528564</v>
      </c>
      <c r="CO12" s="83" t="n">
        <v>0</v>
      </c>
      <c r="CP12" s="81" t="n">
        <f aca="false">MIN(CO12,AK12+AJ12)</f>
        <v>0</v>
      </c>
      <c r="CQ12" s="84" t="n">
        <f aca="false">(AK12+AJ12+Z12-CP12)*365/1000000+sib_civport</f>
        <v>1.159676475</v>
      </c>
      <c r="CR12" s="82" t="n">
        <v>3</v>
      </c>
      <c r="CS12" s="84" t="n">
        <f aca="false">CQ12/(CR12*IF(OR(RIGHT(A12,2)="Q1",C12=365),sib_portwin,1))</f>
        <v>0.454775088235294</v>
      </c>
      <c r="CT12" s="87" t="n">
        <f aca="false">(AK12+AJ12+Z12-CP12)*sib_pacship*365/(sib_dwt*0.9*sib_voy)</f>
        <v>4.50876492877493</v>
      </c>
      <c r="CU12" s="84" t="n">
        <f aca="false">CT12/sib_ships</f>
        <v>0.112719123219373</v>
      </c>
      <c r="CV12" s="88" t="n">
        <f aca="false">CV11+(AB12+Z12)*C12+AA12</f>
        <v>38380</v>
      </c>
      <c r="CW12" s="87" t="n">
        <f aca="false">IF(C12=365,sib_surge/sib_mtrain/sib_surge_d,0)</f>
        <v>0</v>
      </c>
      <c r="CX12" s="81" t="n">
        <f aca="false">(CC12&gt;sib_util_max)+(CH12&gt;1)+(CN12&gt;1)+(CS12&gt;sib_util_max)+(CU12&gt;1)+(CV12&lt;0)+(CW12&gt;0)*(CE12&lt;CW12)</f>
        <v>0</v>
      </c>
      <c r="CY12" s="1" t="str">
        <f aca="false">IF(CX12=0,"OK","Check")</f>
        <v>OK</v>
      </c>
      <c r="CZ12" s="83" t="n">
        <v>0</v>
      </c>
      <c r="DA12" s="82" t="n">
        <v>2</v>
      </c>
      <c r="DB12" s="82" t="n">
        <v>2</v>
      </c>
      <c r="DC12" s="84" t="n">
        <f aca="false">INDEX(Paths!$B$6:$B$92,MATCH(B12,Paths!$A$6:$A$92,0))*sib_cost</f>
        <v>2.05</v>
      </c>
      <c r="DD12" s="87" t="n">
        <f aca="false">L12*sib_c_pac/1000*C12/365*DC12</f>
        <v>18.6038904109589</v>
      </c>
      <c r="DE12" s="87" t="n">
        <f aca="false">K12*sib_c_cz/1000*C12/365*DC12</f>
        <v>10.7330136986301</v>
      </c>
      <c r="DF12" s="87" t="n">
        <f aca="false">J12*sib_c_sib/1000*C12/365*DC12</f>
        <v>5.62205479452055</v>
      </c>
      <c r="DG12" s="87" t="n">
        <f aca="false">((MAX(0,T12-CP12)+V12+AB12+Z12+AA12/C12)*sib_pst_w+Q12*sib_loc_kg*sib_pst_e)*C12*sib_c_store/1000000*DC12</f>
        <v>26.33974536375</v>
      </c>
      <c r="DH12" s="87" t="n">
        <f aca="false">((AW12*sib_c_loco+CJ12*sib_c_wag+MAX(0,AZ12-AZ11)*sib_loco0*sib_c_rep+CZ12*sib_c_arm)/1000000+DA12)*DC12</f>
        <v>4.1</v>
      </c>
      <c r="DI12" s="87" t="n">
        <f aca="false">2*(sib_L1*(BS12+AT12)+sib_L2*(BT12+AT12)+sib_L3a*(BU12+AU12)+sib_L3b*(BV12+AU12)+sib_L4*(BW12+AU12))*C12*sib_c_tkm*sib_prail/1000000*DC12</f>
        <v>4.25936123050453</v>
      </c>
      <c r="DJ12" s="87" t="n">
        <f aca="false">CT12*sib_c_ship*C12/365*DC12</f>
        <v>1.03698505166667</v>
      </c>
      <c r="DK12" s="87" t="n">
        <f aca="false">DB12*DC12</f>
        <v>4.1</v>
      </c>
      <c r="DL12" s="87" t="n">
        <f aca="false">AA12*sib_c_kara/1000000*DC12</f>
        <v>0</v>
      </c>
      <c r="DM12" s="87" t="n">
        <f aca="false">(AC12*sib_c_ref/1000*C12/365+AH12*C12*sib_c_grain/1000000)*DC12</f>
        <v>7.84532191780822</v>
      </c>
      <c r="DN12" s="87" t="n">
        <f aca="false">Z12*C12*sib_c_amur/1000000*DC12</f>
        <v>0</v>
      </c>
      <c r="DO12" s="87" t="n">
        <f aca="false">sib_fed*sib_c_fed/1000000*C12/365*DC12</f>
        <v>0.766643835616438</v>
      </c>
      <c r="DP12" s="87" t="n">
        <f aca="false">SUM(DD12:DO12)</f>
        <v>83.4070163034554</v>
      </c>
    </row>
    <row r="13" customFormat="false" ht="13.8" hidden="false" customHeight="false" outlineLevel="0" collapsed="false">
      <c r="A13" s="1" t="s">
        <v>1780</v>
      </c>
      <c r="B13" s="81" t="n">
        <v>1920</v>
      </c>
      <c r="C13" s="81" t="n">
        <v>91</v>
      </c>
      <c r="D13" s="1" t="s">
        <v>1781</v>
      </c>
      <c r="E13" s="82" t="n">
        <v>0.08</v>
      </c>
      <c r="F13" s="83" t="n">
        <v>0</v>
      </c>
      <c r="G13" s="84" t="n">
        <f aca="false">1-E13*IF(F13=1,sib_winter,1)</f>
        <v>0.92</v>
      </c>
      <c r="H13" s="83" t="n">
        <v>115</v>
      </c>
      <c r="I13" s="83" t="n">
        <v>55</v>
      </c>
      <c r="J13" s="83" t="n">
        <v>115</v>
      </c>
      <c r="K13" s="83" t="n">
        <v>20</v>
      </c>
      <c r="L13" s="83" t="n">
        <v>26</v>
      </c>
      <c r="M13" s="81" t="n">
        <f aca="false">SUM(H13:L13)</f>
        <v>331</v>
      </c>
      <c r="N13" s="82" t="n">
        <v>0.6</v>
      </c>
      <c r="O13" s="82" t="n">
        <v>0.5</v>
      </c>
      <c r="P13" s="81" t="n">
        <f aca="false">H13*N13+I13*O13+J13*sib_sw+K13+L13*sib_pw</f>
        <v>247.85</v>
      </c>
      <c r="Q13" s="81" t="n">
        <f aca="false">M13-P13</f>
        <v>83.15</v>
      </c>
      <c r="R13" s="82" t="n">
        <v>0.45</v>
      </c>
      <c r="S13" s="85" t="n">
        <v>3</v>
      </c>
      <c r="T13" s="81" t="n">
        <f aca="false">P13*(R13*S13*sib_ammo+(1-R13)*sib_loc_kg)</f>
        <v>539.07375</v>
      </c>
      <c r="U13" s="81" t="n">
        <f aca="false">H13*N13*sib_jp_kg</f>
        <v>62.1</v>
      </c>
      <c r="V13" s="83" t="n">
        <v>50</v>
      </c>
      <c r="W13" s="83" t="n">
        <v>100</v>
      </c>
      <c r="X13" s="83" t="n">
        <v>0</v>
      </c>
      <c r="Y13" s="83" t="n">
        <v>87.9120879120879</v>
      </c>
      <c r="Z13" s="81" t="n">
        <f aca="false">Y13*sib_amur</f>
        <v>87.9120879120879</v>
      </c>
      <c r="AA13" s="86" t="n">
        <v>0</v>
      </c>
      <c r="AB13" s="83" t="n">
        <v>0</v>
      </c>
      <c r="AC13" s="83" t="n">
        <v>500</v>
      </c>
      <c r="AD13" s="82" t="n">
        <v>0.75</v>
      </c>
      <c r="AE13" s="81" t="n">
        <f aca="false">(J13*sib_sw+K13+L13*sib_pw)*sib_bread+P13*sib_horses*sib_oats+AC13*sib_relief_kg</f>
        <v>665.04625</v>
      </c>
      <c r="AF13" s="81" t="n">
        <f aca="false">sib_surplus*AD13*sib_harvest*1000000/365*sib_callmax</f>
        <v>616.438356164384</v>
      </c>
      <c r="AG13" s="81" t="n">
        <f aca="false">MAX(0,AE13-AF13)</f>
        <v>48.6078938356163</v>
      </c>
      <c r="AH13" s="81" t="n">
        <f aca="false">AE13-AG13</f>
        <v>616.438356164384</v>
      </c>
      <c r="AI13" s="81" t="n">
        <f aca="false">I13*O13*sib_cn_kg</f>
        <v>22</v>
      </c>
      <c r="AJ13" s="81" t="n">
        <f aca="false">Q13*sib_loc_kg+H13*(1-N13)*sib_jp_kg</f>
        <v>166.125</v>
      </c>
      <c r="AK13" s="81" t="n">
        <f aca="false">T13+U13+V13+W13+X13+AB13</f>
        <v>751.17375</v>
      </c>
      <c r="AL13" s="81" t="n">
        <f aca="false">AI13+AG13</f>
        <v>70.6078938356163</v>
      </c>
      <c r="AM13" s="81" t="n">
        <f aca="false">AK13+AJ13</f>
        <v>917.29875</v>
      </c>
      <c r="AN13" s="81" t="n">
        <f aca="false">AK13+AL13+sib_e2*AJ13</f>
        <v>921.456643835616</v>
      </c>
      <c r="AO13" s="81" t="n">
        <f aca="false">AK13+AL13+sib_e3*AJ13</f>
        <v>871.619143835616</v>
      </c>
      <c r="AP13" s="81" t="n">
        <f aca="false">AK13+AL13+Z13</f>
        <v>909.693731747704</v>
      </c>
      <c r="AQ13" s="81" t="n">
        <f aca="false">AK13+AL13+Z13</f>
        <v>909.693731747704</v>
      </c>
      <c r="AR13" s="81" t="n">
        <f aca="false">H13+I13+L13</f>
        <v>196</v>
      </c>
      <c r="AS13" s="81" t="n">
        <f aca="false">H13*N13+I13*O13+L13*sib_pw</f>
        <v>118.6</v>
      </c>
      <c r="AT13" s="87" t="n">
        <f aca="false">(MAX(0,AR13-AR12)+AR13*sib_rot*C13/365)*1000/sib_mtrain/C13</f>
        <v>0.0894977168949772</v>
      </c>
      <c r="AU13" s="87" t="n">
        <f aca="false">(MAX(0,AS13-AS12)+AS13*sib_rot*C13/365)*1000/sib_mtrain/C13</f>
        <v>0.0541552511415525</v>
      </c>
      <c r="AV13" s="83" t="n">
        <v>0</v>
      </c>
      <c r="AW13" s="83" t="n">
        <v>0</v>
      </c>
      <c r="AX13" s="81" t="n">
        <f aca="false">(SUM(AV$6:AV13)+SUM(AW$6:AW13))*0.9</f>
        <v>855</v>
      </c>
      <c r="AY13" s="82" t="n">
        <v>0.74</v>
      </c>
      <c r="AZ13" s="84" t="n">
        <f aca="false">1-(1-AY13)*sib_sick</f>
        <v>0.74</v>
      </c>
      <c r="BA13" s="81" t="n">
        <f aca="false">sib_loco0*AZ13+AX13</f>
        <v>1817</v>
      </c>
      <c r="BB13" s="84" t="n">
        <f aca="false">AX13/BA13</f>
        <v>0.470555861309851</v>
      </c>
      <c r="BC13" s="83" t="n">
        <v>18</v>
      </c>
      <c r="BD13" s="83" t="n">
        <v>15</v>
      </c>
      <c r="BE13" s="83" t="n">
        <v>16</v>
      </c>
      <c r="BF13" s="83" t="n">
        <v>22</v>
      </c>
      <c r="BG13" s="83" t="n">
        <v>22</v>
      </c>
      <c r="BH13" s="87" t="n">
        <f aca="false">BC$6+(BC13-BC$6)*sib_works</f>
        <v>18</v>
      </c>
      <c r="BI13" s="87" t="n">
        <f aca="false">BD$6+(BD13-BD$6)*sib_works</f>
        <v>15</v>
      </c>
      <c r="BJ13" s="87" t="n">
        <f aca="false">BE$6+(BE13-BE$6)*sib_works</f>
        <v>16</v>
      </c>
      <c r="BK13" s="87" t="n">
        <f aca="false">BF$6+(BF13-BF$6)*sib_works</f>
        <v>22</v>
      </c>
      <c r="BL13" s="87" t="n">
        <f aca="false">BG$6+(BG13-BG$6)*sib_works</f>
        <v>22</v>
      </c>
      <c r="BM13" s="83" t="n">
        <v>0</v>
      </c>
      <c r="BN13" s="87" t="n">
        <f aca="false">(BH13*G13-sib_pass)*(1-sib_civ)*(1-sib_fuel-BM13*sib_strike)-AT13</f>
        <v>9.28714228310502</v>
      </c>
      <c r="BO13" s="87" t="n">
        <f aca="false">(BI13*G13-sib_pass)*(1-sib_civ)*(1-sib_fuel-BM13*sib_strike)-AT13</f>
        <v>7.50970228310502</v>
      </c>
      <c r="BP13" s="87" t="n">
        <f aca="false">(BJ13*G13-sib_pass)*(1-sib_civ)*(1-sib_fuel-BM13*sib_strike)-AU13</f>
        <v>8.13752474885845</v>
      </c>
      <c r="BQ13" s="87" t="n">
        <f aca="false">(BK13*G13-sib_pass)*(1-sib_civ)*(1-sib_fuel-BM13*sib_strike)-AU13</f>
        <v>11.6924047488584</v>
      </c>
      <c r="BR13" s="87" t="n">
        <f aca="false">(BL13*G13-sib_pass)*(1-sib_civ)*(1-sib_fuel-BM13*sib_strike)-AU13</f>
        <v>11.6924047488584</v>
      </c>
      <c r="BS13" s="87" t="n">
        <f aca="false">AM13/(sib_net1*(1+sib_decup*BB13))</f>
        <v>1.51459114793948</v>
      </c>
      <c r="BT13" s="87" t="n">
        <f aca="false">AN13/(sib_net2*(1+sib_decup*BB13))</f>
        <v>1.88370795358964</v>
      </c>
      <c r="BU13" s="87" t="n">
        <f aca="false">AO13/(sib_net3a*(1+sib_decup*BB13))</f>
        <v>1.66303811443126</v>
      </c>
      <c r="BV13" s="87" t="n">
        <f aca="false">AP13/(sib_net3b*(1+sib_decup*BB13))</f>
        <v>2.05541519020808</v>
      </c>
      <c r="BW13" s="87" t="n">
        <f aca="false">AQ13/(sib_net4*(1+sib_decup*BB13))</f>
        <v>1.62720369224806</v>
      </c>
      <c r="BX13" s="84" t="n">
        <f aca="false">BS13/BN13</f>
        <v>0.163084736054361</v>
      </c>
      <c r="BY13" s="84" t="n">
        <f aca="false">BT13/BO13</f>
        <v>0.250836568824775</v>
      </c>
      <c r="BZ13" s="84" t="n">
        <f aca="false">BU13/BP13</f>
        <v>0.204366581455196</v>
      </c>
      <c r="CA13" s="84" t="n">
        <f aca="false">BV13/BQ13</f>
        <v>0.175790629417678</v>
      </c>
      <c r="CB13" s="84" t="n">
        <f aca="false">BW13/BR13</f>
        <v>0.139167581622329</v>
      </c>
      <c r="CC13" s="84" t="n">
        <f aca="false">MAX(BX13:CB13)</f>
        <v>0.250836568824775</v>
      </c>
      <c r="CD13" s="1" t="str">
        <f aca="false">CHOOSE(MATCH(CC13,BX13:CB13,0),"Vladivostok-Harbin","Harbin-Manzhouli","Manzhouli-Kitaisky (branch)","Kitaisky-Irkutsk","Irkutsk-Ob")</f>
        <v>Harbin-Manzhouli</v>
      </c>
      <c r="CE13" s="87" t="n">
        <f aca="false">MIN(BN13-BS13,BO13-BT13,BP13-BU13,BQ13-BV13,BR13-BW13)</f>
        <v>5.62599432951538</v>
      </c>
      <c r="CF13" s="88"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f>
        <v>78386.4479456524</v>
      </c>
      <c r="CG13" s="81" t="n">
        <f aca="false">CF13/sib_kmloco*sib_helper</f>
        <v>612.39412457541</v>
      </c>
      <c r="CH13" s="84" t="n">
        <f aca="false">CG13/BA13</f>
        <v>0.337035841813654</v>
      </c>
      <c r="CI13" s="86" t="n">
        <v>0</v>
      </c>
      <c r="CJ13" s="86" t="n">
        <v>0</v>
      </c>
      <c r="CK13" s="86" t="n">
        <v>1000</v>
      </c>
      <c r="CL13" s="88" t="n">
        <f aca="false">(sib_wag0+SUM(CI$6:CI13)+SUM(CJ$6:CJ13))*sib_wserv*(1-sib_civ)</f>
        <v>27370</v>
      </c>
      <c r="CM13" s="88"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f>
        <v>5585.31192299162</v>
      </c>
      <c r="CN13" s="84" t="n">
        <f aca="false">CM13/CL13</f>
        <v>0.204066931786322</v>
      </c>
      <c r="CO13" s="83" t="n">
        <v>0</v>
      </c>
      <c r="CP13" s="81" t="n">
        <f aca="false">MIN(CO13,AK13+AJ13)</f>
        <v>0</v>
      </c>
      <c r="CQ13" s="84" t="n">
        <f aca="false">(AK13+AJ13+Z13-CP13)*365/1000000+sib_civport</f>
        <v>1.16690195583791</v>
      </c>
      <c r="CR13" s="82" t="n">
        <v>3</v>
      </c>
      <c r="CS13" s="84" t="n">
        <f aca="false">CQ13/(CR13*IF(OR(RIGHT(A13,2)="Q1",C13=365),sib_portwin,1))</f>
        <v>0.388967318612637</v>
      </c>
      <c r="CT13" s="87" t="n">
        <f aca="false">(AK13+AJ13+Z13-CP13)*sib_pacship*365/(sib_dwt*0.9*sib_voy)</f>
        <v>4.59934075694249</v>
      </c>
      <c r="CU13" s="84" t="n">
        <f aca="false">CT13/sib_ships</f>
        <v>0.114983518923562</v>
      </c>
      <c r="CV13" s="88" t="n">
        <f aca="false">CV12+(AB13+Z13)*C13+AA13</f>
        <v>46380</v>
      </c>
      <c r="CW13" s="87" t="n">
        <f aca="false">IF(C13=365,sib_surge/sib_mtrain/sib_surge_d,0)</f>
        <v>0</v>
      </c>
      <c r="CX13" s="81" t="n">
        <f aca="false">(CC13&gt;sib_util_max)+(CH13&gt;1)+(CN13&gt;1)+(CS13&gt;sib_util_max)+(CU13&gt;1)+(CV13&lt;0)+(CW13&gt;0)*(CE13&lt;CW13)</f>
        <v>0</v>
      </c>
      <c r="CY13" s="1" t="str">
        <f aca="false">IF(CX13=0,"OK","Check")</f>
        <v>OK</v>
      </c>
      <c r="CZ13" s="83" t="n">
        <v>0</v>
      </c>
      <c r="DA13" s="82" t="n">
        <v>2</v>
      </c>
      <c r="DB13" s="82" t="n">
        <v>2</v>
      </c>
      <c r="DC13" s="84" t="n">
        <f aca="false">INDEX(Paths!$B$6:$B$92,MATCH(B13,Paths!$A$6:$A$92,0))*sib_cost</f>
        <v>2.05</v>
      </c>
      <c r="DD13" s="87" t="n">
        <f aca="false">L13*sib_c_pac/1000*C13/365*DC13</f>
        <v>17.2750410958904</v>
      </c>
      <c r="DE13" s="87" t="n">
        <f aca="false">K13*sib_c_cz/1000*C13/365*DC13</f>
        <v>6.13315068493151</v>
      </c>
      <c r="DF13" s="87" t="n">
        <f aca="false">J13*sib_c_sib/1000*C13/365*DC13</f>
        <v>5.87760273972603</v>
      </c>
      <c r="DG13" s="87" t="n">
        <f aca="false">((MAX(0,T13-CP13)+V13+AB13+Z13+AA13/C13)*sib_pst_w+Q13*sib_loc_kg*sib_pst_e)*C13*sib_c_store/1000000*DC13</f>
        <v>27.335619399375</v>
      </c>
      <c r="DH13" s="87" t="n">
        <f aca="false">((AW13*sib_c_loco+CJ13*sib_c_wag+MAX(0,AZ13-AZ12)*sib_loco0*sib_c_rep+CZ13*sib_c_arm)/1000000+DA13)*DC13</f>
        <v>4.7396</v>
      </c>
      <c r="DI13" s="87" t="n">
        <f aca="false">2*(sib_L1*(BS13+AT13)+sib_L2*(BT13+AT13)+sib_L3a*(BU13+AU13)+sib_L3b*(BV13+AU13)+sib_L4*(BW13+AU13))*C13*sib_c_tkm*sib_prail/1000000*DC13</f>
        <v>3.4149209567756</v>
      </c>
      <c r="DJ13" s="87" t="n">
        <f aca="false">CT13*sib_c_ship*C13/365*DC13</f>
        <v>1.05781687176282</v>
      </c>
      <c r="DK13" s="87" t="n">
        <f aca="false">DB13*DC13</f>
        <v>4.1</v>
      </c>
      <c r="DL13" s="87" t="n">
        <f aca="false">AA13*sib_c_kara/1000000*DC13</f>
        <v>0</v>
      </c>
      <c r="DM13" s="87" t="n">
        <f aca="false">(AC13*sib_c_ref/1000*C13/365+AH13*C13*sib_c_grain/1000000)*DC13</f>
        <v>5.80093835616438</v>
      </c>
      <c r="DN13" s="87" t="n">
        <f aca="false">Z13*C13*sib_c_amur/1000000*DC13</f>
        <v>0.1968</v>
      </c>
      <c r="DO13" s="87" t="n">
        <f aca="false">sib_fed*sib_c_fed/1000000*C13/365*DC13</f>
        <v>0.766643835616438</v>
      </c>
      <c r="DP13" s="87" t="n">
        <f aca="false">SUM(DD13:DO13)</f>
        <v>76.6981339402422</v>
      </c>
    </row>
    <row r="14" customFormat="false" ht="13.8" hidden="false" customHeight="false" outlineLevel="0" collapsed="false">
      <c r="A14" s="1" t="s">
        <v>1782</v>
      </c>
      <c r="B14" s="81" t="n">
        <v>1920</v>
      </c>
      <c r="C14" s="81" t="n">
        <v>92</v>
      </c>
      <c r="D14" s="1" t="s">
        <v>1783</v>
      </c>
      <c r="E14" s="82" t="n">
        <v>0</v>
      </c>
      <c r="F14" s="83" t="n">
        <v>0</v>
      </c>
      <c r="G14" s="84" t="n">
        <f aca="false">1-E14*IF(F14=1,sib_winter,1)</f>
        <v>1</v>
      </c>
      <c r="H14" s="83" t="n">
        <v>105</v>
      </c>
      <c r="I14" s="83" t="n">
        <v>50</v>
      </c>
      <c r="J14" s="83" t="n">
        <v>115</v>
      </c>
      <c r="K14" s="83" t="n">
        <v>5</v>
      </c>
      <c r="L14" s="83" t="n">
        <v>24</v>
      </c>
      <c r="M14" s="81" t="n">
        <f aca="false">SUM(H14:L14)</f>
        <v>299</v>
      </c>
      <c r="N14" s="82" t="n">
        <v>0.55</v>
      </c>
      <c r="O14" s="82" t="n">
        <v>0.45</v>
      </c>
      <c r="P14" s="81" t="n">
        <f aca="false">H14*N14+I14*O14+J14*sib_sw+K14+L14*sib_pw</f>
        <v>214.9</v>
      </c>
      <c r="Q14" s="81" t="n">
        <f aca="false">M14-P14</f>
        <v>84.1</v>
      </c>
      <c r="R14" s="82" t="n">
        <v>0.4</v>
      </c>
      <c r="S14" s="85" t="n">
        <v>2.5</v>
      </c>
      <c r="T14" s="81" t="n">
        <f aca="false">P14*(R14*S14*sib_ammo+(1-R14)*sib_loc_kg)</f>
        <v>408.31</v>
      </c>
      <c r="U14" s="81" t="n">
        <f aca="false">H14*N14*sib_jp_kg</f>
        <v>51.975</v>
      </c>
      <c r="V14" s="83" t="n">
        <v>50</v>
      </c>
      <c r="W14" s="83" t="n">
        <v>100</v>
      </c>
      <c r="X14" s="83" t="n">
        <v>0</v>
      </c>
      <c r="Y14" s="83" t="n">
        <v>130.434782608696</v>
      </c>
      <c r="Z14" s="81" t="n">
        <f aca="false">Y14*sib_amur</f>
        <v>130.434782608696</v>
      </c>
      <c r="AA14" s="86" t="n">
        <v>25000</v>
      </c>
      <c r="AB14" s="83" t="n">
        <v>150</v>
      </c>
      <c r="AC14" s="83" t="n">
        <v>300</v>
      </c>
      <c r="AD14" s="82" t="n">
        <v>0.8</v>
      </c>
      <c r="AE14" s="81" t="n">
        <f aca="false">(J14*sib_sw+K14+L14*sib_pw)*sib_bread+P14*sib_horses*sib_oats+AC14*sib_relief_kg</f>
        <v>512.9475</v>
      </c>
      <c r="AF14" s="81" t="n">
        <f aca="false">sib_surplus*AD14*sib_harvest*1000000/365*sib_callmax</f>
        <v>657.534246575343</v>
      </c>
      <c r="AG14" s="81" t="n">
        <f aca="false">MAX(0,AE14-AF14)</f>
        <v>0</v>
      </c>
      <c r="AH14" s="81" t="n">
        <f aca="false">AE14-AG14</f>
        <v>512.9475</v>
      </c>
      <c r="AI14" s="81" t="n">
        <f aca="false">I14*O14*sib_cn_kg</f>
        <v>18</v>
      </c>
      <c r="AJ14" s="81" t="n">
        <f aca="false">Q14*sib_loc_kg+H14*(1-N14)*sib_jp_kg</f>
        <v>168.675</v>
      </c>
      <c r="AK14" s="81" t="n">
        <f aca="false">T14+U14+V14+W14+X14+AB14</f>
        <v>760.285</v>
      </c>
      <c r="AL14" s="81" t="n">
        <f aca="false">AI14+AG14</f>
        <v>18</v>
      </c>
      <c r="AM14" s="81" t="n">
        <f aca="false">AK14+AJ14</f>
        <v>928.96</v>
      </c>
      <c r="AN14" s="81" t="n">
        <f aca="false">AK14+AL14+sib_e2*AJ14</f>
        <v>879.49</v>
      </c>
      <c r="AO14" s="81" t="n">
        <f aca="false">AK14+AL14+sib_e3*AJ14</f>
        <v>828.8875</v>
      </c>
      <c r="AP14" s="81" t="n">
        <f aca="false">AK14+AL14+Z14</f>
        <v>908.719782608696</v>
      </c>
      <c r="AQ14" s="81" t="n">
        <f aca="false">AK14+AL14+Z14</f>
        <v>908.719782608696</v>
      </c>
      <c r="AR14" s="81" t="n">
        <f aca="false">H14+I14+L14</f>
        <v>179</v>
      </c>
      <c r="AS14" s="81" t="n">
        <f aca="false">H14*N14+I14*O14+L14*sib_pw</f>
        <v>100.65</v>
      </c>
      <c r="AT14" s="87" t="n">
        <f aca="false">(MAX(0,AR14-AR13)+AR14*sib_rot*C14/365)*1000/sib_mtrain/C14</f>
        <v>0.0817351598173516</v>
      </c>
      <c r="AU14" s="87" t="n">
        <f aca="false">(MAX(0,AS14-AS13)+AS14*sib_rot*C14/365)*1000/sib_mtrain/C14</f>
        <v>0.045958904109589</v>
      </c>
      <c r="AV14" s="83" t="n">
        <v>0</v>
      </c>
      <c r="AW14" s="83" t="n">
        <v>0</v>
      </c>
      <c r="AX14" s="81" t="n">
        <f aca="false">(SUM(AV$6:AV14)+SUM(AW$6:AW14))*0.9</f>
        <v>855</v>
      </c>
      <c r="AY14" s="82" t="n">
        <v>0.78</v>
      </c>
      <c r="AZ14" s="84" t="n">
        <f aca="false">1-(1-AY14)*sib_sick</f>
        <v>0.78</v>
      </c>
      <c r="BA14" s="81" t="n">
        <f aca="false">sib_loco0*AZ14+AX14</f>
        <v>1869</v>
      </c>
      <c r="BB14" s="84" t="n">
        <f aca="false">AX14/BA14</f>
        <v>0.457463884430177</v>
      </c>
      <c r="BC14" s="83" t="n">
        <v>18</v>
      </c>
      <c r="BD14" s="83" t="n">
        <v>16</v>
      </c>
      <c r="BE14" s="83" t="n">
        <v>17</v>
      </c>
      <c r="BF14" s="83" t="n">
        <v>24</v>
      </c>
      <c r="BG14" s="83" t="n">
        <v>24</v>
      </c>
      <c r="BH14" s="87" t="n">
        <f aca="false">BC$6+(BC14-BC$6)*sib_works</f>
        <v>18</v>
      </c>
      <c r="BI14" s="87" t="n">
        <f aca="false">BD$6+(BD14-BD$6)*sib_works</f>
        <v>16</v>
      </c>
      <c r="BJ14" s="87" t="n">
        <f aca="false">BE$6+(BE14-BE$6)*sib_works</f>
        <v>17</v>
      </c>
      <c r="BK14" s="87" t="n">
        <f aca="false">BF$6+(BF14-BF$6)*sib_works</f>
        <v>24</v>
      </c>
      <c r="BL14" s="87" t="n">
        <f aca="false">BG$6+(BG14-BG$6)*sib_works</f>
        <v>24</v>
      </c>
      <c r="BM14" s="83" t="n">
        <v>0</v>
      </c>
      <c r="BN14" s="87" t="n">
        <f aca="false">(BH14*G14-sib_pass)*(1-sib_civ)*(1-sib_fuel-BM14*sib_strike)-AT14</f>
        <v>10.2222648401826</v>
      </c>
      <c r="BO14" s="87" t="n">
        <f aca="false">(BI14*G14-sib_pass)*(1-sib_civ)*(1-sib_fuel-BM14*sib_strike)-AT14</f>
        <v>8.93426484018265</v>
      </c>
      <c r="BP14" s="87" t="n">
        <f aca="false">(BJ14*G14-sib_pass)*(1-sib_civ)*(1-sib_fuel-BM14*sib_strike)-AU14</f>
        <v>9.61404109589041</v>
      </c>
      <c r="BQ14" s="87" t="n">
        <f aca="false">(BK14*G14-sib_pass)*(1-sib_civ)*(1-sib_fuel-BM14*sib_strike)-AU14</f>
        <v>14.1220410958904</v>
      </c>
      <c r="BR14" s="87" t="n">
        <f aca="false">(BL14*G14-sib_pass)*(1-sib_civ)*(1-sib_fuel-BM14*sib_strike)-AU14</f>
        <v>14.1220410958904</v>
      </c>
      <c r="BS14" s="87" t="n">
        <f aca="false">AM14/(sib_net1*(1+sib_decup*BB14))</f>
        <v>1.53990389271745</v>
      </c>
      <c r="BT14" s="87" t="n">
        <f aca="false">AN14/(sib_net2*(1+sib_decup*BB14))</f>
        <v>1.80501810215612</v>
      </c>
      <c r="BU14" s="87" t="n">
        <f aca="false">AO14/(sib_net3a*(1+sib_decup*BB14))</f>
        <v>1.58775329566855</v>
      </c>
      <c r="BV14" s="87" t="n">
        <f aca="false">AP14/(sib_net3b*(1+sib_decup*BB14))</f>
        <v>2.06132434439082</v>
      </c>
      <c r="BW14" s="87" t="n">
        <f aca="false">AQ14/(sib_net4*(1+sib_decup*BB14))</f>
        <v>1.63188177264274</v>
      </c>
      <c r="BX14" s="84" t="n">
        <f aca="false">BS14/BN14</f>
        <v>0.150642144064225</v>
      </c>
      <c r="BY14" s="84" t="n">
        <f aca="false">BT14/BO14</f>
        <v>0.20203319852775</v>
      </c>
      <c r="BZ14" s="84" t="n">
        <f aca="false">BU14/BP14</f>
        <v>0.165149418421692</v>
      </c>
      <c r="CA14" s="84" t="n">
        <f aca="false">BV14/BQ14</f>
        <v>0.145965043607661</v>
      </c>
      <c r="CB14" s="84" t="n">
        <f aca="false">BW14/BR14</f>
        <v>0.115555659522732</v>
      </c>
      <c r="CC14" s="84" t="n">
        <f aca="false">MAX(BX14:CB14)</f>
        <v>0.20203319852775</v>
      </c>
      <c r="CD14" s="1" t="str">
        <f aca="false">CHOOSE(MATCH(CC14,BX14:CB14,0),"Vladivostok-Harbin","Harbin-Manzhouli","Manzhouli-Kitaisky (branch)","Kitaisky-Irkutsk","Irkutsk-Ob")</f>
        <v>Harbin-Manzhouli</v>
      </c>
      <c r="CE14" s="87" t="n">
        <f aca="false">MIN(BN14-BS14,BO14-BT14,BP14-BU14,BQ14-BV14,BR14-BW14)</f>
        <v>7.12924673802653</v>
      </c>
      <c r="CF14" s="88"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f>
        <v>85877.5493441135</v>
      </c>
      <c r="CG14" s="81" t="n">
        <f aca="false">CF14/sib_kmloco*sib_helper</f>
        <v>670.918354250887</v>
      </c>
      <c r="CH14" s="84" t="n">
        <f aca="false">CG14/BA14</f>
        <v>0.358971832129955</v>
      </c>
      <c r="CI14" s="86" t="n">
        <v>0</v>
      </c>
      <c r="CJ14" s="86" t="n">
        <v>0</v>
      </c>
      <c r="CK14" s="86" t="n">
        <v>0</v>
      </c>
      <c r="CL14" s="88" t="n">
        <f aca="false">(sib_wag0+SUM(CI$6:CI14)+SUM(CJ$6:CJ14))*sib_wserv*(1-sib_civ)</f>
        <v>27370</v>
      </c>
      <c r="CM14" s="88"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f>
        <v>3923.07230522798</v>
      </c>
      <c r="CN14" s="84" t="n">
        <f aca="false">CM14/CL14</f>
        <v>0.143334757224259</v>
      </c>
      <c r="CO14" s="83" t="n">
        <v>0</v>
      </c>
      <c r="CP14" s="81" t="n">
        <f aca="false">MIN(CO14,AK14+AJ14)</f>
        <v>0</v>
      </c>
      <c r="CQ14" s="84" t="n">
        <f aca="false">(AK14+AJ14+Z14-CP14)*365/1000000+sib_civport</f>
        <v>1.18667909565217</v>
      </c>
      <c r="CR14" s="82" t="n">
        <v>3</v>
      </c>
      <c r="CS14" s="84" t="n">
        <f aca="false">CQ14/(CR14*IF(OR(RIGHT(A14,2)="Q1",C14=365),sib_portwin,1))</f>
        <v>0.395559698550725</v>
      </c>
      <c r="CT14" s="87" t="n">
        <f aca="false">(AK14+AJ14+Z14-CP14)*sib_pacship*365/(sib_dwt*0.9*sib_voy)</f>
        <v>4.84725931871671</v>
      </c>
      <c r="CU14" s="84" t="n">
        <f aca="false">CT14/sib_ships</f>
        <v>0.121181482967918</v>
      </c>
      <c r="CV14" s="88" t="n">
        <f aca="false">CV13+(AB14+Z14)*C14+AA14</f>
        <v>97180</v>
      </c>
      <c r="CW14" s="87" t="n">
        <f aca="false">IF(C14=365,sib_surge/sib_mtrain/sib_surge_d,0)</f>
        <v>0</v>
      </c>
      <c r="CX14" s="81" t="n">
        <f aca="false">(CC14&gt;sib_util_max)+(CH14&gt;1)+(CN14&gt;1)+(CS14&gt;sib_util_max)+(CU14&gt;1)+(CV14&lt;0)+(CW14&gt;0)*(CE14&lt;CW14)</f>
        <v>0</v>
      </c>
      <c r="CY14" s="1" t="str">
        <f aca="false">IF(CX14=0,"OK","Check")</f>
        <v>OK</v>
      </c>
      <c r="CZ14" s="83" t="n">
        <v>0</v>
      </c>
      <c r="DA14" s="82" t="n">
        <v>1</v>
      </c>
      <c r="DB14" s="82" t="n">
        <v>2</v>
      </c>
      <c r="DC14" s="84" t="n">
        <f aca="false">INDEX(Paths!$B$6:$B$92,MATCH(B14,Paths!$A$6:$A$92,0))*sib_cost</f>
        <v>2.05</v>
      </c>
      <c r="DD14" s="87" t="n">
        <f aca="false">L14*sib_c_pac/1000*C14/365*DC14</f>
        <v>16.1214246575342</v>
      </c>
      <c r="DE14" s="87" t="n">
        <f aca="false">K14*sib_c_cz/1000*C14/365*DC14</f>
        <v>1.55013698630137</v>
      </c>
      <c r="DF14" s="87" t="n">
        <f aca="false">J14*sib_c_sib/1000*C14/365*DC14</f>
        <v>5.94219178082192</v>
      </c>
      <c r="DG14" s="87" t="n">
        <f aca="false">((MAX(0,T14-CP14)+V14+AB14+Z14+AA14/C14)*sib_pst_w+Q14*sib_loc_kg*sib_pst_e)*C14*sib_c_store/1000000*DC14</f>
        <v>40.85394201</v>
      </c>
      <c r="DH14" s="87" t="n">
        <f aca="false">((AW14*sib_c_loco+CJ14*sib_c_wag+MAX(0,AZ14-AZ13)*sib_loco0*sib_c_rep+CZ14*sib_c_arm)/1000000+DA14)*DC14</f>
        <v>2.6896</v>
      </c>
      <c r="DI14" s="87" t="n">
        <f aca="false">2*(sib_L1*(BS14+AT14)+sib_L2*(BT14+AT14)+sib_L3a*(BU14+AU14)+sib_L3b*(BV14+AU14)+sib_L4*(BW14+AU14))*C14*sib_c_tkm*sib_prail/1000000*DC14</f>
        <v>3.41138613992779</v>
      </c>
      <c r="DJ14" s="87" t="n">
        <f aca="false">CT14*sib_c_ship*C14/365*DC14</f>
        <v>1.12708739282051</v>
      </c>
      <c r="DK14" s="87" t="n">
        <f aca="false">DB14*DC14</f>
        <v>4.1</v>
      </c>
      <c r="DL14" s="87" t="n">
        <f aca="false">AA14*sib_c_kara/1000000*DC14</f>
        <v>0.76875</v>
      </c>
      <c r="DM14" s="87" t="n">
        <f aca="false">(AC14*sib_c_ref/1000*C14/365+AH14*C14*sib_c_grain/1000000)*DC14</f>
        <v>3.68072536360274</v>
      </c>
      <c r="DN14" s="87" t="n">
        <f aca="false">Z14*C14*sib_c_amur/1000000*DC14</f>
        <v>0.295200000000001</v>
      </c>
      <c r="DO14" s="87" t="n">
        <f aca="false">sib_fed*sib_c_fed/1000000*C14/365*DC14</f>
        <v>0.775068493150685</v>
      </c>
      <c r="DP14" s="87" t="n">
        <f aca="false">SUM(DD14:DO14)</f>
        <v>81.3155128241593</v>
      </c>
    </row>
    <row r="15" customFormat="false" ht="13.8" hidden="false" customHeight="false" outlineLevel="0" collapsed="false">
      <c r="A15" s="1" t="s">
        <v>1784</v>
      </c>
      <c r="B15" s="81" t="n">
        <v>1920</v>
      </c>
      <c r="C15" s="81" t="n">
        <v>92</v>
      </c>
      <c r="D15" s="1" t="s">
        <v>1785</v>
      </c>
      <c r="E15" s="82" t="n">
        <v>0.15</v>
      </c>
      <c r="F15" s="83" t="n">
        <v>1</v>
      </c>
      <c r="G15" s="84" t="n">
        <f aca="false">1-E15*IF(F15=1,sib_winter,1)</f>
        <v>0.85</v>
      </c>
      <c r="H15" s="83" t="n">
        <v>100</v>
      </c>
      <c r="I15" s="83" t="n">
        <v>45</v>
      </c>
      <c r="J15" s="83" t="n">
        <v>115</v>
      </c>
      <c r="K15" s="83" t="n">
        <v>0</v>
      </c>
      <c r="L15" s="83" t="n">
        <v>22</v>
      </c>
      <c r="M15" s="81" t="n">
        <f aca="false">SUM(H15:L15)</f>
        <v>282</v>
      </c>
      <c r="N15" s="82" t="n">
        <v>0.5</v>
      </c>
      <c r="O15" s="82" t="n">
        <v>0.45</v>
      </c>
      <c r="P15" s="81" t="n">
        <f aca="false">H15*N15+I15*O15+J15*sib_sw+K15+L15*sib_pw</f>
        <v>198.2</v>
      </c>
      <c r="Q15" s="81" t="n">
        <f aca="false">M15-P15</f>
        <v>83.8</v>
      </c>
      <c r="R15" s="82" t="n">
        <v>0.4</v>
      </c>
      <c r="S15" s="85" t="n">
        <v>2.5</v>
      </c>
      <c r="T15" s="81" t="n">
        <f aca="false">P15*(R15*S15*sib_ammo+(1-R15)*sib_loc_kg)</f>
        <v>376.58</v>
      </c>
      <c r="U15" s="81" t="n">
        <f aca="false">H15*N15*sib_jp_kg</f>
        <v>45</v>
      </c>
      <c r="V15" s="83" t="n">
        <v>50</v>
      </c>
      <c r="W15" s="83" t="n">
        <v>100</v>
      </c>
      <c r="X15" s="83" t="n">
        <v>0</v>
      </c>
      <c r="Y15" s="83" t="n">
        <v>0</v>
      </c>
      <c r="Z15" s="81" t="n">
        <f aca="false">Y15*sib_amur</f>
        <v>0</v>
      </c>
      <c r="AA15" s="86" t="n">
        <v>0</v>
      </c>
      <c r="AB15" s="83" t="n">
        <v>-100</v>
      </c>
      <c r="AC15" s="83" t="n">
        <v>250</v>
      </c>
      <c r="AD15" s="82" t="n">
        <v>0.8</v>
      </c>
      <c r="AE15" s="81" t="n">
        <f aca="false">(J15*sib_sw+K15+L15*sib_pw)*sib_bread+P15*sib_horses*sib_oats+AC15*sib_relief_kg</f>
        <v>463.13</v>
      </c>
      <c r="AF15" s="81" t="n">
        <f aca="false">sib_surplus*AD15*sib_harvest*1000000/365*sib_callmax</f>
        <v>657.534246575343</v>
      </c>
      <c r="AG15" s="81" t="n">
        <f aca="false">MAX(0,AE15-AF15)</f>
        <v>0</v>
      </c>
      <c r="AH15" s="81" t="n">
        <f aca="false">AE15-AG15</f>
        <v>463.13</v>
      </c>
      <c r="AI15" s="81" t="n">
        <f aca="false">I15*O15*sib_cn_kg</f>
        <v>16.2</v>
      </c>
      <c r="AJ15" s="81" t="n">
        <f aca="false">Q15*sib_loc_kg+H15*(1-N15)*sib_jp_kg</f>
        <v>170.7</v>
      </c>
      <c r="AK15" s="81" t="n">
        <f aca="false">T15+U15+V15+W15+X15+AB15</f>
        <v>471.58</v>
      </c>
      <c r="AL15" s="81" t="n">
        <f aca="false">AI15+AG15</f>
        <v>16.2</v>
      </c>
      <c r="AM15" s="81" t="n">
        <f aca="false">AK15+AJ15</f>
        <v>642.28</v>
      </c>
      <c r="AN15" s="81" t="n">
        <f aca="false">AK15+AL15+sib_e2*AJ15</f>
        <v>590.2</v>
      </c>
      <c r="AO15" s="81" t="n">
        <f aca="false">AK15+AL15+sib_e3*AJ15</f>
        <v>538.99</v>
      </c>
      <c r="AP15" s="81" t="n">
        <f aca="false">AK15+AL15+Z15</f>
        <v>487.78</v>
      </c>
      <c r="AQ15" s="81" t="n">
        <f aca="false">AK15+AL15+Z15</f>
        <v>487.78</v>
      </c>
      <c r="AR15" s="81" t="n">
        <f aca="false">H15+I15+L15</f>
        <v>167</v>
      </c>
      <c r="AS15" s="81" t="n">
        <f aca="false">H15*N15+I15*O15+L15*sib_pw</f>
        <v>88.95</v>
      </c>
      <c r="AT15" s="87" t="n">
        <f aca="false">(MAX(0,AR15-AR14)+AR15*sib_rot*C15/365)*1000/sib_mtrain/C15</f>
        <v>0.0762557077625571</v>
      </c>
      <c r="AU15" s="87" t="n">
        <f aca="false">(MAX(0,AS15-AS14)+AS15*sib_rot*C15/365)*1000/sib_mtrain/C15</f>
        <v>0.0406164383561644</v>
      </c>
      <c r="AV15" s="83" t="n">
        <v>0</v>
      </c>
      <c r="AW15" s="83" t="n">
        <v>0</v>
      </c>
      <c r="AX15" s="81" t="n">
        <f aca="false">(SUM(AV$6:AV15)+SUM(AW$6:AW15))*0.9</f>
        <v>855</v>
      </c>
      <c r="AY15" s="82" t="n">
        <v>0.78</v>
      </c>
      <c r="AZ15" s="84" t="n">
        <f aca="false">1-(1-AY15)*sib_sick</f>
        <v>0.78</v>
      </c>
      <c r="BA15" s="81" t="n">
        <f aca="false">sib_loco0*AZ15+AX15</f>
        <v>1869</v>
      </c>
      <c r="BB15" s="84" t="n">
        <f aca="false">AX15/BA15</f>
        <v>0.457463884430177</v>
      </c>
      <c r="BC15" s="83" t="n">
        <v>18</v>
      </c>
      <c r="BD15" s="83" t="n">
        <v>16</v>
      </c>
      <c r="BE15" s="83" t="n">
        <v>17</v>
      </c>
      <c r="BF15" s="83" t="n">
        <v>24</v>
      </c>
      <c r="BG15" s="83" t="n">
        <v>24</v>
      </c>
      <c r="BH15" s="87" t="n">
        <f aca="false">BC$6+(BC15-BC$6)*sib_works</f>
        <v>18</v>
      </c>
      <c r="BI15" s="87" t="n">
        <f aca="false">BD$6+(BD15-BD$6)*sib_works</f>
        <v>16</v>
      </c>
      <c r="BJ15" s="87" t="n">
        <f aca="false">BE$6+(BE15-BE$6)*sib_works</f>
        <v>17</v>
      </c>
      <c r="BK15" s="87" t="n">
        <f aca="false">BF$6+(BF15-BF$6)*sib_works</f>
        <v>24</v>
      </c>
      <c r="BL15" s="87" t="n">
        <f aca="false">BG$6+(BG15-BG$6)*sib_works</f>
        <v>24</v>
      </c>
      <c r="BM15" s="83" t="n">
        <v>0</v>
      </c>
      <c r="BN15" s="87" t="n">
        <f aca="false">(BH15*G15-sib_pass)*(1-sib_civ)*(1-sib_fuel-BM15*sib_strike)-AT15</f>
        <v>8.48894429223744</v>
      </c>
      <c r="BO15" s="87" t="n">
        <f aca="false">(BI15*G15-sib_pass)*(1-sib_civ)*(1-sib_fuel-BM15*sib_strike)-AT15</f>
        <v>7.39414429223744</v>
      </c>
      <c r="BP15" s="87" t="n">
        <f aca="false">(BJ15*G15-sib_pass)*(1-sib_civ)*(1-sib_fuel-BM15*sib_strike)-AU15</f>
        <v>7.97718356164384</v>
      </c>
      <c r="BQ15" s="87" t="n">
        <f aca="false">(BK15*G15-sib_pass)*(1-sib_civ)*(1-sib_fuel-BM15*sib_strike)-AU15</f>
        <v>11.8089835616438</v>
      </c>
      <c r="BR15" s="87" t="n">
        <f aca="false">(BL15*G15-sib_pass)*(1-sib_civ)*(1-sib_fuel-BM15*sib_strike)-AU15</f>
        <v>11.8089835616438</v>
      </c>
      <c r="BS15" s="87" t="n">
        <f aca="false">AM15/(sib_net1*(1+sib_decup*BB15))</f>
        <v>1.06468467126094</v>
      </c>
      <c r="BT15" s="87" t="n">
        <f aca="false">AN15/(sib_net2*(1+sib_decup*BB15))</f>
        <v>1.21129482301395</v>
      </c>
      <c r="BU15" s="87" t="n">
        <f aca="false">AO15/(sib_net3a*(1+sib_decup*BB15))</f>
        <v>1.03244788808179</v>
      </c>
      <c r="BV15" s="87" t="n">
        <f aca="false">AP15/(sib_net3b*(1+sib_decup*BB15))</f>
        <v>1.10647177265197</v>
      </c>
      <c r="BW15" s="87" t="n">
        <f aca="false">AQ15/(sib_net4*(1+sib_decup*BB15))</f>
        <v>0.875956820016142</v>
      </c>
      <c r="BX15" s="84" t="n">
        <f aca="false">BS15/BN15</f>
        <v>0.125420150563896</v>
      </c>
      <c r="BY15" s="84" t="n">
        <f aca="false">BT15/BO15</f>
        <v>0.163818120818334</v>
      </c>
      <c r="BZ15" s="84" t="n">
        <f aca="false">BU15/BP15</f>
        <v>0.129425113525786</v>
      </c>
      <c r="CA15" s="84" t="n">
        <f aca="false">BV15/BQ15</f>
        <v>0.0936974606557878</v>
      </c>
      <c r="CB15" s="84" t="n">
        <f aca="false">BW15/BR15</f>
        <v>0.0741771563524987</v>
      </c>
      <c r="CC15" s="84" t="n">
        <f aca="false">MAX(BX15:CB15)</f>
        <v>0.163818120818334</v>
      </c>
      <c r="CD15" s="1" t="str">
        <f aca="false">CHOOSE(MATCH(CC15,BX15:CB15,0),"Vladivostok-Harbin","Harbin-Manzhouli","Manzhouli-Kitaisky (branch)","Kitaisky-Irkutsk","Irkutsk-Ob")</f>
        <v>Harbin-Manzhouli</v>
      </c>
      <c r="CE15" s="87" t="n">
        <f aca="false">MIN(BN15-BS15,BO15-BT15,BP15-BU15,BQ15-BV15,BR15-BW15)</f>
        <v>6.18284946922349</v>
      </c>
      <c r="CF15" s="88"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f>
        <v>70847.0347941901</v>
      </c>
      <c r="CG15" s="81" t="n">
        <f aca="false">CF15/sib_kmloco*sib_helper</f>
        <v>553.49245932961</v>
      </c>
      <c r="CH15" s="84" t="n">
        <f aca="false">CG15/BA15</f>
        <v>0.296143637950567</v>
      </c>
      <c r="CI15" s="86" t="n">
        <v>0</v>
      </c>
      <c r="CJ15" s="86" t="n">
        <v>0</v>
      </c>
      <c r="CK15" s="86" t="n">
        <v>0</v>
      </c>
      <c r="CL15" s="88" t="n">
        <f aca="false">(sib_wag0+SUM(CI$6:CI15)+SUM(CJ$6:CJ15))*sib_wserv*(1-sib_civ)</f>
        <v>27370</v>
      </c>
      <c r="CM15" s="88"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f>
        <v>2253.96855829528</v>
      </c>
      <c r="CN15" s="84" t="n">
        <f aca="false">CM15/CL15</f>
        <v>0.082351792411227</v>
      </c>
      <c r="CO15" s="83" t="n">
        <v>0</v>
      </c>
      <c r="CP15" s="81" t="n">
        <f aca="false">MIN(CO15,AK15+AJ15)</f>
        <v>0</v>
      </c>
      <c r="CQ15" s="84" t="n">
        <f aca="false">(AK15+AJ15+Z15-CP15)*365/1000000+sib_civport</f>
        <v>1.0344322</v>
      </c>
      <c r="CR15" s="82" t="n">
        <v>3</v>
      </c>
      <c r="CS15" s="84" t="n">
        <f aca="false">CQ15/(CR15*IF(OR(RIGHT(A15,2)="Q1",C15=365),sib_portwin,1))</f>
        <v>0.344810733333333</v>
      </c>
      <c r="CT15" s="87" t="n">
        <f aca="false">(AK15+AJ15+Z15-CP15)*sib_pacship*365/(sib_dwt*0.9*sib_voy)</f>
        <v>2.93875122507123</v>
      </c>
      <c r="CU15" s="84" t="n">
        <f aca="false">CT15/sib_ships</f>
        <v>0.0734687806267806</v>
      </c>
      <c r="CV15" s="88" t="n">
        <f aca="false">CV14+(AB15+Z15)*C15+AA15</f>
        <v>87980</v>
      </c>
      <c r="CW15" s="87" t="n">
        <f aca="false">IF(C15=365,sib_surge/sib_mtrain/sib_surge_d,0)</f>
        <v>0</v>
      </c>
      <c r="CX15" s="81" t="n">
        <f aca="false">(CC15&gt;sib_util_max)+(CH15&gt;1)+(CN15&gt;1)+(CS15&gt;sib_util_max)+(CU15&gt;1)+(CV15&lt;0)+(CW15&gt;0)*(CE15&lt;CW15)</f>
        <v>0</v>
      </c>
      <c r="CY15" s="1" t="str">
        <f aca="false">IF(CX15=0,"OK","Check")</f>
        <v>OK</v>
      </c>
      <c r="CZ15" s="83" t="n">
        <v>0</v>
      </c>
      <c r="DA15" s="82" t="n">
        <v>1</v>
      </c>
      <c r="DB15" s="82" t="n">
        <v>2</v>
      </c>
      <c r="DC15" s="84" t="n">
        <f aca="false">INDEX(Paths!$B$6:$B$92,MATCH(B15,Paths!$A$6:$A$92,0))*sib_cost</f>
        <v>2.05</v>
      </c>
      <c r="DD15" s="87" t="n">
        <f aca="false">L15*sib_c_pac/1000*C15/365*DC15</f>
        <v>14.7779726027397</v>
      </c>
      <c r="DE15" s="87" t="n">
        <f aca="false">K15*sib_c_cz/1000*C15/365*DC15</f>
        <v>0</v>
      </c>
      <c r="DF15" s="87" t="n">
        <f aca="false">J15*sib_c_sib/1000*C15/365*DC15</f>
        <v>5.94219178082192</v>
      </c>
      <c r="DG15" s="87" t="n">
        <f aca="false">((MAX(0,T15-CP15)+V15+AB15+Z15+AA15/C15)*sib_pst_w+Q15*sib_loc_kg*sib_pst_e)*C15*sib_c_store/1000000*DC15</f>
        <v>13.76427318</v>
      </c>
      <c r="DH15" s="87" t="n">
        <f aca="false">((AW15*sib_c_loco+CJ15*sib_c_wag+MAX(0,AZ15-AZ14)*sib_loco0*sib_c_rep+CZ15*sib_c_arm)/1000000+DA15)*DC15</f>
        <v>2.05</v>
      </c>
      <c r="DI15" s="87" t="n">
        <f aca="false">2*(sib_L1*(BS15+AT15)+sib_L2*(BT15+AT15)+sib_L3a*(BU15+AU15)+sib_L3b*(BV15+AU15)+sib_L4*(BW15+AU15))*C15*sib_c_tkm*sib_prail/1000000*DC15</f>
        <v>2.05880415439323</v>
      </c>
      <c r="DJ15" s="87" t="n">
        <f aca="false">CT15*sib_c_ship*C15/365*DC15</f>
        <v>0.683320045128205</v>
      </c>
      <c r="DK15" s="87" t="n">
        <f aca="false">DB15*DC15</f>
        <v>4.1</v>
      </c>
      <c r="DL15" s="87" t="n">
        <f aca="false">AA15*sib_c_kara/1000000*DC15</f>
        <v>0</v>
      </c>
      <c r="DM15" s="87" t="n">
        <f aca="false">(AC15*sib_c_ref/1000*C15/365+AH15*C15*sib_c_grain/1000000)*DC15</f>
        <v>3.10763955183562</v>
      </c>
      <c r="DN15" s="87" t="n">
        <f aca="false">Z15*C15*sib_c_amur/1000000*DC15</f>
        <v>0</v>
      </c>
      <c r="DO15" s="87" t="n">
        <f aca="false">sib_fed*sib_c_fed/1000000*C15/365*DC15</f>
        <v>0.775068493150685</v>
      </c>
      <c r="DP15" s="87" t="n">
        <f aca="false">SUM(DD15:DO15)</f>
        <v>47.2592698080694</v>
      </c>
    </row>
    <row r="16" customFormat="false" ht="13.8" hidden="false" customHeight="false" outlineLevel="0" collapsed="false">
      <c r="A16" s="1" t="s">
        <v>1786</v>
      </c>
      <c r="B16" s="81" t="n">
        <v>1921</v>
      </c>
      <c r="C16" s="81" t="n">
        <v>90</v>
      </c>
      <c r="D16" s="1" t="s">
        <v>1787</v>
      </c>
      <c r="E16" s="82" t="n">
        <v>0.3</v>
      </c>
      <c r="F16" s="83" t="n">
        <v>1</v>
      </c>
      <c r="G16" s="84" t="n">
        <f aca="false">1-E16*IF(F16=1,sib_winter,1)</f>
        <v>0.7</v>
      </c>
      <c r="H16" s="83" t="n">
        <v>95</v>
      </c>
      <c r="I16" s="83" t="n">
        <v>45</v>
      </c>
      <c r="J16" s="83" t="n">
        <v>115</v>
      </c>
      <c r="K16" s="83" t="n">
        <v>0</v>
      </c>
      <c r="L16" s="83" t="n">
        <v>20</v>
      </c>
      <c r="M16" s="81" t="n">
        <f aca="false">SUM(H16:L16)</f>
        <v>275</v>
      </c>
      <c r="N16" s="82" t="n">
        <v>0.5</v>
      </c>
      <c r="O16" s="82" t="n">
        <v>0.45</v>
      </c>
      <c r="P16" s="81" t="n">
        <f aca="false">H16*N16+I16*O16+J16*sib_sw+K16+L16*sib_pw</f>
        <v>194</v>
      </c>
      <c r="Q16" s="81" t="n">
        <f aca="false">M16-P16</f>
        <v>81</v>
      </c>
      <c r="R16" s="82" t="n">
        <v>0.4</v>
      </c>
      <c r="S16" s="85" t="n">
        <v>2.5</v>
      </c>
      <c r="T16" s="81" t="n">
        <f aca="false">P16*(R16*S16*sib_ammo+(1-R16)*sib_loc_kg)</f>
        <v>368.6</v>
      </c>
      <c r="U16" s="81" t="n">
        <f aca="false">H16*N16*sib_jp_kg</f>
        <v>42.75</v>
      </c>
      <c r="V16" s="83" t="n">
        <v>50</v>
      </c>
      <c r="W16" s="83" t="n">
        <v>60</v>
      </c>
      <c r="X16" s="83" t="n">
        <v>0</v>
      </c>
      <c r="Y16" s="83" t="n">
        <v>0</v>
      </c>
      <c r="Z16" s="81" t="n">
        <f aca="false">Y16*sib_amur</f>
        <v>0</v>
      </c>
      <c r="AA16" s="86" t="n">
        <v>0</v>
      </c>
      <c r="AB16" s="83" t="n">
        <v>-200</v>
      </c>
      <c r="AC16" s="83" t="n">
        <v>200</v>
      </c>
      <c r="AD16" s="82" t="n">
        <v>0.85</v>
      </c>
      <c r="AE16" s="81" t="n">
        <f aca="false">(J16*sib_sw+K16+L16*sib_pw)*sib_bread+P16*sib_horses*sib_oats+AC16*sib_relief_kg</f>
        <v>431.875</v>
      </c>
      <c r="AF16" s="81" t="n">
        <f aca="false">sib_surplus*AD16*sib_harvest*1000000/365*sib_callmax</f>
        <v>698.630136986301</v>
      </c>
      <c r="AG16" s="81" t="n">
        <f aca="false">MAX(0,AE16-AF16)</f>
        <v>0</v>
      </c>
      <c r="AH16" s="81" t="n">
        <f aca="false">AE16-AG16</f>
        <v>431.875</v>
      </c>
      <c r="AI16" s="81" t="n">
        <f aca="false">I16*O16*sib_cn_kg</f>
        <v>16.2</v>
      </c>
      <c r="AJ16" s="81" t="n">
        <f aca="false">Q16*sib_loc_kg+H16*(1-N16)*sib_jp_kg</f>
        <v>164.25</v>
      </c>
      <c r="AK16" s="81" t="n">
        <f aca="false">T16+U16+V16+W16+X16+AB16</f>
        <v>321.35</v>
      </c>
      <c r="AL16" s="81" t="n">
        <f aca="false">AI16+AG16</f>
        <v>16.2</v>
      </c>
      <c r="AM16" s="81" t="n">
        <f aca="false">AK16+AJ16</f>
        <v>485.6</v>
      </c>
      <c r="AN16" s="81" t="n">
        <f aca="false">AK16+AL16+sib_e2*AJ16</f>
        <v>436.1</v>
      </c>
      <c r="AO16" s="81" t="n">
        <f aca="false">AK16+AL16+sib_e3*AJ16</f>
        <v>386.825</v>
      </c>
      <c r="AP16" s="81" t="n">
        <f aca="false">AK16+AL16+Z16</f>
        <v>337.55</v>
      </c>
      <c r="AQ16" s="81" t="n">
        <f aca="false">AK16+AL16+Z16</f>
        <v>337.55</v>
      </c>
      <c r="AR16" s="81" t="n">
        <f aca="false">H16+I16+L16</f>
        <v>160</v>
      </c>
      <c r="AS16" s="81" t="n">
        <f aca="false">H16*N16+I16*O16+L16*sib_pw</f>
        <v>84.75</v>
      </c>
      <c r="AT16" s="87" t="n">
        <f aca="false">(MAX(0,AR16-AR15)+AR16*sib_rot*C16/365)*1000/sib_mtrain/C16</f>
        <v>0.0730593607305936</v>
      </c>
      <c r="AU16" s="87" t="n">
        <f aca="false">(MAX(0,AS16-AS15)+AS16*sib_rot*C16/365)*1000/sib_mtrain/C16</f>
        <v>0.0386986301369863</v>
      </c>
      <c r="AV16" s="83" t="n">
        <v>0</v>
      </c>
      <c r="AW16" s="83" t="n">
        <v>0</v>
      </c>
      <c r="AX16" s="81" t="n">
        <f aca="false">(SUM(AV$6:AV16)+SUM(AW$6:AW16))*0.9</f>
        <v>855</v>
      </c>
      <c r="AY16" s="82" t="n">
        <v>0.8</v>
      </c>
      <c r="AZ16" s="84" t="n">
        <f aca="false">1-(1-AY16)*sib_sick</f>
        <v>0.8</v>
      </c>
      <c r="BA16" s="81" t="n">
        <f aca="false">sib_loco0*AZ16+AX16</f>
        <v>1895</v>
      </c>
      <c r="BB16" s="84" t="n">
        <f aca="false">AX16/BA16</f>
        <v>0.451187335092348</v>
      </c>
      <c r="BC16" s="83" t="n">
        <v>18</v>
      </c>
      <c r="BD16" s="83" t="n">
        <v>16</v>
      </c>
      <c r="BE16" s="83" t="n">
        <v>18</v>
      </c>
      <c r="BF16" s="83" t="n">
        <v>24</v>
      </c>
      <c r="BG16" s="83" t="n">
        <v>24</v>
      </c>
      <c r="BH16" s="87" t="n">
        <f aca="false">BC$6+(BC16-BC$6)*sib_works</f>
        <v>18</v>
      </c>
      <c r="BI16" s="87" t="n">
        <f aca="false">BD$6+(BD16-BD$6)*sib_works</f>
        <v>16</v>
      </c>
      <c r="BJ16" s="87" t="n">
        <f aca="false">BE$6+(BE16-BE$6)*sib_works</f>
        <v>18</v>
      </c>
      <c r="BK16" s="87" t="n">
        <f aca="false">BF$6+(BF16-BF$6)*sib_works</f>
        <v>24</v>
      </c>
      <c r="BL16" s="87" t="n">
        <f aca="false">BG$6+(BG16-BG$6)*sib_works</f>
        <v>24</v>
      </c>
      <c r="BM16" s="83" t="n">
        <v>0</v>
      </c>
      <c r="BN16" s="87" t="n">
        <f aca="false">(BH16*G16-sib_pass)*(1-sib_civ)*(1-sib_fuel-BM16*sib_strike)-AT16</f>
        <v>6.75334063926941</v>
      </c>
      <c r="BO16" s="87" t="n">
        <f aca="false">(BI16*G16-sib_pass)*(1-sib_civ)*(1-sib_fuel-BM16*sib_strike)-AT16</f>
        <v>5.85174063926941</v>
      </c>
      <c r="BP16" s="87" t="n">
        <f aca="false">(BJ16*G16-sib_pass)*(1-sib_civ)*(1-sib_fuel-BM16*sib_strike)-AU16</f>
        <v>6.78770136986301</v>
      </c>
      <c r="BQ16" s="87" t="n">
        <f aca="false">(BK16*G16-sib_pass)*(1-sib_civ)*(1-sib_fuel-BM16*sib_strike)-AU16</f>
        <v>9.49250136986301</v>
      </c>
      <c r="BR16" s="87" t="n">
        <f aca="false">(BL16*G16-sib_pass)*(1-sib_civ)*(1-sib_fuel-BM16*sib_strike)-AU16</f>
        <v>9.49250136986301</v>
      </c>
      <c r="BS16" s="87" t="n">
        <f aca="false">AM16/(sib_net1*(1+sib_decup*BB16))</f>
        <v>0.806488987826575</v>
      </c>
      <c r="BT16" s="87" t="n">
        <f aca="false">AN16/(sib_net2*(1+sib_decup*BB16))</f>
        <v>0.896726292203107</v>
      </c>
      <c r="BU16" s="87" t="n">
        <f aca="false">AO16/(sib_net3a*(1+sib_decup*BB16))</f>
        <v>0.742378058815338</v>
      </c>
      <c r="BV16" s="87" t="n">
        <f aca="false">AP16/(sib_net3b*(1+sib_decup*BB16))</f>
        <v>0.767145290022367</v>
      </c>
      <c r="BW16" s="87" t="n">
        <f aca="false">AQ16/(sib_net4*(1+sib_decup*BB16))</f>
        <v>0.607323354601041</v>
      </c>
      <c r="BX16" s="84" t="n">
        <f aca="false">BS16/BN16</f>
        <v>0.119420747583351</v>
      </c>
      <c r="BY16" s="84" t="n">
        <f aca="false">BT16/BO16</f>
        <v>0.153240949570701</v>
      </c>
      <c r="BZ16" s="84" t="n">
        <f aca="false">BU16/BP16</f>
        <v>0.10937105484803</v>
      </c>
      <c r="CA16" s="84" t="n">
        <f aca="false">BV16/BQ16</f>
        <v>0.0808159261854747</v>
      </c>
      <c r="CB16" s="84" t="n">
        <f aca="false">BW16/BR16</f>
        <v>0.0639792748968342</v>
      </c>
      <c r="CC16" s="84" t="n">
        <f aca="false">MAX(BX16:CB16)</f>
        <v>0.153240949570701</v>
      </c>
      <c r="CD16" s="1" t="str">
        <f aca="false">CHOOSE(MATCH(CC16,BX16:CB16,0),"Vladivostok-Harbin","Harbin-Manzhouli","Manzhouli-Kitaisky (branch)","Kitaisky-Irkutsk","Irkutsk-Ob")</f>
        <v>Harbin-Manzhouli</v>
      </c>
      <c r="CE16" s="87" t="n">
        <f aca="false">MIN(BN16-BS16,BO16-BT16,BP16-BU16,BQ16-BV16,BR16-BW16)</f>
        <v>4.9550143470663</v>
      </c>
      <c r="CF16" s="88"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f>
        <v>59989.0488056986</v>
      </c>
      <c r="CG16" s="81" t="n">
        <f aca="false">CF16/sib_kmloco*sib_helper</f>
        <v>468.664443794521</v>
      </c>
      <c r="CH16" s="84" t="n">
        <f aca="false">CG16/BA16</f>
        <v>0.247316329179167</v>
      </c>
      <c r="CI16" s="86" t="n">
        <v>0</v>
      </c>
      <c r="CJ16" s="86" t="n">
        <v>0</v>
      </c>
      <c r="CK16" s="86" t="n">
        <v>0</v>
      </c>
      <c r="CL16" s="88" t="n">
        <f aca="false">(sib_wag0+SUM(CI$6:CI16)+SUM(CJ$6:CJ16))*sib_wserv*(1-sib_civ)</f>
        <v>27370</v>
      </c>
      <c r="CM16" s="88"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f>
        <v>1635.5670608828</v>
      </c>
      <c r="CN16" s="84" t="n">
        <f aca="false">CM16/CL16</f>
        <v>0.0597576565905298</v>
      </c>
      <c r="CO16" s="83" t="n">
        <v>0</v>
      </c>
      <c r="CP16" s="81" t="n">
        <f aca="false">MIN(CO16,AK16+AJ16)</f>
        <v>0</v>
      </c>
      <c r="CQ16" s="84" t="n">
        <f aca="false">(AK16+AJ16+Z16-CP16)*365/1000000+sib_civport</f>
        <v>0.977244</v>
      </c>
      <c r="CR16" s="82" t="n">
        <v>3</v>
      </c>
      <c r="CS16" s="84" t="n">
        <f aca="false">CQ16/(CR16*IF(OR(RIGHT(A16,2)="Q1",C16=365),sib_portwin,1))</f>
        <v>0.383232941176471</v>
      </c>
      <c r="CT16" s="87" t="n">
        <f aca="false">(AK16+AJ16+Z16-CP16)*sib_pacship*365/(sib_dwt*0.9*sib_voy)</f>
        <v>2.22186210826211</v>
      </c>
      <c r="CU16" s="84" t="n">
        <f aca="false">CT16/sib_ships</f>
        <v>0.0555465527065527</v>
      </c>
      <c r="CV16" s="88" t="n">
        <f aca="false">CV15+(AB16+Z16)*C16+AA16</f>
        <v>69980</v>
      </c>
      <c r="CW16" s="87" t="n">
        <f aca="false">IF(C16=365,sib_surge/sib_mtrain/sib_surge_d,0)</f>
        <v>0</v>
      </c>
      <c r="CX16" s="81" t="n">
        <f aca="false">(CC16&gt;sib_util_max)+(CH16&gt;1)+(CN16&gt;1)+(CS16&gt;sib_util_max)+(CU16&gt;1)+(CV16&lt;0)+(CW16&gt;0)*(CE16&lt;CW16)</f>
        <v>0</v>
      </c>
      <c r="CY16" s="1" t="str">
        <f aca="false">IF(CX16=0,"OK","Check")</f>
        <v>OK</v>
      </c>
      <c r="CZ16" s="83" t="n">
        <v>0</v>
      </c>
      <c r="DA16" s="82" t="n">
        <v>0.75</v>
      </c>
      <c r="DB16" s="82" t="n">
        <v>1.5</v>
      </c>
      <c r="DC16" s="84" t="n">
        <f aca="false">INDEX(Paths!$B$6:$B$92,MATCH(B16,Paths!$A$6:$A$92,0))*sib_cost</f>
        <v>1.7</v>
      </c>
      <c r="DD16" s="87" t="n">
        <f aca="false">L16*sib_c_pac/1000*C16/365*DC16</f>
        <v>10.8986301369863</v>
      </c>
      <c r="DE16" s="87" t="n">
        <f aca="false">K16*sib_c_cz/1000*C16/365*DC16</f>
        <v>0</v>
      </c>
      <c r="DF16" s="87" t="n">
        <f aca="false">J16*sib_c_sib/1000*C16/365*DC16</f>
        <v>4.82054794520548</v>
      </c>
      <c r="DG16" s="87" t="n">
        <f aca="false">((MAX(0,T16-CP16)+V16+AB16+Z16+AA16/C16)*sib_pst_w+Q16*sib_loc_kg*sib_pst_e)*C16*sib_c_store/1000000*DC16</f>
        <v>7.6742505</v>
      </c>
      <c r="DH16" s="87" t="n">
        <f aca="false">((AW16*sib_c_loco+CJ16*sib_c_wag+MAX(0,AZ16-AZ15)*sib_loco0*sib_c_rep+CZ16*sib_c_arm)/1000000+DA16)*DC16</f>
        <v>1.5402</v>
      </c>
      <c r="DI16" s="87" t="n">
        <f aca="false">2*(sib_L1*(BS16+AT16)+sib_L2*(BT16+AT16)+sib_L3a*(BU16+AU16)+sib_L3b*(BV16+AU16)+sib_L4*(BW16+AU16))*C16*sib_c_tkm*sib_prail/1000000*DC16</f>
        <v>1.21634625057076</v>
      </c>
      <c r="DJ16" s="87" t="n">
        <f aca="false">CT16*sib_c_ship*C16/365*DC16</f>
        <v>0.419110153846154</v>
      </c>
      <c r="DK16" s="87" t="n">
        <f aca="false">DB16*DC16</f>
        <v>2.55</v>
      </c>
      <c r="DL16" s="87" t="n">
        <f aca="false">AA16*sib_c_kara/1000000*DC16</f>
        <v>0</v>
      </c>
      <c r="DM16" s="87" t="n">
        <f aca="false">(AC16*sib_c_ref/1000*C16/365+AH16*C16*sib_c_grain/1000000)*DC16</f>
        <v>2.07317357876712</v>
      </c>
      <c r="DN16" s="87" t="n">
        <f aca="false">Z16*C16*sib_c_amur/1000000*DC16</f>
        <v>0</v>
      </c>
      <c r="DO16" s="87" t="n">
        <f aca="false">sib_fed*sib_c_fed/1000000*C16/365*DC16</f>
        <v>0.628767123287671</v>
      </c>
      <c r="DP16" s="87" t="n">
        <f aca="false">SUM(DD16:DO16)</f>
        <v>31.8210256886635</v>
      </c>
    </row>
    <row r="17" customFormat="false" ht="13.8" hidden="false" customHeight="false" outlineLevel="0" collapsed="false">
      <c r="A17" s="1" t="s">
        <v>1788</v>
      </c>
      <c r="B17" s="81" t="n">
        <v>1921</v>
      </c>
      <c r="C17" s="81" t="n">
        <v>91</v>
      </c>
      <c r="D17" s="1" t="s">
        <v>1789</v>
      </c>
      <c r="E17" s="82" t="n">
        <v>0.08</v>
      </c>
      <c r="F17" s="83" t="n">
        <v>0</v>
      </c>
      <c r="G17" s="84" t="n">
        <f aca="false">1-E17*IF(F17=1,sib_winter,1)</f>
        <v>0.92</v>
      </c>
      <c r="H17" s="83" t="n">
        <v>95</v>
      </c>
      <c r="I17" s="83" t="n">
        <v>45</v>
      </c>
      <c r="J17" s="83" t="n">
        <v>115</v>
      </c>
      <c r="K17" s="83" t="n">
        <v>0</v>
      </c>
      <c r="L17" s="83" t="n">
        <v>20</v>
      </c>
      <c r="M17" s="81" t="n">
        <f aca="false">SUM(H17:L17)</f>
        <v>275</v>
      </c>
      <c r="N17" s="82" t="n">
        <v>0.5</v>
      </c>
      <c r="O17" s="82" t="n">
        <v>0.45</v>
      </c>
      <c r="P17" s="81" t="n">
        <f aca="false">H17*N17+I17*O17+J17*sib_sw+K17+L17*sib_pw</f>
        <v>194</v>
      </c>
      <c r="Q17" s="81" t="n">
        <f aca="false">M17-P17</f>
        <v>81</v>
      </c>
      <c r="R17" s="82" t="n">
        <v>0.45</v>
      </c>
      <c r="S17" s="85" t="n">
        <v>4</v>
      </c>
      <c r="T17" s="81" t="n">
        <f aca="false">P17*(R17*S17*sib_ammo+(1-R17)*sib_loc_kg)</f>
        <v>509.25</v>
      </c>
      <c r="U17" s="81" t="n">
        <f aca="false">H17*N17*sib_jp_kg</f>
        <v>42.75</v>
      </c>
      <c r="V17" s="83" t="n">
        <v>50</v>
      </c>
      <c r="W17" s="83" t="n">
        <v>60</v>
      </c>
      <c r="X17" s="83" t="n">
        <v>0</v>
      </c>
      <c r="Y17" s="83" t="n">
        <v>87.9120879120879</v>
      </c>
      <c r="Z17" s="81" t="n">
        <f aca="false">Y17*sib_amur</f>
        <v>87.9120879120879</v>
      </c>
      <c r="AA17" s="86" t="n">
        <v>0</v>
      </c>
      <c r="AB17" s="83" t="n">
        <v>0</v>
      </c>
      <c r="AC17" s="83" t="n">
        <v>200</v>
      </c>
      <c r="AD17" s="82" t="n">
        <v>0.85</v>
      </c>
      <c r="AE17" s="81" t="n">
        <f aca="false">(J17*sib_sw+K17+L17*sib_pw)*sib_bread+P17*sib_horses*sib_oats+AC17*sib_relief_kg</f>
        <v>431.875</v>
      </c>
      <c r="AF17" s="81" t="n">
        <f aca="false">sib_surplus*AD17*sib_harvest*1000000/365*sib_callmax</f>
        <v>698.630136986301</v>
      </c>
      <c r="AG17" s="81" t="n">
        <f aca="false">MAX(0,AE17-AF17)</f>
        <v>0</v>
      </c>
      <c r="AH17" s="81" t="n">
        <f aca="false">AE17-AG17</f>
        <v>431.875</v>
      </c>
      <c r="AI17" s="81" t="n">
        <f aca="false">I17*O17*sib_cn_kg</f>
        <v>16.2</v>
      </c>
      <c r="AJ17" s="81" t="n">
        <f aca="false">Q17*sib_loc_kg+H17*(1-N17)*sib_jp_kg</f>
        <v>164.25</v>
      </c>
      <c r="AK17" s="81" t="n">
        <f aca="false">T17+U17+V17+W17+X17+AB17</f>
        <v>662</v>
      </c>
      <c r="AL17" s="81" t="n">
        <f aca="false">AI17+AG17</f>
        <v>16.2</v>
      </c>
      <c r="AM17" s="81" t="n">
        <f aca="false">AK17+AJ17</f>
        <v>826.25</v>
      </c>
      <c r="AN17" s="81" t="n">
        <f aca="false">AK17+AL17+sib_e2*AJ17</f>
        <v>776.75</v>
      </c>
      <c r="AO17" s="81" t="n">
        <f aca="false">AK17+AL17+sib_e3*AJ17</f>
        <v>727.475</v>
      </c>
      <c r="AP17" s="81" t="n">
        <f aca="false">AK17+AL17+Z17</f>
        <v>766.112087912088</v>
      </c>
      <c r="AQ17" s="81" t="n">
        <f aca="false">AK17+AL17+Z17</f>
        <v>766.112087912088</v>
      </c>
      <c r="AR17" s="81" t="n">
        <f aca="false">H17+I17+L17</f>
        <v>160</v>
      </c>
      <c r="AS17" s="81" t="n">
        <f aca="false">H17*N17+I17*O17+L17*sib_pw</f>
        <v>84.75</v>
      </c>
      <c r="AT17" s="87" t="n">
        <f aca="false">(MAX(0,AR17-AR16)+AR17*sib_rot*C17/365)*1000/sib_mtrain/C17</f>
        <v>0.0730593607305936</v>
      </c>
      <c r="AU17" s="87" t="n">
        <f aca="false">(MAX(0,AS17-AS16)+AS17*sib_rot*C17/365)*1000/sib_mtrain/C17</f>
        <v>0.0386986301369863</v>
      </c>
      <c r="AV17" s="83" t="n">
        <v>0</v>
      </c>
      <c r="AW17" s="83" t="n">
        <v>0</v>
      </c>
      <c r="AX17" s="81" t="n">
        <f aca="false">(SUM(AV$6:AV17)+SUM(AW$6:AW17))*0.9</f>
        <v>855</v>
      </c>
      <c r="AY17" s="82" t="n">
        <v>0.8</v>
      </c>
      <c r="AZ17" s="84" t="n">
        <f aca="false">1-(1-AY17)*sib_sick</f>
        <v>0.8</v>
      </c>
      <c r="BA17" s="81" t="n">
        <f aca="false">sib_loco0*AZ17+AX17</f>
        <v>1895</v>
      </c>
      <c r="BB17" s="84" t="n">
        <f aca="false">AX17/BA17</f>
        <v>0.451187335092348</v>
      </c>
      <c r="BC17" s="83" t="n">
        <v>18</v>
      </c>
      <c r="BD17" s="83" t="n">
        <v>16</v>
      </c>
      <c r="BE17" s="83" t="n">
        <v>18</v>
      </c>
      <c r="BF17" s="83" t="n">
        <v>24</v>
      </c>
      <c r="BG17" s="83" t="n">
        <v>24</v>
      </c>
      <c r="BH17" s="87" t="n">
        <f aca="false">BC$6+(BC17-BC$6)*sib_works</f>
        <v>18</v>
      </c>
      <c r="BI17" s="87" t="n">
        <f aca="false">BD$6+(BD17-BD$6)*sib_works</f>
        <v>16</v>
      </c>
      <c r="BJ17" s="87" t="n">
        <f aca="false">BE$6+(BE17-BE$6)*sib_works</f>
        <v>18</v>
      </c>
      <c r="BK17" s="87" t="n">
        <f aca="false">BF$6+(BF17-BF$6)*sib_works</f>
        <v>24</v>
      </c>
      <c r="BL17" s="87" t="n">
        <f aca="false">BG$6+(BG17-BG$6)*sib_works</f>
        <v>24</v>
      </c>
      <c r="BM17" s="83" t="n">
        <v>0</v>
      </c>
      <c r="BN17" s="87" t="n">
        <f aca="false">(BH17*G17-sib_pass)*(1-sib_civ)*(1-sib_fuel-BM17*sib_strike)-AT17</f>
        <v>9.30358063926941</v>
      </c>
      <c r="BO17" s="87" t="n">
        <f aca="false">(BI17*G17-sib_pass)*(1-sib_civ)*(1-sib_fuel-BM17*sib_strike)-AT17</f>
        <v>8.11862063926941</v>
      </c>
      <c r="BP17" s="87" t="n">
        <f aca="false">(BJ17*G17-sib_pass)*(1-sib_civ)*(1-sib_fuel-BM17*sib_strike)-AU17</f>
        <v>9.33794136986301</v>
      </c>
      <c r="BQ17" s="87" t="n">
        <f aca="false">(BK17*G17-sib_pass)*(1-sib_civ)*(1-sib_fuel-BM17*sib_strike)-AU17</f>
        <v>12.892821369863</v>
      </c>
      <c r="BR17" s="87" t="n">
        <f aca="false">(BL17*G17-sib_pass)*(1-sib_civ)*(1-sib_fuel-BM17*sib_strike)-AU17</f>
        <v>12.892821369863</v>
      </c>
      <c r="BS17" s="87" t="n">
        <f aca="false">AM17/(sib_net1*(1+sib_decup*BB17))</f>
        <v>1.37224367008177</v>
      </c>
      <c r="BT17" s="87" t="n">
        <f aca="false">AN17/(sib_net2*(1+sib_decup*BB17))</f>
        <v>1.59718447023335</v>
      </c>
      <c r="BU17" s="87" t="n">
        <f aca="false">AO17/(sib_net3a*(1+sib_decup*BB17))</f>
        <v>1.3961390249769</v>
      </c>
      <c r="BV17" s="87" t="n">
        <f aca="false">AP17/(sib_net3b*(1+sib_decup*BB17))</f>
        <v>1.74113251331939</v>
      </c>
      <c r="BW17" s="87" t="n">
        <f aca="false">AQ17/(sib_net4*(1+sib_decup*BB17))</f>
        <v>1.37839657304452</v>
      </c>
      <c r="BX17" s="84" t="n">
        <f aca="false">BS17/BN17</f>
        <v>0.147496294522313</v>
      </c>
      <c r="BY17" s="84" t="n">
        <f aca="false">BT17/BO17</f>
        <v>0.19673101394932</v>
      </c>
      <c r="BZ17" s="84" t="n">
        <f aca="false">BU17/BP17</f>
        <v>0.149512507058863</v>
      </c>
      <c r="CA17" s="84" t="n">
        <f aca="false">BV17/BQ17</f>
        <v>0.13504666382715</v>
      </c>
      <c r="CB17" s="84" t="n">
        <f aca="false">BW17/BR17</f>
        <v>0.106911942196494</v>
      </c>
      <c r="CC17" s="84" t="n">
        <f aca="false">MAX(BX17:CB17)</f>
        <v>0.19673101394932</v>
      </c>
      <c r="CD17" s="1" t="str">
        <f aca="false">CHOOSE(MATCH(CC17,BX17:CB17,0),"Vladivostok-Harbin","Harbin-Manzhouli","Manzhouli-Kitaisky (branch)","Kitaisky-Irkutsk","Irkutsk-Ob")</f>
        <v>Harbin-Manzhouli</v>
      </c>
      <c r="CE17" s="87" t="n">
        <f aca="false">MIN(BN17-BS17,BO17-BT17,BP17-BU17,BQ17-BV17,BR17-BW17)</f>
        <v>6.52143616903606</v>
      </c>
      <c r="CF17" s="88"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f>
        <v>79305.1801975369</v>
      </c>
      <c r="CG17" s="81" t="n">
        <f aca="false">CF17/sib_kmloco*sib_helper</f>
        <v>619.571720293257</v>
      </c>
      <c r="CH17" s="84" t="n">
        <f aca="false">CG17/BA17</f>
        <v>0.326950775880347</v>
      </c>
      <c r="CI17" s="86" t="n">
        <v>0</v>
      </c>
      <c r="CJ17" s="86" t="n">
        <v>0</v>
      </c>
      <c r="CK17" s="86" t="n">
        <v>0</v>
      </c>
      <c r="CL17" s="88" t="n">
        <f aca="false">(sib_wag0+SUM(CI$6:CI17)+SUM(CJ$6:CJ17))*sib_wserv*(1-sib_civ)</f>
        <v>27370</v>
      </c>
      <c r="CM17" s="88"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f>
        <v>3203.99823060197</v>
      </c>
      <c r="CN17" s="84" t="n">
        <f aca="false">CM17/CL17</f>
        <v>0.117062412517427</v>
      </c>
      <c r="CO17" s="83" t="n">
        <v>0</v>
      </c>
      <c r="CP17" s="81" t="n">
        <f aca="false">MIN(CO17,AK17+AJ17)</f>
        <v>0</v>
      </c>
      <c r="CQ17" s="84" t="n">
        <f aca="false">(AK17+AJ17+Z17-CP17)*365/1000000+sib_civport</f>
        <v>1.13366916208791</v>
      </c>
      <c r="CR17" s="82" t="n">
        <v>3</v>
      </c>
      <c r="CS17" s="84" t="n">
        <f aca="false">CQ17/(CR17*IF(OR(RIGHT(A17,2)="Q1",C17=365),sib_portwin,1))</f>
        <v>0.377889720695971</v>
      </c>
      <c r="CT17" s="87" t="n">
        <f aca="false">(AK17+AJ17+Z17-CP17)*sib_pacship*365/(sib_dwt*0.9*sib_voy)</f>
        <v>4.18274733101656</v>
      </c>
      <c r="CU17" s="84" t="n">
        <f aca="false">CT17/sib_ships</f>
        <v>0.104568683275414</v>
      </c>
      <c r="CV17" s="88" t="n">
        <f aca="false">CV16+(AB17+Z17)*C17+AA17</f>
        <v>77980</v>
      </c>
      <c r="CW17" s="87" t="n">
        <f aca="false">IF(C17=365,sib_surge/sib_mtrain/sib_surge_d,0)</f>
        <v>0</v>
      </c>
      <c r="CX17" s="81" t="n">
        <f aca="false">(CC17&gt;sib_util_max)+(CH17&gt;1)+(CN17&gt;1)+(CS17&gt;sib_util_max)+(CU17&gt;1)+(CV17&lt;0)+(CW17&gt;0)*(CE17&lt;CW17)</f>
        <v>0</v>
      </c>
      <c r="CY17" s="1" t="str">
        <f aca="false">IF(CX17=0,"OK","Check")</f>
        <v>OK</v>
      </c>
      <c r="CZ17" s="83" t="n">
        <v>0</v>
      </c>
      <c r="DA17" s="82" t="n">
        <v>0.75</v>
      </c>
      <c r="DB17" s="82" t="n">
        <v>1.5</v>
      </c>
      <c r="DC17" s="84" t="n">
        <f aca="false">INDEX(Paths!$B$6:$B$92,MATCH(B17,Paths!$A$6:$A$92,0))*sib_cost</f>
        <v>1.7</v>
      </c>
      <c r="DD17" s="87" t="n">
        <f aca="false">L17*sib_c_pac/1000*C17/365*DC17</f>
        <v>11.0197260273973</v>
      </c>
      <c r="DE17" s="87" t="n">
        <f aca="false">K17*sib_c_cz/1000*C17/365*DC17</f>
        <v>0</v>
      </c>
      <c r="DF17" s="87" t="n">
        <f aca="false">J17*sib_c_sib/1000*C17/365*DC17</f>
        <v>4.8741095890411</v>
      </c>
      <c r="DG17" s="87" t="n">
        <f aca="false">((MAX(0,T17-CP17)+V17+AB17+Z17+AA17/C17)*sib_pst_w+Q17*sib_loc_kg*sib_pst_e)*C17*sib_c_store/1000000*DC17</f>
        <v>21.6822165</v>
      </c>
      <c r="DH17" s="87" t="n">
        <f aca="false">((AW17*sib_c_loco+CJ17*sib_c_wag+MAX(0,AZ17-AZ16)*sib_loco0*sib_c_rep+CZ17*sib_c_arm)/1000000+DA17)*DC17</f>
        <v>1.275</v>
      </c>
      <c r="DI17" s="87" t="n">
        <f aca="false">2*(sib_L1*(BS17+AT17)+sib_L2*(BT17+AT17)+sib_L3a*(BU17+AU17)+sib_L3b*(BV17+AU17)+sib_L4*(BW17+AU17))*C17*sib_c_tkm*sib_prail/1000000*DC17</f>
        <v>2.41155332708883</v>
      </c>
      <c r="DJ17" s="87" t="n">
        <f aca="false">CT17*sib_c_ship*C17/365*DC17</f>
        <v>0.797758782051282</v>
      </c>
      <c r="DK17" s="87" t="n">
        <f aca="false">DB17*DC17</f>
        <v>2.55</v>
      </c>
      <c r="DL17" s="87" t="n">
        <f aca="false">AA17*sib_c_kara/1000000*DC17</f>
        <v>0</v>
      </c>
      <c r="DM17" s="87" t="n">
        <f aca="false">(AC17*sib_c_ref/1000*C17/365+AH17*C17*sib_c_grain/1000000)*DC17</f>
        <v>2.09620884075342</v>
      </c>
      <c r="DN17" s="87" t="n">
        <f aca="false">Z17*C17*sib_c_amur/1000000*DC17</f>
        <v>0.1632</v>
      </c>
      <c r="DO17" s="87" t="n">
        <f aca="false">sib_fed*sib_c_fed/1000000*C17/365*DC17</f>
        <v>0.635753424657534</v>
      </c>
      <c r="DP17" s="87" t="n">
        <f aca="false">SUM(DD17:DO17)</f>
        <v>47.5055264909894</v>
      </c>
    </row>
    <row r="18" customFormat="false" ht="13.8" hidden="false" customHeight="false" outlineLevel="0" collapsed="false">
      <c r="A18" s="1" t="s">
        <v>1790</v>
      </c>
      <c r="B18" s="81" t="n">
        <v>1921</v>
      </c>
      <c r="C18" s="81" t="n">
        <v>92</v>
      </c>
      <c r="D18" s="1" t="s">
        <v>1791</v>
      </c>
      <c r="E18" s="82" t="n">
        <v>0</v>
      </c>
      <c r="F18" s="83" t="n">
        <v>0</v>
      </c>
      <c r="G18" s="84" t="n">
        <f aca="false">1-E18*IF(F18=1,sib_winter,1)</f>
        <v>1</v>
      </c>
      <c r="H18" s="83" t="n">
        <v>90</v>
      </c>
      <c r="I18" s="83" t="n">
        <v>40</v>
      </c>
      <c r="J18" s="83" t="n">
        <v>110</v>
      </c>
      <c r="K18" s="83" t="n">
        <v>0</v>
      </c>
      <c r="L18" s="83" t="n">
        <v>18</v>
      </c>
      <c r="M18" s="81" t="n">
        <f aca="false">SUM(H18:L18)</f>
        <v>258</v>
      </c>
      <c r="N18" s="82" t="n">
        <v>0.5</v>
      </c>
      <c r="O18" s="82" t="n">
        <v>0.4</v>
      </c>
      <c r="P18" s="81" t="n">
        <f aca="false">H18*N18+I18*O18+J18*sib_sw+K18+L18*sib_pw</f>
        <v>180.8</v>
      </c>
      <c r="Q18" s="81" t="n">
        <f aca="false">M18-P18</f>
        <v>77.2</v>
      </c>
      <c r="R18" s="82" t="n">
        <v>0.45</v>
      </c>
      <c r="S18" s="85" t="n">
        <v>4</v>
      </c>
      <c r="T18" s="81" t="n">
        <f aca="false">P18*(R18*S18*sib_ammo+(1-R18)*sib_loc_kg)</f>
        <v>474.6</v>
      </c>
      <c r="U18" s="81" t="n">
        <f aca="false">H18*N18*sib_jp_kg</f>
        <v>40.5</v>
      </c>
      <c r="V18" s="83" t="n">
        <v>50</v>
      </c>
      <c r="W18" s="83" t="n">
        <v>60</v>
      </c>
      <c r="X18" s="83" t="n">
        <v>0</v>
      </c>
      <c r="Y18" s="83" t="n">
        <v>130.434782608696</v>
      </c>
      <c r="Z18" s="81" t="n">
        <f aca="false">Y18*sib_amur</f>
        <v>130.434782608696</v>
      </c>
      <c r="AA18" s="86" t="n">
        <v>30000</v>
      </c>
      <c r="AB18" s="83" t="n">
        <v>0</v>
      </c>
      <c r="AC18" s="83" t="n">
        <v>150</v>
      </c>
      <c r="AD18" s="82" t="n">
        <v>0.9</v>
      </c>
      <c r="AE18" s="81" t="n">
        <f aca="false">(J18*sib_sw+K18+L18*sib_pw)*sib_bread+P18*sib_horses*sib_oats+AC18*sib_relief_kg</f>
        <v>386.22</v>
      </c>
      <c r="AF18" s="81" t="n">
        <f aca="false">sib_surplus*AD18*sib_harvest*1000000/365*sib_callmax</f>
        <v>739.72602739726</v>
      </c>
      <c r="AG18" s="81" t="n">
        <f aca="false">MAX(0,AE18-AF18)</f>
        <v>0</v>
      </c>
      <c r="AH18" s="81" t="n">
        <f aca="false">AE18-AG18</f>
        <v>386.22</v>
      </c>
      <c r="AI18" s="81" t="n">
        <f aca="false">I18*O18*sib_cn_kg</f>
        <v>12.8</v>
      </c>
      <c r="AJ18" s="81" t="n">
        <f aca="false">Q18*sib_loc_kg+H18*(1-N18)*sib_jp_kg</f>
        <v>156.3</v>
      </c>
      <c r="AK18" s="81" t="n">
        <f aca="false">T18+U18+V18+W18+X18+AB18</f>
        <v>625.1</v>
      </c>
      <c r="AL18" s="81" t="n">
        <f aca="false">AI18+AG18</f>
        <v>12.8</v>
      </c>
      <c r="AM18" s="81" t="n">
        <f aca="false">AK18+AJ18</f>
        <v>781.4</v>
      </c>
      <c r="AN18" s="81" t="n">
        <f aca="false">AK18+AL18+sib_e2*AJ18</f>
        <v>731.68</v>
      </c>
      <c r="AO18" s="81" t="n">
        <f aca="false">AK18+AL18+sib_e3*AJ18</f>
        <v>684.79</v>
      </c>
      <c r="AP18" s="81" t="n">
        <f aca="false">AK18+AL18+Z18</f>
        <v>768.334782608696</v>
      </c>
      <c r="AQ18" s="81" t="n">
        <f aca="false">AK18+AL18+Z18</f>
        <v>768.334782608696</v>
      </c>
      <c r="AR18" s="81" t="n">
        <f aca="false">H18+I18+L18</f>
        <v>148</v>
      </c>
      <c r="AS18" s="81" t="n">
        <f aca="false">H18*N18+I18*O18+L18*sib_pw</f>
        <v>76.3</v>
      </c>
      <c r="AT18" s="87" t="n">
        <f aca="false">(MAX(0,AR18-AR17)+AR18*sib_rot*C18/365)*1000/sib_mtrain/C18</f>
        <v>0.0675799086757991</v>
      </c>
      <c r="AU18" s="87" t="n">
        <f aca="false">(MAX(0,AS18-AS17)+AS18*sib_rot*C18/365)*1000/sib_mtrain/C18</f>
        <v>0.0348401826484018</v>
      </c>
      <c r="AV18" s="83" t="n">
        <v>0</v>
      </c>
      <c r="AW18" s="83" t="n">
        <v>0</v>
      </c>
      <c r="AX18" s="81" t="n">
        <f aca="false">(SUM(AV$6:AV18)+SUM(AW$6:AW18))*0.9</f>
        <v>855</v>
      </c>
      <c r="AY18" s="82" t="n">
        <v>0.8</v>
      </c>
      <c r="AZ18" s="84" t="n">
        <f aca="false">1-(1-AY18)*sib_sick</f>
        <v>0.8</v>
      </c>
      <c r="BA18" s="81" t="n">
        <f aca="false">sib_loco0*AZ18+AX18</f>
        <v>1895</v>
      </c>
      <c r="BB18" s="84" t="n">
        <f aca="false">AX18/BA18</f>
        <v>0.451187335092348</v>
      </c>
      <c r="BC18" s="83" t="n">
        <v>18</v>
      </c>
      <c r="BD18" s="83" t="n">
        <v>16</v>
      </c>
      <c r="BE18" s="83" t="n">
        <v>18</v>
      </c>
      <c r="BF18" s="83" t="n">
        <v>24</v>
      </c>
      <c r="BG18" s="83" t="n">
        <v>24</v>
      </c>
      <c r="BH18" s="87" t="n">
        <f aca="false">BC$6+(BC18-BC$6)*sib_works</f>
        <v>18</v>
      </c>
      <c r="BI18" s="87" t="n">
        <f aca="false">BD$6+(BD18-BD$6)*sib_works</f>
        <v>16</v>
      </c>
      <c r="BJ18" s="87" t="n">
        <f aca="false">BE$6+(BE18-BE$6)*sib_works</f>
        <v>18</v>
      </c>
      <c r="BK18" s="87" t="n">
        <f aca="false">BF$6+(BF18-BF$6)*sib_works</f>
        <v>24</v>
      </c>
      <c r="BL18" s="87" t="n">
        <f aca="false">BG$6+(BG18-BG$6)*sib_works</f>
        <v>24</v>
      </c>
      <c r="BM18" s="83" t="n">
        <v>0</v>
      </c>
      <c r="BN18" s="87" t="n">
        <f aca="false">(BH18*G18-sib_pass)*(1-sib_civ)*(1-sib_fuel-BM18*sib_strike)-AT18</f>
        <v>10.2364200913242</v>
      </c>
      <c r="BO18" s="87" t="n">
        <f aca="false">(BI18*G18-sib_pass)*(1-sib_civ)*(1-sib_fuel-BM18*sib_strike)-AT18</f>
        <v>8.9484200913242</v>
      </c>
      <c r="BP18" s="87" t="n">
        <f aca="false">(BJ18*G18-sib_pass)*(1-sib_civ)*(1-sib_fuel-BM18*sib_strike)-AU18</f>
        <v>10.2691598173516</v>
      </c>
      <c r="BQ18" s="87" t="n">
        <f aca="false">(BK18*G18-sib_pass)*(1-sib_civ)*(1-sib_fuel-BM18*sib_strike)-AU18</f>
        <v>14.1331598173516</v>
      </c>
      <c r="BR18" s="87" t="n">
        <f aca="false">(BL18*G18-sib_pass)*(1-sib_civ)*(1-sib_fuel-BM18*sib_strike)-AU18</f>
        <v>14.1331598173516</v>
      </c>
      <c r="BS18" s="87" t="n">
        <f aca="false">AM18/(sib_net1*(1+sib_decup*BB18))</f>
        <v>1.29775637373906</v>
      </c>
      <c r="BT18" s="87" t="n">
        <f aca="false">AN18/(sib_net2*(1+sib_decup*BB18))</f>
        <v>1.50450973051862</v>
      </c>
      <c r="BU18" s="87" t="n">
        <f aca="false">AO18/(sib_net3a*(1+sib_decup*BB18))</f>
        <v>1.31421979162711</v>
      </c>
      <c r="BV18" s="87" t="n">
        <f aca="false">AP18/(sib_net3b*(1+sib_decup*BB18))</f>
        <v>1.74618400129942</v>
      </c>
      <c r="BW18" s="87" t="n">
        <f aca="false">AQ18/(sib_net4*(1+sib_decup*BB18))</f>
        <v>1.38239566769538</v>
      </c>
      <c r="BX18" s="84" t="n">
        <f aca="false">BS18/BN18</f>
        <v>0.126778342639431</v>
      </c>
      <c r="BY18" s="84" t="n">
        <f aca="false">BT18/BO18</f>
        <v>0.168131325436687</v>
      </c>
      <c r="BZ18" s="84" t="n">
        <f aca="false">BU18/BP18</f>
        <v>0.127977343327201</v>
      </c>
      <c r="CA18" s="84" t="n">
        <f aca="false">BV18/BQ18</f>
        <v>0.123552271669326</v>
      </c>
      <c r="CB18" s="84" t="n">
        <f aca="false">BW18/BR18</f>
        <v>0.0978122150715496</v>
      </c>
      <c r="CC18" s="84" t="n">
        <f aca="false">MAX(BX18:CB18)</f>
        <v>0.168131325436687</v>
      </c>
      <c r="CD18" s="1" t="str">
        <f aca="false">CHOOSE(MATCH(CC18,BX18:CB18,0),"Vladivostok-Harbin","Harbin-Manzhouli","Manzhouli-Kitaisky (branch)","Kitaisky-Irkutsk","Irkutsk-Ob")</f>
        <v>Harbin-Manzhouli</v>
      </c>
      <c r="CE18" s="87" t="n">
        <f aca="false">MIN(BN18-BS18,BO18-BT18,BP18-BU18,BQ18-BV18,BR18-BW18)</f>
        <v>7.44391036080558</v>
      </c>
      <c r="CF18" s="88"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f>
        <v>83293.547566969</v>
      </c>
      <c r="CG18" s="81" t="n">
        <f aca="false">CF18/sib_kmloco*sib_helper</f>
        <v>650.730840366946</v>
      </c>
      <c r="CH18" s="84" t="n">
        <f aca="false">CG18/BA18</f>
        <v>0.343393583307095</v>
      </c>
      <c r="CI18" s="86" t="n">
        <v>0</v>
      </c>
      <c r="CJ18" s="86" t="n">
        <v>0</v>
      </c>
      <c r="CK18" s="86" t="n">
        <v>0</v>
      </c>
      <c r="CL18" s="88" t="n">
        <f aca="false">(sib_wag0+SUM(CI$6:CI18)+SUM(CJ$6:CJ18))*sib_wserv*(1-sib_civ)</f>
        <v>27370</v>
      </c>
      <c r="CM18" s="88"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f>
        <v>3118.84154099663</v>
      </c>
      <c r="CN18" s="84" t="n">
        <f aca="false">CM18/CL18</f>
        <v>0.113951097588477</v>
      </c>
      <c r="CO18" s="83" t="n">
        <v>0</v>
      </c>
      <c r="CP18" s="81" t="n">
        <f aca="false">MIN(CO18,AK18+AJ18)</f>
        <v>0</v>
      </c>
      <c r="CQ18" s="84" t="n">
        <f aca="false">(AK18+AJ18+Z18-CP18)*365/1000000+sib_civport</f>
        <v>1.13281969565217</v>
      </c>
      <c r="CR18" s="82" t="n">
        <v>3</v>
      </c>
      <c r="CS18" s="84" t="n">
        <f aca="false">CQ18/(CR18*IF(OR(RIGHT(A18,2)="Q1",C18=365),sib_portwin,1))</f>
        <v>0.377606565217391</v>
      </c>
      <c r="CT18" s="87" t="n">
        <f aca="false">(AK18+AJ18+Z18-CP18)*sib_pacship*365/(sib_dwt*0.9*sib_voy)</f>
        <v>4.17209874891614</v>
      </c>
      <c r="CU18" s="84" t="n">
        <f aca="false">CT18/sib_ships</f>
        <v>0.104302468722904</v>
      </c>
      <c r="CV18" s="88" t="n">
        <f aca="false">CV17+(AB18+Z18)*C18+AA18</f>
        <v>119980</v>
      </c>
      <c r="CW18" s="87" t="n">
        <f aca="false">IF(C18=365,sib_surge/sib_mtrain/sib_surge_d,0)</f>
        <v>0</v>
      </c>
      <c r="CX18" s="81" t="n">
        <f aca="false">(CC18&gt;sib_util_max)+(CH18&gt;1)+(CN18&gt;1)+(CS18&gt;sib_util_max)+(CU18&gt;1)+(CV18&lt;0)+(CW18&gt;0)*(CE18&lt;CW18)</f>
        <v>0</v>
      </c>
      <c r="CY18" s="1" t="str">
        <f aca="false">IF(CX18=0,"OK","Check")</f>
        <v>OK</v>
      </c>
      <c r="CZ18" s="83" t="n">
        <v>0</v>
      </c>
      <c r="DA18" s="82" t="n">
        <v>0.75</v>
      </c>
      <c r="DB18" s="82" t="n">
        <v>1.5</v>
      </c>
      <c r="DC18" s="84" t="n">
        <f aca="false">INDEX(Paths!$B$6:$B$92,MATCH(B18,Paths!$A$6:$A$92,0))*sib_cost</f>
        <v>1.7</v>
      </c>
      <c r="DD18" s="87" t="n">
        <f aca="false">L18*sib_c_pac/1000*C18/365*DC18</f>
        <v>10.0267397260274</v>
      </c>
      <c r="DE18" s="87" t="n">
        <f aca="false">K18*sib_c_cz/1000*C18/365*DC18</f>
        <v>0</v>
      </c>
      <c r="DF18" s="87" t="n">
        <f aca="false">J18*sib_c_sib/1000*C18/365*DC18</f>
        <v>4.71342465753425</v>
      </c>
      <c r="DG18" s="87" t="n">
        <f aca="false">((MAX(0,T18-CP18)+V18+AB18+Z18+AA18/C18)*sib_pst_w+Q18*sib_loc_kg*sib_pst_e)*C18*sib_c_store/1000000*DC18</f>
        <v>32.8578516</v>
      </c>
      <c r="DH18" s="87" t="n">
        <f aca="false">((AW18*sib_c_loco+CJ18*sib_c_wag+MAX(0,AZ18-AZ17)*sib_loco0*sib_c_rep+CZ18*sib_c_arm)/1000000+DA18)*DC18</f>
        <v>1.275</v>
      </c>
      <c r="DI18" s="87" t="n">
        <f aca="false">2*(sib_L1*(BS18+AT18)+sib_L2*(BT18+AT18)+sib_L3a*(BU18+AU18)+sib_L3b*(BV18+AU18)+sib_L4*(BW18+AU18))*C18*sib_c_tkm*sib_prail/1000000*DC18</f>
        <v>2.37871055164491</v>
      </c>
      <c r="DJ18" s="87" t="n">
        <f aca="false">CT18*sib_c_ship*C18/365*DC18</f>
        <v>0.804472082051282</v>
      </c>
      <c r="DK18" s="87" t="n">
        <f aca="false">DB18*DC18</f>
        <v>2.55</v>
      </c>
      <c r="DL18" s="87" t="n">
        <f aca="false">AA18*sib_c_kara/1000000*DC18</f>
        <v>0.765</v>
      </c>
      <c r="DM18" s="87" t="n">
        <f aca="false">(AC18*sib_c_ref/1000*C18/365+AH18*C18*sib_c_grain/1000000)*DC18</f>
        <v>1.64790830005479</v>
      </c>
      <c r="DN18" s="87" t="n">
        <f aca="false">Z18*C18*sib_c_amur/1000000*DC18</f>
        <v>0.244800000000001</v>
      </c>
      <c r="DO18" s="87" t="n">
        <f aca="false">sib_fed*sib_c_fed/1000000*C18/365*DC18</f>
        <v>0.642739726027397</v>
      </c>
      <c r="DP18" s="87" t="n">
        <f aca="false">SUM(DD18:DO18)</f>
        <v>57.9066466433401</v>
      </c>
    </row>
    <row r="19" customFormat="false" ht="13.8" hidden="false" customHeight="false" outlineLevel="0" collapsed="false">
      <c r="A19" s="1" t="s">
        <v>1792</v>
      </c>
      <c r="B19" s="81" t="n">
        <v>1921</v>
      </c>
      <c r="C19" s="81" t="n">
        <v>92</v>
      </c>
      <c r="D19" s="1" t="s">
        <v>1793</v>
      </c>
      <c r="E19" s="82" t="n">
        <v>0.15</v>
      </c>
      <c r="F19" s="83" t="n">
        <v>1</v>
      </c>
      <c r="G19" s="84" t="n">
        <f aca="false">1-E19*IF(F19=1,sib_winter,1)</f>
        <v>0.85</v>
      </c>
      <c r="H19" s="83" t="n">
        <v>80</v>
      </c>
      <c r="I19" s="83" t="n">
        <v>35</v>
      </c>
      <c r="J19" s="83" t="n">
        <v>105</v>
      </c>
      <c r="K19" s="83" t="n">
        <v>0</v>
      </c>
      <c r="L19" s="83" t="n">
        <v>15</v>
      </c>
      <c r="M19" s="81" t="n">
        <f aca="false">SUM(H19:L19)</f>
        <v>235</v>
      </c>
      <c r="N19" s="82" t="n">
        <v>0.45</v>
      </c>
      <c r="O19" s="82" t="n">
        <v>0.35</v>
      </c>
      <c r="P19" s="81" t="n">
        <f aca="false">H19*N19+I19*O19+J19*sib_sw+K19+L19*sib_pw</f>
        <v>160.75</v>
      </c>
      <c r="Q19" s="81" t="n">
        <f aca="false">M19-P19</f>
        <v>74.25</v>
      </c>
      <c r="R19" s="82" t="n">
        <v>0.4</v>
      </c>
      <c r="S19" s="85" t="n">
        <v>2.5</v>
      </c>
      <c r="T19" s="81" t="n">
        <f aca="false">P19*(R19*S19*sib_ammo+(1-R19)*sib_loc_kg)</f>
        <v>305.425</v>
      </c>
      <c r="U19" s="81" t="n">
        <f aca="false">H19*N19*sib_jp_kg</f>
        <v>32.4</v>
      </c>
      <c r="V19" s="83" t="n">
        <v>30</v>
      </c>
      <c r="W19" s="83" t="n">
        <v>60</v>
      </c>
      <c r="X19" s="83" t="n">
        <v>0</v>
      </c>
      <c r="Y19" s="83" t="n">
        <v>0</v>
      </c>
      <c r="Z19" s="81" t="n">
        <f aca="false">Y19*sib_amur</f>
        <v>0</v>
      </c>
      <c r="AA19" s="86" t="n">
        <v>0</v>
      </c>
      <c r="AB19" s="83" t="n">
        <v>-100</v>
      </c>
      <c r="AC19" s="83" t="n">
        <v>100</v>
      </c>
      <c r="AD19" s="82" t="n">
        <v>0.9</v>
      </c>
      <c r="AE19" s="81" t="n">
        <f aca="false">(J19*sib_sw+K19+L19*sib_pw)*sib_bread+P19*sib_horses*sib_oats+AC19*sib_relief_kg</f>
        <v>332.09375</v>
      </c>
      <c r="AF19" s="81" t="n">
        <f aca="false">sib_surplus*AD19*sib_harvest*1000000/365*sib_callmax</f>
        <v>739.72602739726</v>
      </c>
      <c r="AG19" s="81" t="n">
        <f aca="false">MAX(0,AE19-AF19)</f>
        <v>0</v>
      </c>
      <c r="AH19" s="81" t="n">
        <f aca="false">AE19-AG19</f>
        <v>332.09375</v>
      </c>
      <c r="AI19" s="81" t="n">
        <f aca="false">I19*O19*sib_cn_kg</f>
        <v>9.8</v>
      </c>
      <c r="AJ19" s="81" t="n">
        <f aca="false">Q19*sib_loc_kg+H19*(1-N19)*sib_jp_kg</f>
        <v>150.975</v>
      </c>
      <c r="AK19" s="81" t="n">
        <f aca="false">T19+U19+V19+W19+X19+AB19</f>
        <v>327.825</v>
      </c>
      <c r="AL19" s="81" t="n">
        <f aca="false">AI19+AG19</f>
        <v>9.8</v>
      </c>
      <c r="AM19" s="81" t="n">
        <f aca="false">AK19+AJ19</f>
        <v>478.8</v>
      </c>
      <c r="AN19" s="81" t="n">
        <f aca="false">AK19+AL19+sib_e2*AJ19</f>
        <v>428.21</v>
      </c>
      <c r="AO19" s="81" t="n">
        <f aca="false">AK19+AL19+sib_e3*AJ19</f>
        <v>382.9175</v>
      </c>
      <c r="AP19" s="81" t="n">
        <f aca="false">AK19+AL19+Z19</f>
        <v>337.625</v>
      </c>
      <c r="AQ19" s="81" t="n">
        <f aca="false">AK19+AL19+Z19</f>
        <v>337.625</v>
      </c>
      <c r="AR19" s="81" t="n">
        <f aca="false">H19+I19+L19</f>
        <v>130</v>
      </c>
      <c r="AS19" s="81" t="n">
        <f aca="false">H19*N19+I19*O19+L19*sib_pw</f>
        <v>61</v>
      </c>
      <c r="AT19" s="87" t="n">
        <f aca="false">(MAX(0,AR19-AR18)+AR19*sib_rot*C19/365)*1000/sib_mtrain/C19</f>
        <v>0.0593607305936073</v>
      </c>
      <c r="AU19" s="87" t="n">
        <f aca="false">(MAX(0,AS19-AS18)+AS19*sib_rot*C19/365)*1000/sib_mtrain/C19</f>
        <v>0.0278538812785388</v>
      </c>
      <c r="AV19" s="83" t="n">
        <v>0</v>
      </c>
      <c r="AW19" s="83" t="n">
        <v>0</v>
      </c>
      <c r="AX19" s="81" t="n">
        <f aca="false">(SUM(AV$6:AV19)+SUM(AW$6:AW19))*0.9</f>
        <v>855</v>
      </c>
      <c r="AY19" s="82" t="n">
        <v>0.8</v>
      </c>
      <c r="AZ19" s="84" t="n">
        <f aca="false">1-(1-AY19)*sib_sick</f>
        <v>0.8</v>
      </c>
      <c r="BA19" s="81" t="n">
        <f aca="false">sib_loco0*AZ19+AX19</f>
        <v>1895</v>
      </c>
      <c r="BB19" s="84" t="n">
        <f aca="false">AX19/BA19</f>
        <v>0.451187335092348</v>
      </c>
      <c r="BC19" s="83" t="n">
        <v>18</v>
      </c>
      <c r="BD19" s="83" t="n">
        <v>16</v>
      </c>
      <c r="BE19" s="83" t="n">
        <v>18</v>
      </c>
      <c r="BF19" s="83" t="n">
        <v>24</v>
      </c>
      <c r="BG19" s="83" t="n">
        <v>24</v>
      </c>
      <c r="BH19" s="87" t="n">
        <f aca="false">BC$6+(BC19-BC$6)*sib_works</f>
        <v>18</v>
      </c>
      <c r="BI19" s="87" t="n">
        <f aca="false">BD$6+(BD19-BD$6)*sib_works</f>
        <v>16</v>
      </c>
      <c r="BJ19" s="87" t="n">
        <f aca="false">BE$6+(BE19-BE$6)*sib_works</f>
        <v>18</v>
      </c>
      <c r="BK19" s="87" t="n">
        <f aca="false">BF$6+(BF19-BF$6)*sib_works</f>
        <v>24</v>
      </c>
      <c r="BL19" s="87" t="n">
        <f aca="false">BG$6+(BG19-BG$6)*sib_works</f>
        <v>24</v>
      </c>
      <c r="BM19" s="83" t="n">
        <v>0</v>
      </c>
      <c r="BN19" s="87" t="n">
        <f aca="false">(BH19*G19-sib_pass)*(1-sib_civ)*(1-sib_fuel-BM19*sib_strike)-AT19</f>
        <v>8.50583926940639</v>
      </c>
      <c r="BO19" s="87" t="n">
        <f aca="false">(BI19*G19-sib_pass)*(1-sib_civ)*(1-sib_fuel-BM19*sib_strike)-AT19</f>
        <v>7.41103926940639</v>
      </c>
      <c r="BP19" s="87" t="n">
        <f aca="false">(BJ19*G19-sib_pass)*(1-sib_civ)*(1-sib_fuel-BM19*sib_strike)-AU19</f>
        <v>8.53734611872146</v>
      </c>
      <c r="BQ19" s="87" t="n">
        <f aca="false">(BK19*G19-sib_pass)*(1-sib_civ)*(1-sib_fuel-BM19*sib_strike)-AU19</f>
        <v>11.8217461187215</v>
      </c>
      <c r="BR19" s="87" t="n">
        <f aca="false">(BL19*G19-sib_pass)*(1-sib_civ)*(1-sib_fuel-BM19*sib_strike)-AU19</f>
        <v>11.8217461187215</v>
      </c>
      <c r="BS19" s="87" t="n">
        <f aca="false">AM19/(sib_net1*(1+sib_decup*BB19))</f>
        <v>0.79519548470215</v>
      </c>
      <c r="BT19" s="87" t="n">
        <f aca="false">AN19/(sib_net2*(1+sib_decup*BB19))</f>
        <v>0.880502558092851</v>
      </c>
      <c r="BU19" s="87" t="n">
        <f aca="false">AO19/(sib_net3a*(1+sib_decup*BB19))</f>
        <v>0.734878951299482</v>
      </c>
      <c r="BV19" s="87" t="n">
        <f aca="false">AP19/(sib_net3b*(1+sib_decup*BB19))</f>
        <v>0.767315741501412</v>
      </c>
      <c r="BW19" s="87" t="n">
        <f aca="false">AQ19/(sib_net4*(1+sib_decup*BB19))</f>
        <v>0.607458295355285</v>
      </c>
      <c r="BX19" s="84" t="n">
        <f aca="false">BS19/BN19</f>
        <v>0.0934881861173054</v>
      </c>
      <c r="BY19" s="84" t="n">
        <f aca="false">BT19/BO19</f>
        <v>0.118809592836414</v>
      </c>
      <c r="BZ19" s="84" t="n">
        <f aca="false">BU19/BP19</f>
        <v>0.0860781490032334</v>
      </c>
      <c r="CA19" s="84" t="n">
        <f aca="false">BV19/BQ19</f>
        <v>0.0649071409414093</v>
      </c>
      <c r="CB19" s="84" t="n">
        <f aca="false">BW19/BR19</f>
        <v>0.051384819911949</v>
      </c>
      <c r="CC19" s="84" t="n">
        <f aca="false">MAX(BX19:CB19)</f>
        <v>0.118809592836414</v>
      </c>
      <c r="CD19" s="1" t="str">
        <f aca="false">CHOOSE(MATCH(CC19,BX19:CB19,0),"Vladivostok-Harbin","Harbin-Manzhouli","Manzhouli-Kitaisky (branch)","Kitaisky-Irkutsk","Irkutsk-Ob")</f>
        <v>Harbin-Manzhouli</v>
      </c>
      <c r="CE19" s="87" t="n">
        <f aca="false">MIN(BN19-BS19,BO19-BT19,BP19-BU19,BQ19-BV19,BR19-BW19)</f>
        <v>6.53053671131354</v>
      </c>
      <c r="CF19" s="88"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f>
        <v>67983.8975650486</v>
      </c>
      <c r="CG19" s="81" t="n">
        <f aca="false">CF19/sib_kmloco*sib_helper</f>
        <v>531.124199726942</v>
      </c>
      <c r="CH19" s="84" t="n">
        <f aca="false">CG19/BA19</f>
        <v>0.280276622547199</v>
      </c>
      <c r="CI19" s="86" t="n">
        <v>0</v>
      </c>
      <c r="CJ19" s="86" t="n">
        <v>0</v>
      </c>
      <c r="CK19" s="86" t="n">
        <v>0</v>
      </c>
      <c r="CL19" s="88" t="n">
        <f aca="false">(sib_wag0+SUM(CI$6:CI19)+SUM(CJ$6:CJ19))*sib_wserv*(1-sib_civ)</f>
        <v>27370</v>
      </c>
      <c r="CM19" s="88"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f>
        <v>1598.61980898021</v>
      </c>
      <c r="CN19" s="84" t="n">
        <f aca="false">CM19/CL19</f>
        <v>0.0584077387278119</v>
      </c>
      <c r="CO19" s="83" t="n">
        <v>0</v>
      </c>
      <c r="CP19" s="81" t="n">
        <f aca="false">MIN(CO19,AK19+AJ19)</f>
        <v>0</v>
      </c>
      <c r="CQ19" s="84" t="n">
        <f aca="false">(AK19+AJ19+Z19-CP19)*365/1000000+sib_civport</f>
        <v>0.974762</v>
      </c>
      <c r="CR19" s="82" t="n">
        <v>3</v>
      </c>
      <c r="CS19" s="84" t="n">
        <f aca="false">CQ19/(CR19*IF(OR(RIGHT(A19,2)="Q1",C19=365),sib_portwin,1))</f>
        <v>0.324920666666667</v>
      </c>
      <c r="CT19" s="87" t="n">
        <f aca="false">(AK19+AJ19+Z19-CP19)*sib_pacship*365/(sib_dwt*0.9*sib_voy)</f>
        <v>2.19074871794872</v>
      </c>
      <c r="CU19" s="84" t="n">
        <f aca="false">CT19/sib_ships</f>
        <v>0.0547687179487179</v>
      </c>
      <c r="CV19" s="88" t="n">
        <f aca="false">CV18+(AB19+Z19)*C19+AA19</f>
        <v>110780</v>
      </c>
      <c r="CW19" s="87" t="n">
        <f aca="false">IF(C19=365,sib_surge/sib_mtrain/sib_surge_d,0)</f>
        <v>0</v>
      </c>
      <c r="CX19" s="81" t="n">
        <f aca="false">(CC19&gt;sib_util_max)+(CH19&gt;1)+(CN19&gt;1)+(CS19&gt;sib_util_max)+(CU19&gt;1)+(CV19&lt;0)+(CW19&gt;0)*(CE19&lt;CW19)</f>
        <v>0</v>
      </c>
      <c r="CY19" s="1" t="str">
        <f aca="false">IF(CX19=0,"OK","Check")</f>
        <v>OK</v>
      </c>
      <c r="CZ19" s="83" t="n">
        <v>0</v>
      </c>
      <c r="DA19" s="82" t="n">
        <v>0.75</v>
      </c>
      <c r="DB19" s="82" t="n">
        <v>1.5</v>
      </c>
      <c r="DC19" s="84" t="n">
        <f aca="false">INDEX(Paths!$B$6:$B$92,MATCH(B19,Paths!$A$6:$A$92,0))*sib_cost</f>
        <v>1.7</v>
      </c>
      <c r="DD19" s="87" t="n">
        <f aca="false">L19*sib_c_pac/1000*C19/365*DC19</f>
        <v>8.35561643835616</v>
      </c>
      <c r="DE19" s="87" t="n">
        <f aca="false">K19*sib_c_cz/1000*C19/365*DC19</f>
        <v>0</v>
      </c>
      <c r="DF19" s="87" t="n">
        <f aca="false">J19*sib_c_sib/1000*C19/365*DC19</f>
        <v>4.49917808219178</v>
      </c>
      <c r="DG19" s="87" t="n">
        <f aca="false">((MAX(0,T19-CP19)+V19+AB19+Z19+AA19/C19)*sib_pst_w+Q19*sib_loc_kg*sib_pst_e)*C19*sib_c_store/1000000*DC19</f>
        <v>8.34196545</v>
      </c>
      <c r="DH19" s="87" t="n">
        <f aca="false">((AW19*sib_c_loco+CJ19*sib_c_wag+MAX(0,AZ19-AZ18)*sib_loco0*sib_c_rep+CZ19*sib_c_arm)/1000000+DA19)*DC19</f>
        <v>1.275</v>
      </c>
      <c r="DI19" s="87" t="n">
        <f aca="false">2*(sib_L1*(BS19+AT19)+sib_L2*(BT19+AT19)+sib_L3a*(BU19+AU19)+sib_L3b*(BV19+AU19)+sib_L4*(BW19+AU19))*C19*sib_c_tkm*sib_prail/1000000*DC19</f>
        <v>1.21614520399174</v>
      </c>
      <c r="DJ19" s="87" t="n">
        <f aca="false">CT19*sib_c_ship*C19/365*DC19</f>
        <v>0.422424369230769</v>
      </c>
      <c r="DK19" s="87" t="n">
        <f aca="false">DB19*DC19</f>
        <v>2.55</v>
      </c>
      <c r="DL19" s="87" t="n">
        <f aca="false">AA19*sib_c_kara/1000000*DC19</f>
        <v>0</v>
      </c>
      <c r="DM19" s="87" t="n">
        <f aca="false">(AC19*sib_c_ref/1000*C19/365+AH19*C19*sib_c_grain/1000000)*DC19</f>
        <v>1.16862307636986</v>
      </c>
      <c r="DN19" s="87" t="n">
        <f aca="false">Z19*C19*sib_c_amur/1000000*DC19</f>
        <v>0</v>
      </c>
      <c r="DO19" s="87" t="n">
        <f aca="false">sib_fed*sib_c_fed/1000000*C19/365*DC19</f>
        <v>0.642739726027397</v>
      </c>
      <c r="DP19" s="87" t="n">
        <f aca="false">SUM(DD19:DO19)</f>
        <v>28.4716923461677</v>
      </c>
    </row>
    <row r="20" customFormat="false" ht="13.8" hidden="false" customHeight="false" outlineLevel="0" collapsed="false">
      <c r="A20" s="1" t="s">
        <v>1794</v>
      </c>
      <c r="B20" s="81" t="n">
        <v>1922</v>
      </c>
      <c r="C20" s="81" t="n">
        <v>90</v>
      </c>
      <c r="D20" s="1" t="s">
        <v>1795</v>
      </c>
      <c r="E20" s="82" t="n">
        <v>0.3</v>
      </c>
      <c r="F20" s="83" t="n">
        <v>1</v>
      </c>
      <c r="G20" s="84" t="n">
        <f aca="false">1-E20*IF(F20=1,sib_winter,1)</f>
        <v>0.7</v>
      </c>
      <c r="H20" s="83" t="n">
        <v>70</v>
      </c>
      <c r="I20" s="83" t="n">
        <v>30</v>
      </c>
      <c r="J20" s="83" t="n">
        <v>100</v>
      </c>
      <c r="K20" s="83" t="n">
        <v>0</v>
      </c>
      <c r="L20" s="83" t="n">
        <v>12</v>
      </c>
      <c r="M20" s="81" t="n">
        <f aca="false">SUM(H20:L20)</f>
        <v>212</v>
      </c>
      <c r="N20" s="82" t="n">
        <v>0.4</v>
      </c>
      <c r="O20" s="82" t="n">
        <v>0.3</v>
      </c>
      <c r="P20" s="81" t="n">
        <f aca="false">H20*N20+I20*O20+J20*sib_sw+K20+L20*sib_pw</f>
        <v>142.2</v>
      </c>
      <c r="Q20" s="81" t="n">
        <f aca="false">M20-P20</f>
        <v>69.8</v>
      </c>
      <c r="R20" s="82" t="n">
        <v>0.4</v>
      </c>
      <c r="S20" s="85" t="n">
        <v>2</v>
      </c>
      <c r="T20" s="81" t="n">
        <f aca="false">P20*(R20*S20*sib_ammo+(1-R20)*sib_loc_kg)</f>
        <v>241.74</v>
      </c>
      <c r="U20" s="81" t="n">
        <f aca="false">H20*N20*sib_jp_kg</f>
        <v>25.2</v>
      </c>
      <c r="V20" s="83" t="n">
        <v>30</v>
      </c>
      <c r="W20" s="83" t="n">
        <v>40</v>
      </c>
      <c r="X20" s="83" t="n">
        <v>0</v>
      </c>
      <c r="Y20" s="83" t="n">
        <v>0</v>
      </c>
      <c r="Z20" s="81" t="n">
        <f aca="false">Y20*sib_amur</f>
        <v>0</v>
      </c>
      <c r="AA20" s="86" t="n">
        <v>0</v>
      </c>
      <c r="AB20" s="83" t="n">
        <v>-150</v>
      </c>
      <c r="AC20" s="83" t="n">
        <v>50</v>
      </c>
      <c r="AD20" s="82" t="n">
        <v>0.95</v>
      </c>
      <c r="AE20" s="81" t="n">
        <f aca="false">(J20*sib_sw+K20+L20*sib_pw)*sib_bread+P20*sib_horses*sib_oats+AC20*sib_relief_kg</f>
        <v>279.655</v>
      </c>
      <c r="AF20" s="81" t="n">
        <f aca="false">sib_surplus*AD20*sib_harvest*1000000/365*sib_callmax</f>
        <v>780.821917808219</v>
      </c>
      <c r="AG20" s="81" t="n">
        <f aca="false">MAX(0,AE20-AF20)</f>
        <v>0</v>
      </c>
      <c r="AH20" s="81" t="n">
        <f aca="false">AE20-AG20</f>
        <v>279.655</v>
      </c>
      <c r="AI20" s="81" t="n">
        <f aca="false">I20*O20*sib_cn_kg</f>
        <v>7.2</v>
      </c>
      <c r="AJ20" s="81" t="n">
        <f aca="false">Q20*sib_loc_kg+H20*(1-N20)*sib_jp_kg</f>
        <v>142.5</v>
      </c>
      <c r="AK20" s="81" t="n">
        <f aca="false">T20+U20+V20+W20+X20+AB20</f>
        <v>186.94</v>
      </c>
      <c r="AL20" s="81" t="n">
        <f aca="false">AI20+AG20</f>
        <v>7.2</v>
      </c>
      <c r="AM20" s="81" t="n">
        <f aca="false">AK20+AJ20</f>
        <v>329.44</v>
      </c>
      <c r="AN20" s="81" t="n">
        <f aca="false">AK20+AL20+sib_e2*AJ20</f>
        <v>279.64</v>
      </c>
      <c r="AO20" s="81" t="n">
        <f aca="false">AK20+AL20+sib_e3*AJ20</f>
        <v>236.89</v>
      </c>
      <c r="AP20" s="81" t="n">
        <f aca="false">AK20+AL20+Z20</f>
        <v>194.14</v>
      </c>
      <c r="AQ20" s="81" t="n">
        <f aca="false">AK20+AL20+Z20</f>
        <v>194.14</v>
      </c>
      <c r="AR20" s="81" t="n">
        <f aca="false">H20+I20+L20</f>
        <v>112</v>
      </c>
      <c r="AS20" s="81" t="n">
        <f aca="false">H20*N20+I20*O20+L20*sib_pw</f>
        <v>47.2</v>
      </c>
      <c r="AT20" s="87" t="n">
        <f aca="false">(MAX(0,AR20-AR19)+AR20*sib_rot*C20/365)*1000/sib_mtrain/C20</f>
        <v>0.0511415525114155</v>
      </c>
      <c r="AU20" s="87" t="n">
        <f aca="false">(MAX(0,AS20-AS19)+AS20*sib_rot*C20/365)*1000/sib_mtrain/C20</f>
        <v>0.0215525114155251</v>
      </c>
      <c r="AV20" s="83" t="n">
        <v>0</v>
      </c>
      <c r="AW20" s="83" t="n">
        <v>0</v>
      </c>
      <c r="AX20" s="81" t="n">
        <f aca="false">(SUM(AV$6:AV20)+SUM(AW$6:AW20))*0.9</f>
        <v>855</v>
      </c>
      <c r="AY20" s="82" t="n">
        <v>0.82</v>
      </c>
      <c r="AZ20" s="84" t="n">
        <f aca="false">1-(1-AY20)*sib_sick</f>
        <v>0.82</v>
      </c>
      <c r="BA20" s="81" t="n">
        <f aca="false">sib_loco0*AZ20+AX20</f>
        <v>1921</v>
      </c>
      <c r="BB20" s="84" t="n">
        <f aca="false">AX20/BA20</f>
        <v>0.445080687142113</v>
      </c>
      <c r="BC20" s="83" t="n">
        <v>18</v>
      </c>
      <c r="BD20" s="83" t="n">
        <v>16</v>
      </c>
      <c r="BE20" s="83" t="n">
        <v>18</v>
      </c>
      <c r="BF20" s="83" t="n">
        <v>24</v>
      </c>
      <c r="BG20" s="83" t="n">
        <v>24</v>
      </c>
      <c r="BH20" s="87" t="n">
        <f aca="false">BC$6+(BC20-BC$6)*sib_works</f>
        <v>18</v>
      </c>
      <c r="BI20" s="87" t="n">
        <f aca="false">BD$6+(BD20-BD$6)*sib_works</f>
        <v>16</v>
      </c>
      <c r="BJ20" s="87" t="n">
        <f aca="false">BE$6+(BE20-BE$6)*sib_works</f>
        <v>18</v>
      </c>
      <c r="BK20" s="87" t="n">
        <f aca="false">BF$6+(BF20-BF$6)*sib_works</f>
        <v>24</v>
      </c>
      <c r="BL20" s="87" t="n">
        <f aca="false">BG$6+(BG20-BG$6)*sib_works</f>
        <v>24</v>
      </c>
      <c r="BM20" s="83" t="n">
        <v>0</v>
      </c>
      <c r="BN20" s="87" t="n">
        <f aca="false">(BH20*G20-sib_pass)*(1-sib_civ)*(1-sib_fuel-BM20*sib_strike)-AT20</f>
        <v>6.77525844748858</v>
      </c>
      <c r="BO20" s="87" t="n">
        <f aca="false">(BI20*G20-sib_pass)*(1-sib_civ)*(1-sib_fuel-BM20*sib_strike)-AT20</f>
        <v>5.87365844748858</v>
      </c>
      <c r="BP20" s="87" t="n">
        <f aca="false">(BJ20*G20-sib_pass)*(1-sib_civ)*(1-sib_fuel-BM20*sib_strike)-AU20</f>
        <v>6.80484748858448</v>
      </c>
      <c r="BQ20" s="87" t="n">
        <f aca="false">(BK20*G20-sib_pass)*(1-sib_civ)*(1-sib_fuel-BM20*sib_strike)-AU20</f>
        <v>9.50964748858447</v>
      </c>
      <c r="BR20" s="87" t="n">
        <f aca="false">(BL20*G20-sib_pass)*(1-sib_civ)*(1-sib_fuel-BM20*sib_strike)-AU20</f>
        <v>9.50964748858447</v>
      </c>
      <c r="BS20" s="87" t="n">
        <f aca="false">AM20/(sib_net1*(1+sib_decup*BB20))</f>
        <v>0.548148805141486</v>
      </c>
      <c r="BT20" s="87" t="n">
        <f aca="false">AN20/(sib_net2*(1+sib_decup*BB20))</f>
        <v>0.576070305253055</v>
      </c>
      <c r="BU20" s="87" t="n">
        <f aca="false">AO20/(sib_net3a*(1+sib_decup*BB20))</f>
        <v>0.455469919553604</v>
      </c>
      <c r="BV20" s="87" t="n">
        <f aca="false">AP20/(sib_net3b*(1+sib_decup*BB20))</f>
        <v>0.44203526155779</v>
      </c>
      <c r="BW20" s="87" t="n">
        <f aca="false">AQ20/(sib_net4*(1+sib_decup*BB20))</f>
        <v>0.349944582066584</v>
      </c>
      <c r="BX20" s="84" t="n">
        <f aca="false">BS20/BN20</f>
        <v>0.0809044864324948</v>
      </c>
      <c r="BY20" s="84" t="n">
        <f aca="false">BT20/BO20</f>
        <v>0.0980769158443945</v>
      </c>
      <c r="BZ20" s="84" t="n">
        <f aca="false">BU20/BP20</f>
        <v>0.0669331561534158</v>
      </c>
      <c r="CA20" s="84" t="n">
        <f aca="false">BV20/BQ20</f>
        <v>0.0464828230582066</v>
      </c>
      <c r="CB20" s="84" t="n">
        <f aca="false">BW20/BR20</f>
        <v>0.0367989015877469</v>
      </c>
      <c r="CC20" s="84" t="n">
        <f aca="false">MAX(BX20:CB20)</f>
        <v>0.0980769158443945</v>
      </c>
      <c r="CD20" s="1" t="str">
        <f aca="false">CHOOSE(MATCH(CC20,BX20:CB20,0),"Vladivostok-Harbin","Harbin-Manzhouli","Manzhouli-Kitaisky (branch)","Kitaisky-Irkutsk","Irkutsk-Ob")</f>
        <v>Harbin-Manzhouli</v>
      </c>
      <c r="CE20" s="87" t="n">
        <f aca="false">MIN(BN20-BS20,BO20-BT20,BP20-BU20,BQ20-BV20,BR20-BW20)</f>
        <v>5.29758814223553</v>
      </c>
      <c r="CF20" s="88"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f>
        <v>57036.1968426258</v>
      </c>
      <c r="CG20" s="81" t="n">
        <f aca="false">CF20/sib_kmloco*sib_helper</f>
        <v>445.595287833014</v>
      </c>
      <c r="CH20" s="84" t="n">
        <f aca="false">CG20/BA20</f>
        <v>0.231960066545036</v>
      </c>
      <c r="CI20" s="86" t="n">
        <v>0</v>
      </c>
      <c r="CJ20" s="86" t="n">
        <v>0</v>
      </c>
      <c r="CK20" s="86" t="n">
        <v>0</v>
      </c>
      <c r="CL20" s="88" t="n">
        <f aca="false">(sib_wag0+SUM(CI$6:CI20)+SUM(CJ$6:CJ20))*sib_wserv*(1-sib_civ)</f>
        <v>27370</v>
      </c>
      <c r="CM20" s="88"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f>
        <v>996.27323652968</v>
      </c>
      <c r="CN20" s="84" t="n">
        <f aca="false">CM20/CL20</f>
        <v>0.0364001913237004</v>
      </c>
      <c r="CO20" s="83" t="n">
        <v>0</v>
      </c>
      <c r="CP20" s="81" t="n">
        <f aca="false">MIN(CO20,AK20+AJ20)</f>
        <v>0</v>
      </c>
      <c r="CQ20" s="84" t="n">
        <f aca="false">(AK20+AJ20+Z20-CP20)*365/1000000+sib_civport</f>
        <v>0.9202456</v>
      </c>
      <c r="CR20" s="82" t="n">
        <v>3</v>
      </c>
      <c r="CS20" s="84" t="n">
        <f aca="false">CQ20/(CR20*IF(OR(RIGHT(A20,2)="Q1",C20=365),sib_portwin,1))</f>
        <v>0.360880627450981</v>
      </c>
      <c r="CT20" s="87" t="n">
        <f aca="false">(AK20+AJ20+Z20-CP20)*sib_pacship*365/(sib_dwt*0.9*sib_voy)</f>
        <v>1.50735225071225</v>
      </c>
      <c r="CU20" s="84" t="n">
        <f aca="false">CT20/sib_ships</f>
        <v>0.0376838062678063</v>
      </c>
      <c r="CV20" s="88" t="n">
        <f aca="false">CV19+(AB20+Z20)*C20+AA20</f>
        <v>97280.0000000001</v>
      </c>
      <c r="CW20" s="87" t="n">
        <f aca="false">IF(C20=365,sib_surge/sib_mtrain/sib_surge_d,0)</f>
        <v>0</v>
      </c>
      <c r="CX20" s="81" t="n">
        <f aca="false">(CC20&gt;sib_util_max)+(CH20&gt;1)+(CN20&gt;1)+(CS20&gt;sib_util_max)+(CU20&gt;1)+(CV20&lt;0)+(CW20&gt;0)*(CE20&lt;CW20)</f>
        <v>0</v>
      </c>
      <c r="CY20" s="1" t="str">
        <f aca="false">IF(CX20=0,"OK","Check")</f>
        <v>OK</v>
      </c>
      <c r="CZ20" s="83" t="n">
        <v>0</v>
      </c>
      <c r="DA20" s="82" t="n">
        <v>0.5</v>
      </c>
      <c r="DB20" s="82" t="n">
        <v>1</v>
      </c>
      <c r="DC20" s="84" t="n">
        <f aca="false">INDEX(Paths!$B$6:$B$92,MATCH(B20,Paths!$A$6:$A$92,0))*sib_cost</f>
        <v>1.58</v>
      </c>
      <c r="DD20" s="87" t="n">
        <f aca="false">L20*sib_c_pac/1000*C20/365*DC20</f>
        <v>6.07758904109589</v>
      </c>
      <c r="DE20" s="87" t="n">
        <f aca="false">K20*sib_c_cz/1000*C20/365*DC20</f>
        <v>0</v>
      </c>
      <c r="DF20" s="87" t="n">
        <f aca="false">J20*sib_c_sib/1000*C20/365*DC20</f>
        <v>3.8958904109589</v>
      </c>
      <c r="DG20" s="87" t="n">
        <f aca="false">((MAX(0,T20-CP20)+V20+AB20+Z20+AA20/C20)*sib_pst_w+Q20*sib_loc_kg*sib_pst_e)*C20*sib_c_store/1000000*DC20</f>
        <v>4.15649178</v>
      </c>
      <c r="DH20" s="87" t="n">
        <f aca="false">((AW20*sib_c_loco+CJ20*sib_c_wag+MAX(0,AZ20-AZ19)*sib_loco0*sib_c_rep+CZ20*sib_c_arm)/1000000+DA20)*DC20</f>
        <v>1.03648</v>
      </c>
      <c r="DI20" s="87" t="n">
        <f aca="false">2*(sib_L1*(BS20+AT20)+sib_L2*(BT20+AT20)+sib_L3a*(BU20+AU20)+sib_L3b*(BV20+AU20)+sib_L4*(BW20+AU20))*C20*sib_c_tkm*sib_prail/1000000*DC20</f>
        <v>0.693795144121444</v>
      </c>
      <c r="DJ20" s="87" t="n">
        <f aca="false">CT20*sib_c_ship*C20/365*DC20</f>
        <v>0.264261563076923</v>
      </c>
      <c r="DK20" s="87" t="n">
        <f aca="false">DB20*DC20</f>
        <v>1.58</v>
      </c>
      <c r="DL20" s="87" t="n">
        <f aca="false">AA20*sib_c_kara/1000000*DC20</f>
        <v>0</v>
      </c>
      <c r="DM20" s="87" t="n">
        <f aca="false">(AC20*sib_c_ref/1000*C20/365+AH20*C20*sib_c_grain/1000000)*DC20</f>
        <v>0.62819068709589</v>
      </c>
      <c r="DN20" s="87" t="n">
        <f aca="false">Z20*C20*sib_c_amur/1000000*DC20</f>
        <v>0</v>
      </c>
      <c r="DO20" s="87" t="n">
        <f aca="false">sib_fed*sib_c_fed/1000000*C20/365*DC20</f>
        <v>0.584383561643836</v>
      </c>
      <c r="DP20" s="87" t="n">
        <f aca="false">SUM(DD20:DO20)</f>
        <v>18.9170821879929</v>
      </c>
    </row>
    <row r="21" customFormat="false" ht="13.8" hidden="false" customHeight="false" outlineLevel="0" collapsed="false">
      <c r="A21" s="1" t="s">
        <v>1796</v>
      </c>
      <c r="B21" s="81" t="n">
        <v>1922</v>
      </c>
      <c r="C21" s="81" t="n">
        <v>91</v>
      </c>
      <c r="D21" s="1" t="s">
        <v>1795</v>
      </c>
      <c r="E21" s="82" t="n">
        <v>0.08</v>
      </c>
      <c r="F21" s="83" t="n">
        <v>0</v>
      </c>
      <c r="G21" s="84" t="n">
        <f aca="false">1-E21*IF(F21=1,sib_winter,1)</f>
        <v>0.92</v>
      </c>
      <c r="H21" s="83" t="n">
        <v>60</v>
      </c>
      <c r="I21" s="83" t="n">
        <v>28</v>
      </c>
      <c r="J21" s="83" t="n">
        <v>95</v>
      </c>
      <c r="K21" s="83" t="n">
        <v>0</v>
      </c>
      <c r="L21" s="83" t="n">
        <v>10</v>
      </c>
      <c r="M21" s="81" t="n">
        <f aca="false">SUM(H21:L21)</f>
        <v>193</v>
      </c>
      <c r="N21" s="82" t="n">
        <v>0.4</v>
      </c>
      <c r="O21" s="82" t="n">
        <v>0.3</v>
      </c>
      <c r="P21" s="81" t="n">
        <f aca="false">H21*N21+I21*O21+J21*sib_sw+K21+L21*sib_pw</f>
        <v>131.15</v>
      </c>
      <c r="Q21" s="81" t="n">
        <f aca="false">M21-P21</f>
        <v>61.85</v>
      </c>
      <c r="R21" s="82" t="n">
        <v>0.4</v>
      </c>
      <c r="S21" s="85" t="n">
        <v>2</v>
      </c>
      <c r="T21" s="81" t="n">
        <f aca="false">P21*(R21*S21*sib_ammo+(1-R21)*sib_loc_kg)</f>
        <v>222.955</v>
      </c>
      <c r="U21" s="81" t="n">
        <f aca="false">H21*N21*sib_jp_kg</f>
        <v>21.6</v>
      </c>
      <c r="V21" s="83" t="n">
        <v>30</v>
      </c>
      <c r="W21" s="83" t="n">
        <v>40</v>
      </c>
      <c r="X21" s="83" t="n">
        <v>0</v>
      </c>
      <c r="Y21" s="83" t="n">
        <v>0</v>
      </c>
      <c r="Z21" s="81" t="n">
        <f aca="false">Y21*sib_amur</f>
        <v>0</v>
      </c>
      <c r="AA21" s="86" t="n">
        <v>0</v>
      </c>
      <c r="AB21" s="83" t="n">
        <v>0</v>
      </c>
      <c r="AC21" s="83" t="n">
        <v>50</v>
      </c>
      <c r="AD21" s="82" t="n">
        <v>0.95</v>
      </c>
      <c r="AE21" s="81" t="n">
        <f aca="false">(J21*sib_sw+K21+L21*sib_pw)*sib_bread+P21*sib_horses*sib_oats+AC21*sib_relief_kg</f>
        <v>261.41875</v>
      </c>
      <c r="AF21" s="81" t="n">
        <f aca="false">sib_surplus*AD21*sib_harvest*1000000/365*sib_callmax</f>
        <v>780.821917808219</v>
      </c>
      <c r="AG21" s="81" t="n">
        <f aca="false">MAX(0,AE21-AF21)</f>
        <v>0</v>
      </c>
      <c r="AH21" s="81" t="n">
        <f aca="false">AE21-AG21</f>
        <v>261.41875</v>
      </c>
      <c r="AI21" s="81" t="n">
        <f aca="false">I21*O21*sib_cn_kg</f>
        <v>6.72</v>
      </c>
      <c r="AJ21" s="81" t="n">
        <f aca="false">Q21*sib_loc_kg+H21*(1-N21)*sib_jp_kg</f>
        <v>125.175</v>
      </c>
      <c r="AK21" s="81" t="n">
        <f aca="false">T21+U21+V21+W21+X21+AB21</f>
        <v>314.555</v>
      </c>
      <c r="AL21" s="81" t="n">
        <f aca="false">AI21+AG21</f>
        <v>6.72</v>
      </c>
      <c r="AM21" s="81" t="n">
        <f aca="false">AK21+AJ21</f>
        <v>439.73</v>
      </c>
      <c r="AN21" s="81" t="n">
        <f aca="false">AK21+AL21+sib_e2*AJ21</f>
        <v>396.38</v>
      </c>
      <c r="AO21" s="81" t="n">
        <f aca="false">AK21+AL21+sib_e3*AJ21</f>
        <v>358.8275</v>
      </c>
      <c r="AP21" s="81" t="n">
        <f aca="false">AK21+AL21+Z21</f>
        <v>321.275</v>
      </c>
      <c r="AQ21" s="81" t="n">
        <f aca="false">AK21+AL21+Z21</f>
        <v>321.275</v>
      </c>
      <c r="AR21" s="81" t="n">
        <f aca="false">H21+I21+L21</f>
        <v>98</v>
      </c>
      <c r="AS21" s="81" t="n">
        <f aca="false">H21*N21+I21*O21+L21*sib_pw</f>
        <v>40.9</v>
      </c>
      <c r="AT21" s="87" t="n">
        <f aca="false">(MAX(0,AR21-AR20)+AR21*sib_rot*C21/365)*1000/sib_mtrain/C21</f>
        <v>0.0447488584474886</v>
      </c>
      <c r="AU21" s="87" t="n">
        <f aca="false">(MAX(0,AS21-AS20)+AS21*sib_rot*C21/365)*1000/sib_mtrain/C21</f>
        <v>0.018675799086758</v>
      </c>
      <c r="AV21" s="83" t="n">
        <v>0</v>
      </c>
      <c r="AW21" s="83" t="n">
        <v>0</v>
      </c>
      <c r="AX21" s="81" t="n">
        <f aca="false">(SUM(AV$6:AV21)+SUM(AW$6:AW21))*0.9</f>
        <v>855</v>
      </c>
      <c r="AY21" s="82" t="n">
        <v>0.82</v>
      </c>
      <c r="AZ21" s="84" t="n">
        <f aca="false">1-(1-AY21)*sib_sick</f>
        <v>0.82</v>
      </c>
      <c r="BA21" s="81" t="n">
        <f aca="false">sib_loco0*AZ21+AX21</f>
        <v>1921</v>
      </c>
      <c r="BB21" s="84" t="n">
        <f aca="false">AX21/BA21</f>
        <v>0.445080687142113</v>
      </c>
      <c r="BC21" s="83" t="n">
        <v>18</v>
      </c>
      <c r="BD21" s="83" t="n">
        <v>16</v>
      </c>
      <c r="BE21" s="83" t="n">
        <v>18</v>
      </c>
      <c r="BF21" s="83" t="n">
        <v>24</v>
      </c>
      <c r="BG21" s="83" t="n">
        <v>24</v>
      </c>
      <c r="BH21" s="87" t="n">
        <f aca="false">BC$6+(BC21-BC$6)*sib_works</f>
        <v>18</v>
      </c>
      <c r="BI21" s="87" t="n">
        <f aca="false">BD$6+(BD21-BD$6)*sib_works</f>
        <v>16</v>
      </c>
      <c r="BJ21" s="87" t="n">
        <f aca="false">BE$6+(BE21-BE$6)*sib_works</f>
        <v>18</v>
      </c>
      <c r="BK21" s="87" t="n">
        <f aca="false">BF$6+(BF21-BF$6)*sib_works</f>
        <v>24</v>
      </c>
      <c r="BL21" s="87" t="n">
        <f aca="false">BG$6+(BG21-BG$6)*sib_works</f>
        <v>24</v>
      </c>
      <c r="BM21" s="83" t="n">
        <v>0</v>
      </c>
      <c r="BN21" s="87" t="n">
        <f aca="false">(BH21*G21-sib_pass)*(1-sib_civ)*(1-sib_fuel-BM21*sib_strike)-AT21</f>
        <v>9.33189114155251</v>
      </c>
      <c r="BO21" s="87" t="n">
        <f aca="false">(BI21*G21-sib_pass)*(1-sib_civ)*(1-sib_fuel-BM21*sib_strike)-AT21</f>
        <v>8.14693114155251</v>
      </c>
      <c r="BP21" s="87" t="n">
        <f aca="false">(BJ21*G21-sib_pass)*(1-sib_civ)*(1-sib_fuel-BM21*sib_strike)-AU21</f>
        <v>9.35796420091324</v>
      </c>
      <c r="BQ21" s="87" t="n">
        <f aca="false">(BK21*G21-sib_pass)*(1-sib_civ)*(1-sib_fuel-BM21*sib_strike)-AU21</f>
        <v>12.9128442009132</v>
      </c>
      <c r="BR21" s="87" t="n">
        <f aca="false">(BL21*G21-sib_pass)*(1-sib_civ)*(1-sib_fuel-BM21*sib_strike)-AU21</f>
        <v>12.9128442009132</v>
      </c>
      <c r="BS21" s="87" t="n">
        <f aca="false">AM21/(sib_net1*(1+sib_decup*BB21))</f>
        <v>0.731658189912778</v>
      </c>
      <c r="BT21" s="87" t="n">
        <f aca="false">AN21/(sib_net2*(1+sib_decup*BB21))</f>
        <v>0.816559675283243</v>
      </c>
      <c r="BU21" s="87" t="n">
        <f aca="false">AO21/(sib_net3a*(1+sib_decup*BB21))</f>
        <v>0.689919931439152</v>
      </c>
      <c r="BV21" s="87" t="n">
        <f aca="false">AP21/(sib_net3b*(1+sib_decup*BB21))</f>
        <v>0.731507564937566</v>
      </c>
      <c r="BW21" s="87" t="n">
        <f aca="false">AQ21/(sib_net4*(1+sib_decup*BB21))</f>
        <v>0.579110155575573</v>
      </c>
      <c r="BX21" s="84" t="n">
        <f aca="false">BS21/BN21</f>
        <v>0.0784040639581502</v>
      </c>
      <c r="BY21" s="84" t="n">
        <f aca="false">BT21/BO21</f>
        <v>0.100229112176789</v>
      </c>
      <c r="BZ21" s="84" t="n">
        <f aca="false">BU21/BP21</f>
        <v>0.0737254296582822</v>
      </c>
      <c r="CA21" s="84" t="n">
        <f aca="false">BV21/BQ21</f>
        <v>0.0566496082161226</v>
      </c>
      <c r="CB21" s="84" t="n">
        <f aca="false">BW21/BR21</f>
        <v>0.0448476065044304</v>
      </c>
      <c r="CC21" s="84" t="n">
        <f aca="false">MAX(BX21:CB21)</f>
        <v>0.100229112176789</v>
      </c>
      <c r="CD21" s="1" t="str">
        <f aca="false">CHOOSE(MATCH(CC21,BX21:CB21,0),"Vladivostok-Harbin","Harbin-Manzhouli","Manzhouli-Kitaisky (branch)","Kitaisky-Irkutsk","Irkutsk-Ob")</f>
        <v>Harbin-Manzhouli</v>
      </c>
      <c r="CE21" s="87" t="n">
        <f aca="false">MIN(BN21-BS21,BO21-BT21,BP21-BU21,BQ21-BV21,BR21-BW21)</f>
        <v>7.33037146626927</v>
      </c>
      <c r="CF21" s="88"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f>
        <v>71262.6012789455</v>
      </c>
      <c r="CG21" s="81" t="n">
        <f aca="false">CF21/sib_kmloco*sib_helper</f>
        <v>556.739072491761</v>
      </c>
      <c r="CH21" s="84" t="n">
        <f aca="false">CG21/BA21</f>
        <v>0.28981732040175</v>
      </c>
      <c r="CI21" s="86" t="n">
        <v>0</v>
      </c>
      <c r="CJ21" s="86" t="n">
        <v>0</v>
      </c>
      <c r="CK21" s="86" t="n">
        <v>0</v>
      </c>
      <c r="CL21" s="88" t="n">
        <f aca="false">(sib_wag0+SUM(CI$6:CI21)+SUM(CJ$6:CJ21))*sib_wserv*(1-sib_civ)</f>
        <v>27370</v>
      </c>
      <c r="CM21" s="88"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f>
        <v>1482.56541263318</v>
      </c>
      <c r="CN21" s="84" t="n">
        <f aca="false">CM21/CL21</f>
        <v>0.0541675342576975</v>
      </c>
      <c r="CO21" s="83" t="n">
        <v>0</v>
      </c>
      <c r="CP21" s="81" t="n">
        <f aca="false">MIN(CO21,AK21+AJ21)</f>
        <v>0</v>
      </c>
      <c r="CQ21" s="84" t="n">
        <f aca="false">(AK21+AJ21+Z21-CP21)*365/1000000+sib_civport</f>
        <v>0.96050145</v>
      </c>
      <c r="CR21" s="82" t="n">
        <v>3</v>
      </c>
      <c r="CS21" s="84" t="n">
        <f aca="false">CQ21/(CR21*IF(OR(RIGHT(A21,2)="Q1",C21=365),sib_portwin,1))</f>
        <v>0.32016715</v>
      </c>
      <c r="CT21" s="87" t="n">
        <f aca="false">(AK21+AJ21+Z21-CP21)*sib_pacship*365/(sib_dwt*0.9*sib_voy)</f>
        <v>2.01198398860399</v>
      </c>
      <c r="CU21" s="84" t="n">
        <f aca="false">CT21/sib_ships</f>
        <v>0.0502995997150997</v>
      </c>
      <c r="CV21" s="88" t="n">
        <f aca="false">CV20+(AB21+Z21)*C21+AA21</f>
        <v>97280.0000000001</v>
      </c>
      <c r="CW21" s="87" t="n">
        <f aca="false">IF(C21=365,sib_surge/sib_mtrain/sib_surge_d,0)</f>
        <v>0</v>
      </c>
      <c r="CX21" s="81" t="n">
        <f aca="false">(CC21&gt;sib_util_max)+(CH21&gt;1)+(CN21&gt;1)+(CS21&gt;sib_util_max)+(CU21&gt;1)+(CV21&lt;0)+(CW21&gt;0)*(CE21&lt;CW21)</f>
        <v>0</v>
      </c>
      <c r="CY21" s="1" t="str">
        <f aca="false">IF(CX21=0,"OK","Check")</f>
        <v>OK</v>
      </c>
      <c r="CZ21" s="83" t="n">
        <v>0</v>
      </c>
      <c r="DA21" s="82" t="n">
        <v>0.5</v>
      </c>
      <c r="DB21" s="82" t="n">
        <v>1</v>
      </c>
      <c r="DC21" s="84" t="n">
        <f aca="false">INDEX(Paths!$B$6:$B$92,MATCH(B21,Paths!$A$6:$A$92,0))*sib_cost</f>
        <v>1.58</v>
      </c>
      <c r="DD21" s="87" t="n">
        <f aca="false">L21*sib_c_pac/1000*C21/365*DC21</f>
        <v>5.12093150684932</v>
      </c>
      <c r="DE21" s="87" t="n">
        <f aca="false">K21*sib_c_cz/1000*C21/365*DC21</f>
        <v>0</v>
      </c>
      <c r="DF21" s="87" t="n">
        <f aca="false">J21*sib_c_sib/1000*C21/365*DC21</f>
        <v>3.74221917808219</v>
      </c>
      <c r="DG21" s="87" t="n">
        <f aca="false">((MAX(0,T21-CP21)+V21+AB21+Z21+AA21/C21)*sib_pst_w+Q21*sib_loc_kg*sib_pst_e)*C21*sib_c_store/1000000*DC21</f>
        <v>8.1045443115</v>
      </c>
      <c r="DH21" s="87" t="n">
        <f aca="false">((AW21*sib_c_loco+CJ21*sib_c_wag+MAX(0,AZ21-AZ20)*sib_loco0*sib_c_rep+CZ21*sib_c_arm)/1000000+DA21)*DC21</f>
        <v>0.79</v>
      </c>
      <c r="DI21" s="87" t="n">
        <f aca="false">2*(sib_L1*(BS21+AT21)+sib_L2*(BT21+AT21)+sib_L3a*(BU21+AU21)+sib_L3b*(BV21+AU21)+sib_L4*(BW21+AU21))*C21*sib_c_tkm*sib_prail/1000000*DC21</f>
        <v>1.0387095566203</v>
      </c>
      <c r="DJ21" s="87" t="n">
        <f aca="false">CT21*sib_c_ship*C21/365*DC21</f>
        <v>0.356650345333333</v>
      </c>
      <c r="DK21" s="87" t="n">
        <f aca="false">DB21*DC21</f>
        <v>1.58</v>
      </c>
      <c r="DL21" s="87" t="n">
        <f aca="false">AA21*sib_c_kara/1000000*DC21</f>
        <v>0</v>
      </c>
      <c r="DM21" s="87" t="n">
        <f aca="false">(AC21*sib_c_ref/1000*C21/365+AH21*C21*sib_c_grain/1000000)*DC21</f>
        <v>0.619438535469178</v>
      </c>
      <c r="DN21" s="87" t="n">
        <f aca="false">Z21*C21*sib_c_amur/1000000*DC21</f>
        <v>0</v>
      </c>
      <c r="DO21" s="87" t="n">
        <f aca="false">sib_fed*sib_c_fed/1000000*C21/365*DC21</f>
        <v>0.590876712328767</v>
      </c>
      <c r="DP21" s="87" t="n">
        <f aca="false">SUM(DD21:DO21)</f>
        <v>21.9433701461831</v>
      </c>
    </row>
    <row r="22" customFormat="false" ht="13.8" hidden="false" customHeight="false" outlineLevel="0" collapsed="false">
      <c r="A22" s="1" t="s">
        <v>1797</v>
      </c>
      <c r="B22" s="81" t="n">
        <v>1922</v>
      </c>
      <c r="C22" s="81" t="n">
        <v>92</v>
      </c>
      <c r="D22" s="1" t="s">
        <v>1795</v>
      </c>
      <c r="E22" s="82" t="n">
        <v>0</v>
      </c>
      <c r="F22" s="83" t="n">
        <v>0</v>
      </c>
      <c r="G22" s="84" t="n">
        <f aca="false">1-E22*IF(F22=1,sib_winter,1)</f>
        <v>1</v>
      </c>
      <c r="H22" s="83" t="n">
        <v>55</v>
      </c>
      <c r="I22" s="83" t="n">
        <v>25</v>
      </c>
      <c r="J22" s="83" t="n">
        <v>90</v>
      </c>
      <c r="K22" s="83" t="n">
        <v>0</v>
      </c>
      <c r="L22" s="83" t="n">
        <v>9</v>
      </c>
      <c r="M22" s="81" t="n">
        <f aca="false">SUM(H22:L22)</f>
        <v>179</v>
      </c>
      <c r="N22" s="82" t="n">
        <v>0.4</v>
      </c>
      <c r="O22" s="82" t="n">
        <v>0.3</v>
      </c>
      <c r="P22" s="81" t="n">
        <f aca="false">H22*N22+I22*O22+J22*sib_sw+K22+L22*sib_pw</f>
        <v>122.65</v>
      </c>
      <c r="Q22" s="81" t="n">
        <f aca="false">M22-P22</f>
        <v>56.35</v>
      </c>
      <c r="R22" s="82" t="n">
        <v>0.4</v>
      </c>
      <c r="S22" s="85" t="n">
        <v>2</v>
      </c>
      <c r="T22" s="81" t="n">
        <f aca="false">P22*(R22*S22*sib_ammo+(1-R22)*sib_loc_kg)</f>
        <v>208.505</v>
      </c>
      <c r="U22" s="81" t="n">
        <f aca="false">H22*N22*sib_jp_kg</f>
        <v>19.8</v>
      </c>
      <c r="V22" s="83" t="n">
        <v>30</v>
      </c>
      <c r="W22" s="83" t="n">
        <v>40</v>
      </c>
      <c r="X22" s="83" t="n">
        <v>0</v>
      </c>
      <c r="Y22" s="83" t="n">
        <v>0</v>
      </c>
      <c r="Z22" s="81" t="n">
        <f aca="false">Y22*sib_amur</f>
        <v>0</v>
      </c>
      <c r="AA22" s="86" t="n">
        <v>0</v>
      </c>
      <c r="AB22" s="83" t="n">
        <v>0</v>
      </c>
      <c r="AC22" s="83" t="n">
        <v>50</v>
      </c>
      <c r="AD22" s="82" t="n">
        <v>1</v>
      </c>
      <c r="AE22" s="81" t="n">
        <f aca="false">(J22*sib_sw+K22+L22*sib_pw)*sib_bread+P22*sib_horses*sib_oats+AC22*sib_relief_kg</f>
        <v>246.81625</v>
      </c>
      <c r="AF22" s="81" t="n">
        <f aca="false">sib_surplus*AD22*sib_harvest*1000000/365*sib_callmax</f>
        <v>821.917808219178</v>
      </c>
      <c r="AG22" s="81" t="n">
        <f aca="false">MAX(0,AE22-AF22)</f>
        <v>0</v>
      </c>
      <c r="AH22" s="81" t="n">
        <f aca="false">AE22-AG22</f>
        <v>246.81625</v>
      </c>
      <c r="AI22" s="81" t="n">
        <f aca="false">I22*O22*sib_cn_kg</f>
        <v>6</v>
      </c>
      <c r="AJ22" s="81" t="n">
        <f aca="false">Q22*sib_loc_kg+H22*(1-N22)*sib_jp_kg</f>
        <v>114.225</v>
      </c>
      <c r="AK22" s="81" t="n">
        <f aca="false">T22+U22+V22+W22+X22+AB22</f>
        <v>298.305</v>
      </c>
      <c r="AL22" s="81" t="n">
        <f aca="false">AI22+AG22</f>
        <v>6</v>
      </c>
      <c r="AM22" s="81" t="n">
        <f aca="false">AK22+AJ22</f>
        <v>412.53</v>
      </c>
      <c r="AN22" s="81" t="n">
        <f aca="false">AK22+AL22+sib_e2*AJ22</f>
        <v>372.84</v>
      </c>
      <c r="AO22" s="81" t="n">
        <f aca="false">AK22+AL22+sib_e3*AJ22</f>
        <v>338.5725</v>
      </c>
      <c r="AP22" s="81" t="n">
        <f aca="false">AK22+AL22+Z22</f>
        <v>304.305</v>
      </c>
      <c r="AQ22" s="81" t="n">
        <f aca="false">AK22+AL22+Z22</f>
        <v>304.305</v>
      </c>
      <c r="AR22" s="81" t="n">
        <f aca="false">H22+I22+L22</f>
        <v>89</v>
      </c>
      <c r="AS22" s="81" t="n">
        <f aca="false">H22*N22+I22*O22+L22*sib_pw</f>
        <v>37.15</v>
      </c>
      <c r="AT22" s="87" t="n">
        <f aca="false">(MAX(0,AR22-AR21)+AR22*sib_rot*C22/365)*1000/sib_mtrain/C22</f>
        <v>0.0406392694063927</v>
      </c>
      <c r="AU22" s="87" t="n">
        <f aca="false">(MAX(0,AS22-AS21)+AS22*sib_rot*C22/365)*1000/sib_mtrain/C22</f>
        <v>0.0169634703196347</v>
      </c>
      <c r="AV22" s="83" t="n">
        <v>0</v>
      </c>
      <c r="AW22" s="83" t="n">
        <v>0</v>
      </c>
      <c r="AX22" s="81" t="n">
        <f aca="false">(SUM(AV$6:AV22)+SUM(AW$6:AW22))*0.9</f>
        <v>855</v>
      </c>
      <c r="AY22" s="82" t="n">
        <v>0.82</v>
      </c>
      <c r="AZ22" s="84" t="n">
        <f aca="false">1-(1-AY22)*sib_sick</f>
        <v>0.82</v>
      </c>
      <c r="BA22" s="81" t="n">
        <f aca="false">sib_loco0*AZ22+AX22</f>
        <v>1921</v>
      </c>
      <c r="BB22" s="84" t="n">
        <f aca="false">AX22/BA22</f>
        <v>0.445080687142113</v>
      </c>
      <c r="BC22" s="83" t="n">
        <v>18</v>
      </c>
      <c r="BD22" s="83" t="n">
        <v>16</v>
      </c>
      <c r="BE22" s="83" t="n">
        <v>18</v>
      </c>
      <c r="BF22" s="83" t="n">
        <v>24</v>
      </c>
      <c r="BG22" s="83" t="n">
        <v>24</v>
      </c>
      <c r="BH22" s="87" t="n">
        <f aca="false">BC$6+(BC22-BC$6)*sib_works</f>
        <v>18</v>
      </c>
      <c r="BI22" s="87" t="n">
        <f aca="false">BD$6+(BD22-BD$6)*sib_works</f>
        <v>16</v>
      </c>
      <c r="BJ22" s="87" t="n">
        <f aca="false">BE$6+(BE22-BE$6)*sib_works</f>
        <v>18</v>
      </c>
      <c r="BK22" s="87" t="n">
        <f aca="false">BF$6+(BF22-BF$6)*sib_works</f>
        <v>24</v>
      </c>
      <c r="BL22" s="87" t="n">
        <f aca="false">BG$6+(BG22-BG$6)*sib_works</f>
        <v>24</v>
      </c>
      <c r="BM22" s="83" t="n">
        <v>0</v>
      </c>
      <c r="BN22" s="87" t="n">
        <f aca="false">(BH22*G22-sib_pass)*(1-sib_civ)*(1-sib_fuel-BM22*sib_strike)-AT22</f>
        <v>10.2633607305936</v>
      </c>
      <c r="BO22" s="87" t="n">
        <f aca="false">(BI22*G22-sib_pass)*(1-sib_civ)*(1-sib_fuel-BM22*sib_strike)-AT22</f>
        <v>8.97536073059361</v>
      </c>
      <c r="BP22" s="87" t="n">
        <f aca="false">(BJ22*G22-sib_pass)*(1-sib_civ)*(1-sib_fuel-BM22*sib_strike)-AU22</f>
        <v>10.2870365296804</v>
      </c>
      <c r="BQ22" s="87" t="n">
        <f aca="false">(BK22*G22-sib_pass)*(1-sib_civ)*(1-sib_fuel-BM22*sib_strike)-AU22</f>
        <v>14.1510365296804</v>
      </c>
      <c r="BR22" s="87" t="n">
        <f aca="false">(BL22*G22-sib_pass)*(1-sib_civ)*(1-sib_fuel-BM22*sib_strike)-AU22</f>
        <v>14.1510365296804</v>
      </c>
      <c r="BS22" s="87" t="n">
        <f aca="false">AM22/(sib_net1*(1+sib_decup*BB22))</f>
        <v>0.686400639221155</v>
      </c>
      <c r="BT22" s="87" t="n">
        <f aca="false">AN22/(sib_net2*(1+sib_decup*BB22))</f>
        <v>0.768066273103093</v>
      </c>
      <c r="BU22" s="87" t="n">
        <f aca="false">AO22/(sib_net3a*(1+sib_decup*BB22))</f>
        <v>0.650975513268025</v>
      </c>
      <c r="BV22" s="87" t="n">
        <f aca="false">AP22/(sib_net3b*(1+sib_decup*BB22))</f>
        <v>0.692868755889273</v>
      </c>
      <c r="BW22" s="87" t="n">
        <f aca="false">AQ22/(sib_net4*(1+sib_decup*BB22))</f>
        <v>0.548521098412341</v>
      </c>
      <c r="BX22" s="84" t="n">
        <f aca="false">BS22/BN22</f>
        <v>0.0668787405255174</v>
      </c>
      <c r="BY22" s="84" t="n">
        <f aca="false">BT22/BO22</f>
        <v>0.0855749753305231</v>
      </c>
      <c r="BZ22" s="84" t="n">
        <f aca="false">BU22/BP22</f>
        <v>0.0632811511254789</v>
      </c>
      <c r="CA22" s="84" t="n">
        <f aca="false">BV22/BQ22</f>
        <v>0.0489624031735096</v>
      </c>
      <c r="CB22" s="84" t="n">
        <f aca="false">BW22/BR22</f>
        <v>0.0387619025123618</v>
      </c>
      <c r="CC22" s="84" t="n">
        <f aca="false">MAX(BX22:CB22)</f>
        <v>0.0855749753305231</v>
      </c>
      <c r="CD22" s="1" t="str">
        <f aca="false">CHOOSE(MATCH(CC22,BX22:CB22,0),"Vladivostok-Harbin","Harbin-Manzhouli","Manzhouli-Kitaisky (branch)","Kitaisky-Irkutsk","Irkutsk-Ob")</f>
        <v>Harbin-Manzhouli</v>
      </c>
      <c r="CE22" s="87" t="n">
        <f aca="false">MIN(BN22-BS22,BO22-BT22,BP22-BU22,BQ22-BV22,BR22-BW22)</f>
        <v>8.20729445749051</v>
      </c>
      <c r="CF22" s="88"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f>
        <v>75216.2734522842</v>
      </c>
      <c r="CG22" s="81" t="n">
        <f aca="false">CF22/sib_kmloco*sib_helper</f>
        <v>587.62713634597</v>
      </c>
      <c r="CH22" s="84" t="n">
        <f aca="false">CG22/BA22</f>
        <v>0.30589647909733</v>
      </c>
      <c r="CI22" s="86" t="n">
        <v>0</v>
      </c>
      <c r="CJ22" s="86" t="n">
        <v>0</v>
      </c>
      <c r="CK22" s="86" t="n">
        <v>0</v>
      </c>
      <c r="CL22" s="88" t="n">
        <f aca="false">(sib_wag0+SUM(CI$6:CI22)+SUM(CJ$6:CJ22))*sib_wserv*(1-sib_civ)</f>
        <v>27370</v>
      </c>
      <c r="CM22" s="88"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f>
        <v>1397.70878280061</v>
      </c>
      <c r="CN22" s="84" t="n">
        <f aca="false">CM22/CL22</f>
        <v>0.0510671824187289</v>
      </c>
      <c r="CO22" s="83" t="n">
        <v>0</v>
      </c>
      <c r="CP22" s="81" t="n">
        <f aca="false">MIN(CO22,AK22+AJ22)</f>
        <v>0</v>
      </c>
      <c r="CQ22" s="84" t="n">
        <f aca="false">(AK22+AJ22+Z22-CP22)*365/1000000+sib_civport</f>
        <v>0.95057345</v>
      </c>
      <c r="CR22" s="82" t="n">
        <v>3</v>
      </c>
      <c r="CS22" s="84" t="n">
        <f aca="false">CQ22/(CR22*IF(OR(RIGHT(A22,2)="Q1",C22=365),sib_portwin,1))</f>
        <v>0.316857816666667</v>
      </c>
      <c r="CT22" s="87" t="n">
        <f aca="false">(AK22+AJ22+Z22-CP22)*sib_pacship*365/(sib_dwt*0.9*sib_voy)</f>
        <v>1.88753042735043</v>
      </c>
      <c r="CU22" s="84" t="n">
        <f aca="false">CT22/sib_ships</f>
        <v>0.0471882606837607</v>
      </c>
      <c r="CV22" s="88" t="n">
        <f aca="false">CV21+(AB22+Z22)*C22+AA22</f>
        <v>97280.0000000001</v>
      </c>
      <c r="CW22" s="87" t="n">
        <f aca="false">IF(C22=365,sib_surge/sib_mtrain/sib_surge_d,0)</f>
        <v>0</v>
      </c>
      <c r="CX22" s="81" t="n">
        <f aca="false">(CC22&gt;sib_util_max)+(CH22&gt;1)+(CN22&gt;1)+(CS22&gt;sib_util_max)+(CU22&gt;1)+(CV22&lt;0)+(CW22&gt;0)*(CE22&lt;CW22)</f>
        <v>0</v>
      </c>
      <c r="CY22" s="1" t="str">
        <f aca="false">IF(CX22=0,"OK","Check")</f>
        <v>OK</v>
      </c>
      <c r="CZ22" s="83" t="n">
        <v>0</v>
      </c>
      <c r="DA22" s="82" t="n">
        <v>0.5</v>
      </c>
      <c r="DB22" s="82" t="n">
        <v>1</v>
      </c>
      <c r="DC22" s="84" t="n">
        <f aca="false">INDEX(Paths!$B$6:$B$92,MATCH(B22,Paths!$A$6:$A$92,0))*sib_cost</f>
        <v>1.58</v>
      </c>
      <c r="DD22" s="87" t="n">
        <f aca="false">L22*sib_c_pac/1000*C22/365*DC22</f>
        <v>4.65948493150685</v>
      </c>
      <c r="DE22" s="87" t="n">
        <f aca="false">K22*sib_c_cz/1000*C22/365*DC22</f>
        <v>0</v>
      </c>
      <c r="DF22" s="87" t="n">
        <f aca="false">J22*sib_c_sib/1000*C22/365*DC22</f>
        <v>3.58421917808219</v>
      </c>
      <c r="DG22" s="87" t="n">
        <f aca="false">((MAX(0,T22-CP22)+V22+AB22+Z22+AA22/C22)*sib_pst_w+Q22*sib_loc_kg*sib_pst_e)*C22*sib_c_store/1000000*DC22</f>
        <v>7.710537618</v>
      </c>
      <c r="DH22" s="87" t="n">
        <f aca="false">((AW22*sib_c_loco+CJ22*sib_c_wag+MAX(0,AZ22-AZ21)*sib_loco0*sib_c_rep+CZ22*sib_c_arm)/1000000+DA22)*DC22</f>
        <v>0.79</v>
      </c>
      <c r="DI22" s="87" t="n">
        <f aca="false">2*(sib_L1*(BS22+AT22)+sib_L2*(BT22+AT22)+sib_L3a*(BU22+AU22)+sib_L3b*(BV22+AU22)+sib_L4*(BW22+AU22))*C22*sib_c_tkm*sib_prail/1000000*DC22</f>
        <v>0.989724503605789</v>
      </c>
      <c r="DJ22" s="87" t="n">
        <f aca="false">CT22*sib_c_ship*C22/365*DC22</f>
        <v>0.338266137846154</v>
      </c>
      <c r="DK22" s="87" t="n">
        <f aca="false">DB22*DC22</f>
        <v>1.58</v>
      </c>
      <c r="DL22" s="87" t="n">
        <f aca="false">AA22*sib_c_kara/1000000*DC22</f>
        <v>0</v>
      </c>
      <c r="DM22" s="87" t="n">
        <f aca="false">(AC22*sib_c_ref/1000*C22/365+AH22*C22*sib_c_grain/1000000)*DC22</f>
        <v>0.613509835942466</v>
      </c>
      <c r="DN22" s="87" t="n">
        <f aca="false">Z22*C22*sib_c_amur/1000000*DC22</f>
        <v>0</v>
      </c>
      <c r="DO22" s="87" t="n">
        <f aca="false">sib_fed*sib_c_fed/1000000*C22/365*DC22</f>
        <v>0.597369863013699</v>
      </c>
      <c r="DP22" s="87" t="n">
        <f aca="false">SUM(DD22:DO22)</f>
        <v>20.8631120679972</v>
      </c>
    </row>
    <row r="23" customFormat="false" ht="13.8" hidden="false" customHeight="false" outlineLevel="0" collapsed="false">
      <c r="A23" s="1" t="s">
        <v>1798</v>
      </c>
      <c r="B23" s="81" t="n">
        <v>1922</v>
      </c>
      <c r="C23" s="81" t="n">
        <v>92</v>
      </c>
      <c r="D23" s="1" t="s">
        <v>1799</v>
      </c>
      <c r="E23" s="82" t="n">
        <v>0.15</v>
      </c>
      <c r="F23" s="83" t="n">
        <v>1</v>
      </c>
      <c r="G23" s="84" t="n">
        <f aca="false">1-E23*IF(F23=1,sib_winter,1)</f>
        <v>0.85</v>
      </c>
      <c r="H23" s="83" t="n">
        <v>50</v>
      </c>
      <c r="I23" s="83" t="n">
        <v>22</v>
      </c>
      <c r="J23" s="83" t="n">
        <v>85</v>
      </c>
      <c r="K23" s="83" t="n">
        <v>0</v>
      </c>
      <c r="L23" s="83" t="n">
        <v>8</v>
      </c>
      <c r="M23" s="81" t="n">
        <f aca="false">SUM(H23:L23)</f>
        <v>165</v>
      </c>
      <c r="N23" s="82" t="n">
        <v>0.4</v>
      </c>
      <c r="O23" s="82" t="n">
        <v>0.3</v>
      </c>
      <c r="P23" s="81" t="n">
        <f aca="false">H23*N23+I23*O23+J23*sib_sw+K23+L23*sib_pw</f>
        <v>114.15</v>
      </c>
      <c r="Q23" s="81" t="n">
        <f aca="false">M23-P23</f>
        <v>50.85</v>
      </c>
      <c r="R23" s="82" t="n">
        <v>0.4</v>
      </c>
      <c r="S23" s="85" t="n">
        <v>2</v>
      </c>
      <c r="T23" s="81" t="n">
        <f aca="false">P23*(R23*S23*sib_ammo+(1-R23)*sib_loc_kg)</f>
        <v>194.055</v>
      </c>
      <c r="U23" s="81" t="n">
        <f aca="false">H23*N23*sib_jp_kg</f>
        <v>18</v>
      </c>
      <c r="V23" s="83" t="n">
        <v>30</v>
      </c>
      <c r="W23" s="83" t="n">
        <v>40</v>
      </c>
      <c r="X23" s="83" t="n">
        <v>0</v>
      </c>
      <c r="Y23" s="83" t="n">
        <v>0</v>
      </c>
      <c r="Z23" s="81" t="n">
        <f aca="false">Y23*sib_amur</f>
        <v>0</v>
      </c>
      <c r="AA23" s="86" t="n">
        <v>0</v>
      </c>
      <c r="AB23" s="83" t="n">
        <v>0</v>
      </c>
      <c r="AC23" s="83" t="n">
        <v>50</v>
      </c>
      <c r="AD23" s="82" t="n">
        <v>1</v>
      </c>
      <c r="AE23" s="81" t="n">
        <f aca="false">(J23*sib_sw+K23+L23*sib_pw)*sib_bread+P23*sib_horses*sib_oats+AC23*sib_relief_kg</f>
        <v>232.21375</v>
      </c>
      <c r="AF23" s="81" t="n">
        <f aca="false">sib_surplus*AD23*sib_harvest*1000000/365*sib_callmax</f>
        <v>821.917808219178</v>
      </c>
      <c r="AG23" s="81" t="n">
        <f aca="false">MAX(0,AE23-AF23)</f>
        <v>0</v>
      </c>
      <c r="AH23" s="81" t="n">
        <f aca="false">AE23-AG23</f>
        <v>232.21375</v>
      </c>
      <c r="AI23" s="81" t="n">
        <f aca="false">I23*O23*sib_cn_kg</f>
        <v>5.28</v>
      </c>
      <c r="AJ23" s="81" t="n">
        <f aca="false">Q23*sib_loc_kg+H23*(1-N23)*sib_jp_kg</f>
        <v>103.275</v>
      </c>
      <c r="AK23" s="81" t="n">
        <f aca="false">T23+U23+V23+W23+X23+AB23</f>
        <v>282.055</v>
      </c>
      <c r="AL23" s="81" t="n">
        <f aca="false">AI23+AG23</f>
        <v>5.28</v>
      </c>
      <c r="AM23" s="81" t="n">
        <f aca="false">AK23+AJ23</f>
        <v>385.33</v>
      </c>
      <c r="AN23" s="81" t="n">
        <f aca="false">AK23+AL23+sib_e2*AJ23</f>
        <v>349.3</v>
      </c>
      <c r="AO23" s="81" t="n">
        <f aca="false">AK23+AL23+sib_e3*AJ23</f>
        <v>318.3175</v>
      </c>
      <c r="AP23" s="81" t="n">
        <f aca="false">AK23+AL23+Z23</f>
        <v>287.335</v>
      </c>
      <c r="AQ23" s="81" t="n">
        <f aca="false">AK23+AL23+Z23</f>
        <v>287.335</v>
      </c>
      <c r="AR23" s="81" t="n">
        <f aca="false">H23+I23+L23</f>
        <v>80</v>
      </c>
      <c r="AS23" s="81" t="n">
        <f aca="false">H23*N23+I23*O23+L23*sib_pw</f>
        <v>33.4</v>
      </c>
      <c r="AT23" s="87" t="n">
        <f aca="false">(MAX(0,AR23-AR22)+AR23*sib_rot*C23/365)*1000/sib_mtrain/C23</f>
        <v>0.0365296803652968</v>
      </c>
      <c r="AU23" s="87" t="n">
        <f aca="false">(MAX(0,AS23-AS22)+AS23*sib_rot*C23/365)*1000/sib_mtrain/C23</f>
        <v>0.0152511415525114</v>
      </c>
      <c r="AV23" s="83" t="n">
        <v>0</v>
      </c>
      <c r="AW23" s="83" t="n">
        <v>0</v>
      </c>
      <c r="AX23" s="81" t="n">
        <f aca="false">(SUM(AV$6:AV23)+SUM(AW$6:AW23))*0.9</f>
        <v>855</v>
      </c>
      <c r="AY23" s="82" t="n">
        <v>0.82</v>
      </c>
      <c r="AZ23" s="84" t="n">
        <f aca="false">1-(1-AY23)*sib_sick</f>
        <v>0.82</v>
      </c>
      <c r="BA23" s="81" t="n">
        <f aca="false">sib_loco0*AZ23+AX23</f>
        <v>1921</v>
      </c>
      <c r="BB23" s="84" t="n">
        <f aca="false">AX23/BA23</f>
        <v>0.445080687142113</v>
      </c>
      <c r="BC23" s="83" t="n">
        <v>18</v>
      </c>
      <c r="BD23" s="83" t="n">
        <v>16</v>
      </c>
      <c r="BE23" s="83" t="n">
        <v>18</v>
      </c>
      <c r="BF23" s="83" t="n">
        <v>24</v>
      </c>
      <c r="BG23" s="83" t="n">
        <v>24</v>
      </c>
      <c r="BH23" s="87" t="n">
        <f aca="false">BC$6+(BC23-BC$6)*sib_works</f>
        <v>18</v>
      </c>
      <c r="BI23" s="87" t="n">
        <f aca="false">BD$6+(BD23-BD$6)*sib_works</f>
        <v>16</v>
      </c>
      <c r="BJ23" s="87" t="n">
        <f aca="false">BE$6+(BE23-BE$6)*sib_works</f>
        <v>18</v>
      </c>
      <c r="BK23" s="87" t="n">
        <f aca="false">BF$6+(BF23-BF$6)*sib_works</f>
        <v>24</v>
      </c>
      <c r="BL23" s="87" t="n">
        <f aca="false">BG$6+(BG23-BG$6)*sib_works</f>
        <v>24</v>
      </c>
      <c r="BM23" s="83" t="n">
        <v>0</v>
      </c>
      <c r="BN23" s="87" t="n">
        <f aca="false">(BH23*G23-sib_pass)*(1-sib_civ)*(1-sib_fuel-BM23*sib_strike)-AT23</f>
        <v>8.5286703196347</v>
      </c>
      <c r="BO23" s="87" t="n">
        <f aca="false">(BI23*G23-sib_pass)*(1-sib_civ)*(1-sib_fuel-BM23*sib_strike)-AT23</f>
        <v>7.4338703196347</v>
      </c>
      <c r="BP23" s="87" t="n">
        <f aca="false">(BJ23*G23-sib_pass)*(1-sib_civ)*(1-sib_fuel-BM23*sib_strike)-AU23</f>
        <v>8.54994885844749</v>
      </c>
      <c r="BQ23" s="87" t="n">
        <f aca="false">(BK23*G23-sib_pass)*(1-sib_civ)*(1-sib_fuel-BM23*sib_strike)-AU23</f>
        <v>11.8343488584475</v>
      </c>
      <c r="BR23" s="87" t="n">
        <f aca="false">(BL23*G23-sib_pass)*(1-sib_civ)*(1-sib_fuel-BM23*sib_strike)-AU23</f>
        <v>11.8343488584475</v>
      </c>
      <c r="BS23" s="87" t="n">
        <f aca="false">AM23/(sib_net1*(1+sib_decup*BB23))</f>
        <v>0.641143088529531</v>
      </c>
      <c r="BT23" s="87" t="n">
        <f aca="false">AN23/(sib_net2*(1+sib_decup*BB23))</f>
        <v>0.719572870922944</v>
      </c>
      <c r="BU23" s="87" t="n">
        <f aca="false">AO23/(sib_net3a*(1+sib_decup*BB23))</f>
        <v>0.612031095096898</v>
      </c>
      <c r="BV23" s="87" t="n">
        <f aca="false">AP23/(sib_net3b*(1+sib_decup*BB23))</f>
        <v>0.654229946840979</v>
      </c>
      <c r="BW23" s="87" t="n">
        <f aca="false">AQ23/(sib_net4*(1+sib_decup*BB23))</f>
        <v>0.517932041249108</v>
      </c>
      <c r="BX23" s="84" t="n">
        <f aca="false">BS23/BN23</f>
        <v>0.0751750348531461</v>
      </c>
      <c r="BY23" s="84" t="n">
        <f aca="false">BT23/BO23</f>
        <v>0.0967965326247854</v>
      </c>
      <c r="BZ23" s="84" t="n">
        <f aca="false">BU23/BP23</f>
        <v>0.0715830123933667</v>
      </c>
      <c r="CA23" s="84" t="n">
        <f aca="false">BV23/BQ23</f>
        <v>0.0552822934887527</v>
      </c>
      <c r="CB23" s="84" t="n">
        <f aca="false">BW23/BR23</f>
        <v>0.0437651490119292</v>
      </c>
      <c r="CC23" s="84" t="n">
        <f aca="false">MAX(BX23:CB23)</f>
        <v>0.0967965326247854</v>
      </c>
      <c r="CD23" s="1" t="str">
        <f aca="false">CHOOSE(MATCH(CC23,BX23:CB23,0),"Vladivostok-Harbin","Harbin-Manzhouli","Manzhouli-Kitaisky (branch)","Kitaisky-Irkutsk","Irkutsk-Ob")</f>
        <v>Harbin-Manzhouli</v>
      </c>
      <c r="CE23" s="87" t="n">
        <f aca="false">MIN(BN23-BS23,BO23-BT23,BP23-BU23,BQ23-BV23,BR23-BW23)</f>
        <v>6.71429744871176</v>
      </c>
      <c r="CF23" s="88"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f>
        <v>66654.4753856229</v>
      </c>
      <c r="CG23" s="81" t="n">
        <f aca="false">CF23/sib_kmloco*sib_helper</f>
        <v>520.738088950179</v>
      </c>
      <c r="CH23" s="84" t="n">
        <f aca="false">CG23/BA23</f>
        <v>0.271076568948558</v>
      </c>
      <c r="CI23" s="86" t="n">
        <v>0</v>
      </c>
      <c r="CJ23" s="86" t="n">
        <v>0</v>
      </c>
      <c r="CK23" s="86" t="n">
        <v>0</v>
      </c>
      <c r="CL23" s="88" t="n">
        <f aca="false">(sib_wag0+SUM(CI$6:CI23)+SUM(CJ$6:CJ23))*sib_wserv*(1-sib_civ)</f>
        <v>27370</v>
      </c>
      <c r="CM23" s="88"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f>
        <v>1312.85215296804</v>
      </c>
      <c r="CN23" s="84" t="n">
        <f aca="false">CM23/CL23</f>
        <v>0.0479668305797602</v>
      </c>
      <c r="CO23" s="83" t="n">
        <v>0</v>
      </c>
      <c r="CP23" s="81" t="n">
        <f aca="false">MIN(CO23,AK23+AJ23)</f>
        <v>0</v>
      </c>
      <c r="CQ23" s="84" t="n">
        <f aca="false">(AK23+AJ23+Z23-CP23)*365/1000000+sib_civport</f>
        <v>0.94064545</v>
      </c>
      <c r="CR23" s="82" t="n">
        <v>3</v>
      </c>
      <c r="CS23" s="84" t="n">
        <f aca="false">CQ23/(CR23*IF(OR(RIGHT(A23,2)="Q1",C23=365),sib_portwin,1))</f>
        <v>0.313548483333333</v>
      </c>
      <c r="CT23" s="87" t="n">
        <f aca="false">(AK23+AJ23+Z23-CP23)*sib_pacship*365/(sib_dwt*0.9*sib_voy)</f>
        <v>1.76307686609687</v>
      </c>
      <c r="CU23" s="84" t="n">
        <f aca="false">CT23/sib_ships</f>
        <v>0.0440769216524216</v>
      </c>
      <c r="CV23" s="88" t="n">
        <f aca="false">CV22+(AB23+Z23)*C23+AA23</f>
        <v>97280.0000000001</v>
      </c>
      <c r="CW23" s="87" t="n">
        <f aca="false">IF(C23=365,sib_surge/sib_mtrain/sib_surge_d,0)</f>
        <v>0</v>
      </c>
      <c r="CX23" s="81" t="n">
        <f aca="false">(CC23&gt;sib_util_max)+(CH23&gt;1)+(CN23&gt;1)+(CS23&gt;sib_util_max)+(CU23&gt;1)+(CV23&lt;0)+(CW23&gt;0)*(CE23&lt;CW23)</f>
        <v>0</v>
      </c>
      <c r="CY23" s="1" t="str">
        <f aca="false">IF(CX23=0,"OK","Check")</f>
        <v>OK</v>
      </c>
      <c r="CZ23" s="83" t="n">
        <v>0</v>
      </c>
      <c r="DA23" s="82" t="n">
        <v>0.5</v>
      </c>
      <c r="DB23" s="82" t="n">
        <v>1</v>
      </c>
      <c r="DC23" s="84" t="n">
        <f aca="false">INDEX(Paths!$B$6:$B$92,MATCH(B23,Paths!$A$6:$A$92,0))*sib_cost</f>
        <v>1.58</v>
      </c>
      <c r="DD23" s="87" t="n">
        <f aca="false">L23*sib_c_pac/1000*C23/365*DC23</f>
        <v>4.14176438356164</v>
      </c>
      <c r="DE23" s="87" t="n">
        <f aca="false">K23*sib_c_cz/1000*C23/365*DC23</f>
        <v>0</v>
      </c>
      <c r="DF23" s="87" t="n">
        <f aca="false">J23*sib_c_sib/1000*C23/365*DC23</f>
        <v>3.38509589041096</v>
      </c>
      <c r="DG23" s="87" t="n">
        <f aca="false">((MAX(0,T23-CP23)+V23+AB23+Z23+AA23/C23)*sib_pst_w+Q23*sib_loc_kg*sib_pst_e)*C23*sib_c_store/1000000*DC23</f>
        <v>7.227469998</v>
      </c>
      <c r="DH23" s="87" t="n">
        <f aca="false">((AW23*sib_c_loco+CJ23*sib_c_wag+MAX(0,AZ23-AZ22)*sib_loco0*sib_c_rep+CZ23*sib_c_arm)/1000000+DA23)*DC23</f>
        <v>0.79</v>
      </c>
      <c r="DI23" s="87" t="n">
        <f aca="false">2*(sib_L1*(BS23+AT23)+sib_L2*(BT23+AT23)+sib_L3a*(BU23+AU23)+sib_L3b*(BV23+AU23)+sib_L4*(BW23+AU23))*C23*sib_c_tkm*sib_prail/1000000*DC23</f>
        <v>0.929325059859192</v>
      </c>
      <c r="DJ23" s="87" t="n">
        <f aca="false">CT23*sib_c_ship*C23/365*DC23</f>
        <v>0.315962695794872</v>
      </c>
      <c r="DK23" s="87" t="n">
        <f aca="false">DB23*DC23</f>
        <v>1.58</v>
      </c>
      <c r="DL23" s="87" t="n">
        <f aca="false">AA23*sib_c_kara/1000000*DC23</f>
        <v>0</v>
      </c>
      <c r="DM23" s="87" t="n">
        <f aca="false">(AC23*sib_c_ref/1000*C23/365+AH23*C23*sib_c_grain/1000000)*DC23</f>
        <v>0.600774119542466</v>
      </c>
      <c r="DN23" s="87" t="n">
        <f aca="false">Z23*C23*sib_c_amur/1000000*DC23</f>
        <v>0</v>
      </c>
      <c r="DO23" s="87" t="n">
        <f aca="false">sib_fed*sib_c_fed/1000000*C23/365*DC23</f>
        <v>0.597369863013699</v>
      </c>
      <c r="DP23" s="87" t="n">
        <f aca="false">SUM(DD23:DO23)</f>
        <v>19.5677620101828</v>
      </c>
    </row>
    <row r="24" customFormat="false" ht="13.8" hidden="false" customHeight="false" outlineLevel="0" collapsed="false">
      <c r="A24" s="53" t="s">
        <v>1800</v>
      </c>
      <c r="B24" s="81" t="n">
        <v>1923</v>
      </c>
      <c r="C24" s="81" t="n">
        <v>365</v>
      </c>
      <c r="D24" s="1" t="s">
        <v>1801</v>
      </c>
      <c r="E24" s="82" t="n">
        <v>0.3</v>
      </c>
      <c r="F24" s="83" t="n">
        <v>1</v>
      </c>
      <c r="G24" s="84" t="n">
        <f aca="false">1-E24*IF(F24=1,sib_winter,1)</f>
        <v>0.7</v>
      </c>
      <c r="H24" s="83" t="n">
        <v>40</v>
      </c>
      <c r="I24" s="83" t="n">
        <v>15</v>
      </c>
      <c r="J24" s="83" t="n">
        <v>80</v>
      </c>
      <c r="K24" s="83" t="n">
        <v>0</v>
      </c>
      <c r="L24" s="83" t="n">
        <v>6</v>
      </c>
      <c r="M24" s="81" t="n">
        <f aca="false">SUM(H24:L24)</f>
        <v>141</v>
      </c>
      <c r="N24" s="82" t="n">
        <v>0.35</v>
      </c>
      <c r="O24" s="82" t="n">
        <v>0.25</v>
      </c>
      <c r="P24" s="81" t="n">
        <f aca="false">H24*N24+I24*O24+J24*sib_sw+K24+L24*sib_pw</f>
        <v>98.85</v>
      </c>
      <c r="Q24" s="81" t="n">
        <f aca="false">M24-P24</f>
        <v>42.15</v>
      </c>
      <c r="R24" s="82" t="n">
        <v>0.4</v>
      </c>
      <c r="S24" s="85" t="n">
        <v>2</v>
      </c>
      <c r="T24" s="81" t="n">
        <f aca="false">P24*(R24*S24*sib_ammo+(1-R24)*sib_loc_kg)</f>
        <v>168.045</v>
      </c>
      <c r="U24" s="81" t="n">
        <f aca="false">H24*N24*sib_jp_kg</f>
        <v>12.6</v>
      </c>
      <c r="V24" s="83" t="n">
        <v>30</v>
      </c>
      <c r="W24" s="83" t="n">
        <v>40</v>
      </c>
      <c r="X24" s="83" t="n">
        <v>0</v>
      </c>
      <c r="Y24" s="83" t="n">
        <v>82.1917808219178</v>
      </c>
      <c r="Z24" s="81" t="n">
        <f aca="false">Y24*sib_amur</f>
        <v>82.1917808219178</v>
      </c>
      <c r="AA24" s="86" t="n">
        <v>30000</v>
      </c>
      <c r="AB24" s="81" t="n">
        <f aca="false">-(AA24+Z24*C24)/C24</f>
        <v>-164.383561643836</v>
      </c>
      <c r="AC24" s="83" t="n">
        <v>20</v>
      </c>
      <c r="AD24" s="82" t="n">
        <v>1.05</v>
      </c>
      <c r="AE24" s="81" t="n">
        <f aca="false">(J24*sib_sw+K24+L24*sib_pw)*sib_bread+P24*sib_horses*sib_oats+AC24*sib_relief_kg</f>
        <v>194.19625</v>
      </c>
      <c r="AF24" s="81" t="n">
        <f aca="false">sib_surplus*AD24*sib_harvest*1000000/365*sib_callmax</f>
        <v>863.013698630137</v>
      </c>
      <c r="AG24" s="81" t="n">
        <f aca="false">MAX(0,AE24-AF24)</f>
        <v>0</v>
      </c>
      <c r="AH24" s="81" t="n">
        <f aca="false">AE24-AG24</f>
        <v>194.19625</v>
      </c>
      <c r="AI24" s="81" t="n">
        <f aca="false">I24*O24*sib_cn_kg</f>
        <v>3</v>
      </c>
      <c r="AJ24" s="81" t="n">
        <f aca="false">Q24*sib_loc_kg+H24*(1-N24)*sib_jp_kg</f>
        <v>86.625</v>
      </c>
      <c r="AK24" s="81" t="n">
        <f aca="false">T24+U24+V24+W24+X24+AB24</f>
        <v>86.2614383561644</v>
      </c>
      <c r="AL24" s="81" t="n">
        <f aca="false">AI24+AG24</f>
        <v>3</v>
      </c>
      <c r="AM24" s="81" t="n">
        <f aca="false">AK24+AJ24</f>
        <v>172.886438356164</v>
      </c>
      <c r="AN24" s="81" t="n">
        <f aca="false">AK24+AL24+sib_e2*AJ24</f>
        <v>141.236438356164</v>
      </c>
      <c r="AO24" s="81" t="n">
        <f aca="false">AK24+AL24+sib_e3*AJ24</f>
        <v>115.248938356164</v>
      </c>
      <c r="AP24" s="81" t="n">
        <f aca="false">AK24+AL24+Z24</f>
        <v>171.453219178082</v>
      </c>
      <c r="AQ24" s="81" t="n">
        <f aca="false">AK24+AL24+Z24</f>
        <v>171.453219178082</v>
      </c>
      <c r="AR24" s="81" t="n">
        <f aca="false">H24+I24+L24</f>
        <v>61</v>
      </c>
      <c r="AS24" s="81" t="n">
        <f aca="false">H24*N24+I24*O24+L24*sib_pw</f>
        <v>22.85</v>
      </c>
      <c r="AT24" s="87" t="n">
        <f aca="false">(MAX(0,AR24-AR23)+AR24*sib_rot*C24/365)*1000/sib_mtrain/C24</f>
        <v>0.0278538812785388</v>
      </c>
      <c r="AU24" s="87" t="n">
        <f aca="false">(MAX(0,AS24-AS23)+AS24*sib_rot*C24/365)*1000/sib_mtrain/C24</f>
        <v>0.0104337899543379</v>
      </c>
      <c r="AV24" s="83" t="n">
        <v>0</v>
      </c>
      <c r="AW24" s="83" t="n">
        <v>0</v>
      </c>
      <c r="AX24" s="81" t="n">
        <f aca="false">(SUM(AV$6:AV24)+SUM(AW$6:AW24))*0.9</f>
        <v>855</v>
      </c>
      <c r="AY24" s="82" t="n">
        <v>0.85</v>
      </c>
      <c r="AZ24" s="84" t="n">
        <f aca="false">1-(1-AY24)*sib_sick</f>
        <v>0.85</v>
      </c>
      <c r="BA24" s="81" t="n">
        <f aca="false">sib_loco0*AZ24+AX24</f>
        <v>1960</v>
      </c>
      <c r="BB24" s="84" t="n">
        <f aca="false">AX24/BA24</f>
        <v>0.436224489795918</v>
      </c>
      <c r="BC24" s="83" t="n">
        <v>18</v>
      </c>
      <c r="BD24" s="83" t="n">
        <v>16</v>
      </c>
      <c r="BE24" s="83" t="n">
        <v>18</v>
      </c>
      <c r="BF24" s="83" t="n">
        <v>24</v>
      </c>
      <c r="BG24" s="83" t="n">
        <v>24</v>
      </c>
      <c r="BH24" s="87" t="n">
        <f aca="false">BC$6+(BC24-BC$6)*sib_works</f>
        <v>18</v>
      </c>
      <c r="BI24" s="87" t="n">
        <f aca="false">BD$6+(BD24-BD$6)*sib_works</f>
        <v>16</v>
      </c>
      <c r="BJ24" s="87" t="n">
        <f aca="false">BE$6+(BE24-BE$6)*sib_works</f>
        <v>18</v>
      </c>
      <c r="BK24" s="87" t="n">
        <f aca="false">BF$6+(BF24-BF$6)*sib_works</f>
        <v>24</v>
      </c>
      <c r="BL24" s="87" t="n">
        <f aca="false">BG$6+(BG24-BG$6)*sib_works</f>
        <v>24</v>
      </c>
      <c r="BM24" s="83" t="n">
        <v>0</v>
      </c>
      <c r="BN24" s="87" t="n">
        <f aca="false">(BH24*G24-sib_pass)*(1-sib_civ)*(1-sib_fuel-BM24*sib_strike)-AT24</f>
        <v>6.79854611872146</v>
      </c>
      <c r="BO24" s="87" t="n">
        <f aca="false">(BI24*G24-sib_pass)*(1-sib_civ)*(1-sib_fuel-BM24*sib_strike)-AT24</f>
        <v>5.89694611872146</v>
      </c>
      <c r="BP24" s="87" t="n">
        <f aca="false">(BJ24*G24-sib_pass)*(1-sib_civ)*(1-sib_fuel-BM24*sib_strike)-AU24</f>
        <v>6.81596621004566</v>
      </c>
      <c r="BQ24" s="87" t="n">
        <f aca="false">(BK24*G24-sib_pass)*(1-sib_civ)*(1-sib_fuel-BM24*sib_strike)-AU24</f>
        <v>9.52076621004566</v>
      </c>
      <c r="BR24" s="87" t="n">
        <f aca="false">(BL24*G24-sib_pass)*(1-sib_civ)*(1-sib_fuel-BM24*sib_strike)-AU24</f>
        <v>9.52076621004566</v>
      </c>
      <c r="BS24" s="87" t="n">
        <f aca="false">AM24/(sib_net1*(1+sib_decup*BB24))</f>
        <v>0.288435933621677</v>
      </c>
      <c r="BT24" s="87" t="n">
        <f aca="false">AN24/(sib_net2*(1+sib_decup*BB24))</f>
        <v>0.291735478143381</v>
      </c>
      <c r="BU24" s="87" t="n">
        <f aca="false">AO24/(sib_net3a*(1+sib_decup*BB24))</f>
        <v>0.222185749133151</v>
      </c>
      <c r="BV24" s="87" t="n">
        <f aca="false">AP24/(sib_net3b*(1+sib_decup*BB24))</f>
        <v>0.391429747399919</v>
      </c>
      <c r="BW24" s="87" t="n">
        <f aca="false">AQ24/(sib_net4*(1+sib_decup*BB24))</f>
        <v>0.309881883358269</v>
      </c>
      <c r="BX24" s="84" t="n">
        <f aca="false">BS24/BN24</f>
        <v>0.0424261200240148</v>
      </c>
      <c r="BY24" s="84" t="n">
        <f aca="false">BT24/BO24</f>
        <v>0.0494722984185301</v>
      </c>
      <c r="BZ24" s="84" t="n">
        <f aca="false">BU24/BP24</f>
        <v>0.0325978360640468</v>
      </c>
      <c r="CA24" s="84" t="n">
        <f aca="false">BV24/BQ24</f>
        <v>0.0411132611351079</v>
      </c>
      <c r="CB24" s="84" t="n">
        <f aca="false">BW24/BR24</f>
        <v>0.0325479983986271</v>
      </c>
      <c r="CC24" s="84" t="n">
        <f aca="false">MAX(BX24:CB24)</f>
        <v>0.0494722984185301</v>
      </c>
      <c r="CD24" s="1" t="str">
        <f aca="false">CHOOSE(MATCH(CC24,BX24:CB24,0),"Vladivostok-Harbin","Harbin-Manzhouli","Manzhouli-Kitaisky (branch)","Kitaisky-Irkutsk","Irkutsk-Ob")</f>
        <v>Harbin-Manzhouli</v>
      </c>
      <c r="CE24" s="87" t="n">
        <f aca="false">MIN(BN24-BS24,BO24-BT24,BP24-BU24,BQ24-BV24,BR24-BW24)</f>
        <v>5.60521064057808</v>
      </c>
      <c r="CF24" s="88"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f>
        <v>55544.006798755</v>
      </c>
      <c r="CG24" s="81" t="n">
        <f aca="false">CF24/sib_kmloco*sib_helper</f>
        <v>433.937553115274</v>
      </c>
      <c r="CH24" s="84" t="n">
        <f aca="false">CG24/BA24</f>
        <v>0.221396710773099</v>
      </c>
      <c r="CI24" s="86" t="n">
        <v>0</v>
      </c>
      <c r="CJ24" s="86" t="n">
        <v>0</v>
      </c>
      <c r="CK24" s="86" t="n">
        <v>0</v>
      </c>
      <c r="CL24" s="88" t="n">
        <f aca="false">(sib_wag0+SUM(CI$6:CI24)+SUM(CJ$6:CJ24))*sib_wserv*(1-sib_civ)</f>
        <v>27370</v>
      </c>
      <c r="CM24" s="88"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f>
        <v>665.194832115677</v>
      </c>
      <c r="CN24" s="84" t="n">
        <f aca="false">CM24/CL24</f>
        <v>0.0243037936469009</v>
      </c>
      <c r="CO24" s="83" t="n">
        <v>0</v>
      </c>
      <c r="CP24" s="81" t="n">
        <f aca="false">MIN(CO24,AK24+AJ24)</f>
        <v>0</v>
      </c>
      <c r="CQ24" s="84" t="n">
        <f aca="false">(AK24+AJ24+Z24-CP24)*365/1000000+sib_civport</f>
        <v>0.89310355</v>
      </c>
      <c r="CR24" s="82" t="n">
        <v>3</v>
      </c>
      <c r="CS24" s="84" t="n">
        <f aca="false">CQ24/(CR24*IF(OR(RIGHT(A24,2)="Q1",C24=365),sib_portwin,1))</f>
        <v>0.35023668627451</v>
      </c>
      <c r="CT24" s="87" t="n">
        <f aca="false">(AK24+AJ24+Z24-CP24)*sib_pacship*365/(sib_dwt*0.9*sib_voy)</f>
        <v>1.16711002849003</v>
      </c>
      <c r="CU24" s="84" t="n">
        <f aca="false">CT24/sib_ships</f>
        <v>0.0291777507122507</v>
      </c>
      <c r="CV24" s="88" t="n">
        <f aca="false">CV23+(AB24+Z24)*C24+AA24</f>
        <v>97280.0000000001</v>
      </c>
      <c r="CW24" s="87" t="n">
        <f aca="false">IF(C24=365,sib_surge/sib_mtrain/sib_surge_d,0)</f>
        <v>1.85185185185185</v>
      </c>
      <c r="CX24" s="81" t="n">
        <f aca="false">(CC24&gt;sib_util_max)+(CH24&gt;1)+(CN24&gt;1)+(CS24&gt;sib_util_max)+(CU24&gt;1)+(CV24&lt;0)+(CW24&gt;0)*(CE24&lt;CW24)</f>
        <v>0</v>
      </c>
      <c r="CY24" s="1" t="str">
        <f aca="false">IF(CX24=0,"OK","Check")</f>
        <v>OK</v>
      </c>
      <c r="CZ24" s="83" t="n">
        <v>0</v>
      </c>
      <c r="DA24" s="82" t="n">
        <v>2</v>
      </c>
      <c r="DB24" s="82" t="n">
        <v>2</v>
      </c>
      <c r="DC24" s="84" t="n">
        <f aca="false">INDEX(Paths!$B$6:$B$92,MATCH(B24,Paths!$A$6:$A$92,0))*sib_cost</f>
        <v>1.62</v>
      </c>
      <c r="DD24" s="87" t="n">
        <f aca="false">L24*sib_c_pac/1000*C24/365*DC24</f>
        <v>12.636</v>
      </c>
      <c r="DE24" s="87" t="n">
        <f aca="false">K24*sib_c_cz/1000*C24/365*DC24</f>
        <v>0</v>
      </c>
      <c r="DF24" s="87" t="n">
        <f aca="false">J24*sib_c_sib/1000*C24/365*DC24</f>
        <v>12.96</v>
      </c>
      <c r="DG24" s="87" t="n">
        <f aca="false">((MAX(0,T24-CP24)+V24+AB24+Z24+AA24/C24)*sib_pst_w+Q24*sib_loc_kg*sib_pst_e)*C24*sib_c_store/1000000*DC24</f>
        <v>25.9003147725</v>
      </c>
      <c r="DH24" s="87" t="n">
        <f aca="false">((AW24*sib_c_loco+CJ24*sib_c_wag+MAX(0,AZ24-AZ23)*sib_loco0*sib_c_rep+CZ24*sib_c_arm)/1000000+DA24)*DC24</f>
        <v>3.61908</v>
      </c>
      <c r="DI24" s="87" t="n">
        <f aca="false">2*(sib_L1*(BS24+AT24)+sib_L2*(BT24+AT24)+sib_L3a*(BU24+AU24)+sib_L3b*(BV24+AU24)+sib_L4*(BW24+AU24))*C24*sib_c_tkm*sib_prail/1000000*DC24</f>
        <v>1.9673330373048</v>
      </c>
      <c r="DJ24" s="87" t="n">
        <f aca="false">CT24*sib_c_ship*C24/365*DC24</f>
        <v>0.850823210769231</v>
      </c>
      <c r="DK24" s="87" t="n">
        <f aca="false">DB24*DC24</f>
        <v>3.24</v>
      </c>
      <c r="DL24" s="87" t="n">
        <f aca="false">AA24*sib_c_kara/1000000*DC24</f>
        <v>0.729</v>
      </c>
      <c r="DM24" s="87" t="n">
        <f aca="false">(AC24*sib_c_ref/1000*C24/365+AH24*C24*sib_c_grain/1000000)*DC24</f>
        <v>1.33696945575</v>
      </c>
      <c r="DN24" s="87" t="n">
        <f aca="false">Z24*C24*sib_c_amur/1000000*DC24</f>
        <v>0.5832</v>
      </c>
      <c r="DO24" s="87" t="n">
        <f aca="false">sib_fed*sib_c_fed/1000000*C24/365*DC24</f>
        <v>2.43</v>
      </c>
      <c r="DP24" s="87" t="n">
        <f aca="false">SUM(DD24:DO24)</f>
        <v>66.252720476324</v>
      </c>
    </row>
    <row r="25" customFormat="false" ht="13.8" hidden="false" customHeight="false" outlineLevel="0" collapsed="false">
      <c r="A25" s="53" t="s">
        <v>1802</v>
      </c>
      <c r="B25" s="81" t="n">
        <v>1924</v>
      </c>
      <c r="C25" s="81" t="n">
        <v>365</v>
      </c>
      <c r="D25" s="1" t="s">
        <v>1801</v>
      </c>
      <c r="E25" s="82" t="n">
        <v>0.3</v>
      </c>
      <c r="F25" s="83" t="n">
        <v>1</v>
      </c>
      <c r="G25" s="84" t="n">
        <f aca="false">1-E25*IF(F25=1,sib_winter,1)</f>
        <v>0.7</v>
      </c>
      <c r="H25" s="83" t="n">
        <v>40</v>
      </c>
      <c r="I25" s="83" t="n">
        <v>15</v>
      </c>
      <c r="J25" s="83" t="n">
        <v>80</v>
      </c>
      <c r="K25" s="83" t="n">
        <v>0</v>
      </c>
      <c r="L25" s="83" t="n">
        <v>6</v>
      </c>
      <c r="M25" s="81" t="n">
        <f aca="false">SUM(H25:L25)</f>
        <v>141</v>
      </c>
      <c r="N25" s="82" t="n">
        <v>0.35</v>
      </c>
      <c r="O25" s="82" t="n">
        <v>0.25</v>
      </c>
      <c r="P25" s="81" t="n">
        <f aca="false">H25*N25+I25*O25+J25*sib_sw+K25+L25*sib_pw</f>
        <v>98.85</v>
      </c>
      <c r="Q25" s="81" t="n">
        <f aca="false">M25-P25</f>
        <v>42.15</v>
      </c>
      <c r="R25" s="82" t="n">
        <v>0.4</v>
      </c>
      <c r="S25" s="85" t="n">
        <v>2</v>
      </c>
      <c r="T25" s="81" t="n">
        <f aca="false">P25*(R25*S25*sib_ammo+(1-R25)*sib_loc_kg)</f>
        <v>168.045</v>
      </c>
      <c r="U25" s="81" t="n">
        <f aca="false">H25*N25*sib_jp_kg</f>
        <v>12.6</v>
      </c>
      <c r="V25" s="83" t="n">
        <v>30</v>
      </c>
      <c r="W25" s="83" t="n">
        <v>40</v>
      </c>
      <c r="X25" s="83" t="n">
        <v>0</v>
      </c>
      <c r="Y25" s="83" t="n">
        <v>82.1917808219178</v>
      </c>
      <c r="Z25" s="81" t="n">
        <f aca="false">Y25*sib_amur</f>
        <v>82.1917808219178</v>
      </c>
      <c r="AA25" s="86" t="n">
        <v>30000</v>
      </c>
      <c r="AB25" s="81" t="n">
        <f aca="false">-(AA25+Z25*C25)/C25</f>
        <v>-164.383561643836</v>
      </c>
      <c r="AC25" s="83" t="n">
        <v>20</v>
      </c>
      <c r="AD25" s="82" t="n">
        <v>1.1</v>
      </c>
      <c r="AE25" s="81" t="n">
        <f aca="false">(J25*sib_sw+K25+L25*sib_pw)*sib_bread+P25*sib_horses*sib_oats+AC25*sib_relief_kg</f>
        <v>194.19625</v>
      </c>
      <c r="AF25" s="81" t="n">
        <f aca="false">sib_surplus*AD25*sib_harvest*1000000/365*sib_callmax</f>
        <v>904.109589041096</v>
      </c>
      <c r="AG25" s="81" t="n">
        <f aca="false">MAX(0,AE25-AF25)</f>
        <v>0</v>
      </c>
      <c r="AH25" s="81" t="n">
        <f aca="false">AE25-AG25</f>
        <v>194.19625</v>
      </c>
      <c r="AI25" s="81" t="n">
        <f aca="false">I25*O25*sib_cn_kg</f>
        <v>3</v>
      </c>
      <c r="AJ25" s="81" t="n">
        <f aca="false">Q25*sib_loc_kg+H25*(1-N25)*sib_jp_kg</f>
        <v>86.625</v>
      </c>
      <c r="AK25" s="81" t="n">
        <f aca="false">T25+U25+V25+W25+X25+AB25</f>
        <v>86.2614383561644</v>
      </c>
      <c r="AL25" s="81" t="n">
        <f aca="false">AI25+AG25</f>
        <v>3</v>
      </c>
      <c r="AM25" s="81" t="n">
        <f aca="false">AK25+AJ25</f>
        <v>172.886438356164</v>
      </c>
      <c r="AN25" s="81" t="n">
        <f aca="false">AK25+AL25+sib_e2*AJ25</f>
        <v>141.236438356164</v>
      </c>
      <c r="AO25" s="81" t="n">
        <f aca="false">AK25+AL25+sib_e3*AJ25</f>
        <v>115.248938356164</v>
      </c>
      <c r="AP25" s="81" t="n">
        <f aca="false">AK25+AL25+Z25</f>
        <v>171.453219178082</v>
      </c>
      <c r="AQ25" s="81" t="n">
        <f aca="false">AK25+AL25+Z25</f>
        <v>171.453219178082</v>
      </c>
      <c r="AR25" s="81" t="n">
        <f aca="false">H25+I25+L25</f>
        <v>61</v>
      </c>
      <c r="AS25" s="81" t="n">
        <f aca="false">H25*N25+I25*O25+L25*sib_pw</f>
        <v>22.85</v>
      </c>
      <c r="AT25" s="87" t="n">
        <f aca="false">(MAX(0,AR25-AR24)+AR25*sib_rot*C25/365)*1000/sib_mtrain/C25</f>
        <v>0.0278538812785388</v>
      </c>
      <c r="AU25" s="87" t="n">
        <f aca="false">(MAX(0,AS25-AS24)+AS25*sib_rot*C25/365)*1000/sib_mtrain/C25</f>
        <v>0.0104337899543379</v>
      </c>
      <c r="AV25" s="83" t="n">
        <v>0</v>
      </c>
      <c r="AW25" s="83" t="n">
        <v>0</v>
      </c>
      <c r="AX25" s="81" t="n">
        <f aca="false">(SUM(AV$6:AV25)+SUM(AW$6:AW25))*0.9</f>
        <v>855</v>
      </c>
      <c r="AY25" s="82" t="n">
        <v>0.85</v>
      </c>
      <c r="AZ25" s="84" t="n">
        <f aca="false">1-(1-AY25)*sib_sick</f>
        <v>0.85</v>
      </c>
      <c r="BA25" s="81" t="n">
        <f aca="false">sib_loco0*AZ25+AX25</f>
        <v>1960</v>
      </c>
      <c r="BB25" s="84" t="n">
        <f aca="false">AX25/BA25</f>
        <v>0.436224489795918</v>
      </c>
      <c r="BC25" s="83" t="n">
        <v>18</v>
      </c>
      <c r="BD25" s="83" t="n">
        <v>16</v>
      </c>
      <c r="BE25" s="83" t="n">
        <v>18</v>
      </c>
      <c r="BF25" s="83" t="n">
        <v>24</v>
      </c>
      <c r="BG25" s="83" t="n">
        <v>24</v>
      </c>
      <c r="BH25" s="87" t="n">
        <f aca="false">BC$6+(BC25-BC$6)*sib_works</f>
        <v>18</v>
      </c>
      <c r="BI25" s="87" t="n">
        <f aca="false">BD$6+(BD25-BD$6)*sib_works</f>
        <v>16</v>
      </c>
      <c r="BJ25" s="87" t="n">
        <f aca="false">BE$6+(BE25-BE$6)*sib_works</f>
        <v>18</v>
      </c>
      <c r="BK25" s="87" t="n">
        <f aca="false">BF$6+(BF25-BF$6)*sib_works</f>
        <v>24</v>
      </c>
      <c r="BL25" s="87" t="n">
        <f aca="false">BG$6+(BG25-BG$6)*sib_works</f>
        <v>24</v>
      </c>
      <c r="BM25" s="83" t="n">
        <v>0</v>
      </c>
      <c r="BN25" s="87" t="n">
        <f aca="false">(BH25*G25-sib_pass)*(1-sib_civ)*(1-sib_fuel-BM25*sib_strike)-AT25</f>
        <v>6.79854611872146</v>
      </c>
      <c r="BO25" s="87" t="n">
        <f aca="false">(BI25*G25-sib_pass)*(1-sib_civ)*(1-sib_fuel-BM25*sib_strike)-AT25</f>
        <v>5.89694611872146</v>
      </c>
      <c r="BP25" s="87" t="n">
        <f aca="false">(BJ25*G25-sib_pass)*(1-sib_civ)*(1-sib_fuel-BM25*sib_strike)-AU25</f>
        <v>6.81596621004566</v>
      </c>
      <c r="BQ25" s="87" t="n">
        <f aca="false">(BK25*G25-sib_pass)*(1-sib_civ)*(1-sib_fuel-BM25*sib_strike)-AU25</f>
        <v>9.52076621004566</v>
      </c>
      <c r="BR25" s="87" t="n">
        <f aca="false">(BL25*G25-sib_pass)*(1-sib_civ)*(1-sib_fuel-BM25*sib_strike)-AU25</f>
        <v>9.52076621004566</v>
      </c>
      <c r="BS25" s="87" t="n">
        <f aca="false">AM25/(sib_net1*(1+sib_decup*BB25))</f>
        <v>0.288435933621677</v>
      </c>
      <c r="BT25" s="87" t="n">
        <f aca="false">AN25/(sib_net2*(1+sib_decup*BB25))</f>
        <v>0.291735478143381</v>
      </c>
      <c r="BU25" s="87" t="n">
        <f aca="false">AO25/(sib_net3a*(1+sib_decup*BB25))</f>
        <v>0.222185749133151</v>
      </c>
      <c r="BV25" s="87" t="n">
        <f aca="false">AP25/(sib_net3b*(1+sib_decup*BB25))</f>
        <v>0.391429747399919</v>
      </c>
      <c r="BW25" s="87" t="n">
        <f aca="false">AQ25/(sib_net4*(1+sib_decup*BB25))</f>
        <v>0.309881883358269</v>
      </c>
      <c r="BX25" s="84" t="n">
        <f aca="false">BS25/BN25</f>
        <v>0.0424261200240148</v>
      </c>
      <c r="BY25" s="84" t="n">
        <f aca="false">BT25/BO25</f>
        <v>0.0494722984185301</v>
      </c>
      <c r="BZ25" s="84" t="n">
        <f aca="false">BU25/BP25</f>
        <v>0.0325978360640468</v>
      </c>
      <c r="CA25" s="84" t="n">
        <f aca="false">BV25/BQ25</f>
        <v>0.0411132611351079</v>
      </c>
      <c r="CB25" s="84" t="n">
        <f aca="false">BW25/BR25</f>
        <v>0.0325479983986271</v>
      </c>
      <c r="CC25" s="84" t="n">
        <f aca="false">MAX(BX25:CB25)</f>
        <v>0.0494722984185301</v>
      </c>
      <c r="CD25" s="1" t="str">
        <f aca="false">CHOOSE(MATCH(CC25,BX25:CB25,0),"Vladivostok-Harbin","Harbin-Manzhouli","Manzhouli-Kitaisky (branch)","Kitaisky-Irkutsk","Irkutsk-Ob")</f>
        <v>Harbin-Manzhouli</v>
      </c>
      <c r="CE25" s="87" t="n">
        <f aca="false">MIN(BN25-BS25,BO25-BT25,BP25-BU25,BQ25-BV25,BR25-BW25)</f>
        <v>5.60521064057808</v>
      </c>
      <c r="CF25" s="88"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f>
        <v>55544.006798755</v>
      </c>
      <c r="CG25" s="81" t="n">
        <f aca="false">CF25/sib_kmloco*sib_helper</f>
        <v>433.937553115274</v>
      </c>
      <c r="CH25" s="84" t="n">
        <f aca="false">CG25/BA25</f>
        <v>0.221396710773099</v>
      </c>
      <c r="CI25" s="86" t="n">
        <v>0</v>
      </c>
      <c r="CJ25" s="86" t="n">
        <v>0</v>
      </c>
      <c r="CK25" s="86" t="n">
        <v>0</v>
      </c>
      <c r="CL25" s="88" t="n">
        <f aca="false">(sib_wag0+SUM(CI$6:CI25)+SUM(CJ$6:CJ25))*sib_wserv*(1-sib_civ)</f>
        <v>27370</v>
      </c>
      <c r="CM25" s="88"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f>
        <v>665.194832115677</v>
      </c>
      <c r="CN25" s="84" t="n">
        <f aca="false">CM25/CL25</f>
        <v>0.0243037936469009</v>
      </c>
      <c r="CO25" s="83" t="n">
        <v>0</v>
      </c>
      <c r="CP25" s="81" t="n">
        <f aca="false">MIN(CO25,AK25+AJ25)</f>
        <v>0</v>
      </c>
      <c r="CQ25" s="84" t="n">
        <f aca="false">(AK25+AJ25+Z25-CP25)*365/1000000+sib_civport</f>
        <v>0.89310355</v>
      </c>
      <c r="CR25" s="82" t="n">
        <v>3</v>
      </c>
      <c r="CS25" s="84" t="n">
        <f aca="false">CQ25/(CR25*IF(OR(RIGHT(A25,2)="Q1",C25=365),sib_portwin,1))</f>
        <v>0.35023668627451</v>
      </c>
      <c r="CT25" s="87" t="n">
        <f aca="false">(AK25+AJ25+Z25-CP25)*sib_pacship*365/(sib_dwt*0.9*sib_voy)</f>
        <v>1.16711002849003</v>
      </c>
      <c r="CU25" s="84" t="n">
        <f aca="false">CT25/sib_ships</f>
        <v>0.0291777507122507</v>
      </c>
      <c r="CV25" s="88" t="n">
        <f aca="false">CV24+(AB25+Z25)*C25+AA25</f>
        <v>97280.0000000001</v>
      </c>
      <c r="CW25" s="87" t="n">
        <f aca="false">IF(C25=365,sib_surge/sib_mtrain/sib_surge_d,0)</f>
        <v>1.85185185185185</v>
      </c>
      <c r="CX25" s="81" t="n">
        <f aca="false">(CC25&gt;sib_util_max)+(CH25&gt;1)+(CN25&gt;1)+(CS25&gt;sib_util_max)+(CU25&gt;1)+(CV25&lt;0)+(CW25&gt;0)*(CE25&lt;CW25)</f>
        <v>0</v>
      </c>
      <c r="CY25" s="1" t="str">
        <f aca="false">IF(CX25=0,"OK","Check")</f>
        <v>OK</v>
      </c>
      <c r="CZ25" s="83" t="n">
        <v>0</v>
      </c>
      <c r="DA25" s="82" t="n">
        <v>2</v>
      </c>
      <c r="DB25" s="82" t="n">
        <v>2</v>
      </c>
      <c r="DC25" s="84" t="n">
        <f aca="false">INDEX(Paths!$B$6:$B$92,MATCH(B25,Paths!$A$6:$A$92,0))*sib_cost</f>
        <v>1.62</v>
      </c>
      <c r="DD25" s="87" t="n">
        <f aca="false">L25*sib_c_pac/1000*C25/365*DC25</f>
        <v>12.636</v>
      </c>
      <c r="DE25" s="87" t="n">
        <f aca="false">K25*sib_c_cz/1000*C25/365*DC25</f>
        <v>0</v>
      </c>
      <c r="DF25" s="87" t="n">
        <f aca="false">J25*sib_c_sib/1000*C25/365*DC25</f>
        <v>12.96</v>
      </c>
      <c r="DG25" s="87" t="n">
        <f aca="false">((MAX(0,T25-CP25)+V25+AB25+Z25+AA25/C25)*sib_pst_w+Q25*sib_loc_kg*sib_pst_e)*C25*sib_c_store/1000000*DC25</f>
        <v>25.9003147725</v>
      </c>
      <c r="DH25" s="87" t="n">
        <f aca="false">((AW25*sib_c_loco+CJ25*sib_c_wag+MAX(0,AZ25-AZ24)*sib_loco0*sib_c_rep+CZ25*sib_c_arm)/1000000+DA25)*DC25</f>
        <v>3.24</v>
      </c>
      <c r="DI25" s="87" t="n">
        <f aca="false">2*(sib_L1*(BS25+AT25)+sib_L2*(BT25+AT25)+sib_L3a*(BU25+AU25)+sib_L3b*(BV25+AU25)+sib_L4*(BW25+AU25))*C25*sib_c_tkm*sib_prail/1000000*DC25</f>
        <v>1.9673330373048</v>
      </c>
      <c r="DJ25" s="87" t="n">
        <f aca="false">CT25*sib_c_ship*C25/365*DC25</f>
        <v>0.850823210769231</v>
      </c>
      <c r="DK25" s="87" t="n">
        <f aca="false">DB25*DC25</f>
        <v>3.24</v>
      </c>
      <c r="DL25" s="87" t="n">
        <f aca="false">AA25*sib_c_kara/1000000*DC25</f>
        <v>0.729</v>
      </c>
      <c r="DM25" s="87" t="n">
        <f aca="false">(AC25*sib_c_ref/1000*C25/365+AH25*C25*sib_c_grain/1000000)*DC25</f>
        <v>1.33696945575</v>
      </c>
      <c r="DN25" s="87" t="n">
        <f aca="false">Z25*C25*sib_c_amur/1000000*DC25</f>
        <v>0.5832</v>
      </c>
      <c r="DO25" s="87" t="n">
        <f aca="false">sib_fed*sib_c_fed/1000000*C25/365*DC25</f>
        <v>2.43</v>
      </c>
      <c r="DP25" s="87" t="n">
        <f aca="false">SUM(DD25:DO25)</f>
        <v>65.873640476324</v>
      </c>
    </row>
    <row r="26" customFormat="false" ht="13.8" hidden="false" customHeight="false" outlineLevel="0" collapsed="false">
      <c r="A26" s="53" t="s">
        <v>1803</v>
      </c>
      <c r="B26" s="81" t="n">
        <v>1925</v>
      </c>
      <c r="C26" s="81" t="n">
        <v>365</v>
      </c>
      <c r="D26" s="1" t="s">
        <v>1801</v>
      </c>
      <c r="E26" s="82" t="n">
        <v>0.3</v>
      </c>
      <c r="F26" s="83" t="n">
        <v>1</v>
      </c>
      <c r="G26" s="84" t="n">
        <f aca="false">1-E26*IF(F26=1,sib_winter,1)</f>
        <v>0.7</v>
      </c>
      <c r="H26" s="83" t="n">
        <v>40</v>
      </c>
      <c r="I26" s="83" t="n">
        <v>15</v>
      </c>
      <c r="J26" s="83" t="n">
        <v>80</v>
      </c>
      <c r="K26" s="83" t="n">
        <v>0</v>
      </c>
      <c r="L26" s="83" t="n">
        <v>6</v>
      </c>
      <c r="M26" s="81" t="n">
        <f aca="false">SUM(H26:L26)</f>
        <v>141</v>
      </c>
      <c r="N26" s="82" t="n">
        <v>0.35</v>
      </c>
      <c r="O26" s="82" t="n">
        <v>0.25</v>
      </c>
      <c r="P26" s="81" t="n">
        <f aca="false">H26*N26+I26*O26+J26*sib_sw+K26+L26*sib_pw</f>
        <v>98.85</v>
      </c>
      <c r="Q26" s="81" t="n">
        <f aca="false">M26-P26</f>
        <v>42.15</v>
      </c>
      <c r="R26" s="82" t="n">
        <v>0.4</v>
      </c>
      <c r="S26" s="85" t="n">
        <v>2</v>
      </c>
      <c r="T26" s="81" t="n">
        <f aca="false">P26*(R26*S26*sib_ammo+(1-R26)*sib_loc_kg)</f>
        <v>168.045</v>
      </c>
      <c r="U26" s="81" t="n">
        <f aca="false">H26*N26*sib_jp_kg</f>
        <v>12.6</v>
      </c>
      <c r="V26" s="83" t="n">
        <v>30</v>
      </c>
      <c r="W26" s="83" t="n">
        <v>40</v>
      </c>
      <c r="X26" s="83" t="n">
        <v>0</v>
      </c>
      <c r="Y26" s="83" t="n">
        <v>82.1917808219178</v>
      </c>
      <c r="Z26" s="81" t="n">
        <f aca="false">Y26*sib_amur</f>
        <v>82.1917808219178</v>
      </c>
      <c r="AA26" s="86" t="n">
        <v>30000</v>
      </c>
      <c r="AB26" s="81" t="n">
        <f aca="false">-(AA26+Z26*C26)/C26</f>
        <v>-164.383561643836</v>
      </c>
      <c r="AC26" s="83" t="n">
        <v>20</v>
      </c>
      <c r="AD26" s="82" t="n">
        <v>1.1</v>
      </c>
      <c r="AE26" s="81" t="n">
        <f aca="false">(J26*sib_sw+K26+L26*sib_pw)*sib_bread+P26*sib_horses*sib_oats+AC26*sib_relief_kg</f>
        <v>194.19625</v>
      </c>
      <c r="AF26" s="81" t="n">
        <f aca="false">sib_surplus*AD26*sib_harvest*1000000/365*sib_callmax</f>
        <v>904.109589041096</v>
      </c>
      <c r="AG26" s="81" t="n">
        <f aca="false">MAX(0,AE26-AF26)</f>
        <v>0</v>
      </c>
      <c r="AH26" s="81" t="n">
        <f aca="false">AE26-AG26</f>
        <v>194.19625</v>
      </c>
      <c r="AI26" s="81" t="n">
        <f aca="false">I26*O26*sib_cn_kg</f>
        <v>3</v>
      </c>
      <c r="AJ26" s="81" t="n">
        <f aca="false">Q26*sib_loc_kg+H26*(1-N26)*sib_jp_kg</f>
        <v>86.625</v>
      </c>
      <c r="AK26" s="81" t="n">
        <f aca="false">T26+U26+V26+W26+X26+AB26</f>
        <v>86.2614383561644</v>
      </c>
      <c r="AL26" s="81" t="n">
        <f aca="false">AI26+AG26</f>
        <v>3</v>
      </c>
      <c r="AM26" s="81" t="n">
        <f aca="false">AK26+AJ26</f>
        <v>172.886438356164</v>
      </c>
      <c r="AN26" s="81" t="n">
        <f aca="false">AK26+AL26+sib_e2*AJ26</f>
        <v>141.236438356164</v>
      </c>
      <c r="AO26" s="81" t="n">
        <f aca="false">AK26+AL26+sib_e3*AJ26</f>
        <v>115.248938356164</v>
      </c>
      <c r="AP26" s="81" t="n">
        <f aca="false">AK26+AL26+Z26</f>
        <v>171.453219178082</v>
      </c>
      <c r="AQ26" s="81" t="n">
        <f aca="false">AK26+AL26+Z26</f>
        <v>171.453219178082</v>
      </c>
      <c r="AR26" s="81" t="n">
        <f aca="false">H26+I26+L26</f>
        <v>61</v>
      </c>
      <c r="AS26" s="81" t="n">
        <f aca="false">H26*N26+I26*O26+L26*sib_pw</f>
        <v>22.85</v>
      </c>
      <c r="AT26" s="87" t="n">
        <f aca="false">(MAX(0,AR26-AR25)+AR26*sib_rot*C26/365)*1000/sib_mtrain/C26</f>
        <v>0.0278538812785388</v>
      </c>
      <c r="AU26" s="87" t="n">
        <f aca="false">(MAX(0,AS26-AS25)+AS26*sib_rot*C26/365)*1000/sib_mtrain/C26</f>
        <v>0.0104337899543379</v>
      </c>
      <c r="AV26" s="83" t="n">
        <v>0</v>
      </c>
      <c r="AW26" s="83" t="n">
        <v>0</v>
      </c>
      <c r="AX26" s="81" t="n">
        <f aca="false">(SUM(AV$6:AV26)+SUM(AW$6:AW26))*0.9</f>
        <v>855</v>
      </c>
      <c r="AY26" s="82" t="n">
        <v>0.85</v>
      </c>
      <c r="AZ26" s="84" t="n">
        <f aca="false">1-(1-AY26)*sib_sick</f>
        <v>0.85</v>
      </c>
      <c r="BA26" s="81" t="n">
        <f aca="false">sib_loco0*AZ26+AX26</f>
        <v>1960</v>
      </c>
      <c r="BB26" s="84" t="n">
        <f aca="false">AX26/BA26</f>
        <v>0.436224489795918</v>
      </c>
      <c r="BC26" s="83" t="n">
        <v>18</v>
      </c>
      <c r="BD26" s="83" t="n">
        <v>16</v>
      </c>
      <c r="BE26" s="83" t="n">
        <v>18</v>
      </c>
      <c r="BF26" s="83" t="n">
        <v>24</v>
      </c>
      <c r="BG26" s="83" t="n">
        <v>24</v>
      </c>
      <c r="BH26" s="87" t="n">
        <f aca="false">BC$6+(BC26-BC$6)*sib_works</f>
        <v>18</v>
      </c>
      <c r="BI26" s="87" t="n">
        <f aca="false">BD$6+(BD26-BD$6)*sib_works</f>
        <v>16</v>
      </c>
      <c r="BJ26" s="87" t="n">
        <f aca="false">BE$6+(BE26-BE$6)*sib_works</f>
        <v>18</v>
      </c>
      <c r="BK26" s="87" t="n">
        <f aca="false">BF$6+(BF26-BF$6)*sib_works</f>
        <v>24</v>
      </c>
      <c r="BL26" s="87" t="n">
        <f aca="false">BG$6+(BG26-BG$6)*sib_works</f>
        <v>24</v>
      </c>
      <c r="BM26" s="83" t="n">
        <v>0</v>
      </c>
      <c r="BN26" s="87" t="n">
        <f aca="false">(BH26*G26-sib_pass)*(1-sib_civ)*(1-sib_fuel-BM26*sib_strike)-AT26</f>
        <v>6.79854611872146</v>
      </c>
      <c r="BO26" s="87" t="n">
        <f aca="false">(BI26*G26-sib_pass)*(1-sib_civ)*(1-sib_fuel-BM26*sib_strike)-AT26</f>
        <v>5.89694611872146</v>
      </c>
      <c r="BP26" s="87" t="n">
        <f aca="false">(BJ26*G26-sib_pass)*(1-sib_civ)*(1-sib_fuel-BM26*sib_strike)-AU26</f>
        <v>6.81596621004566</v>
      </c>
      <c r="BQ26" s="87" t="n">
        <f aca="false">(BK26*G26-sib_pass)*(1-sib_civ)*(1-sib_fuel-BM26*sib_strike)-AU26</f>
        <v>9.52076621004566</v>
      </c>
      <c r="BR26" s="87" t="n">
        <f aca="false">(BL26*G26-sib_pass)*(1-sib_civ)*(1-sib_fuel-BM26*sib_strike)-AU26</f>
        <v>9.52076621004566</v>
      </c>
      <c r="BS26" s="87" t="n">
        <f aca="false">AM26/(sib_net1*(1+sib_decup*BB26))</f>
        <v>0.288435933621677</v>
      </c>
      <c r="BT26" s="87" t="n">
        <f aca="false">AN26/(sib_net2*(1+sib_decup*BB26))</f>
        <v>0.291735478143381</v>
      </c>
      <c r="BU26" s="87" t="n">
        <f aca="false">AO26/(sib_net3a*(1+sib_decup*BB26))</f>
        <v>0.222185749133151</v>
      </c>
      <c r="BV26" s="87" t="n">
        <f aca="false">AP26/(sib_net3b*(1+sib_decup*BB26))</f>
        <v>0.391429747399919</v>
      </c>
      <c r="BW26" s="87" t="n">
        <f aca="false">AQ26/(sib_net4*(1+sib_decup*BB26))</f>
        <v>0.309881883358269</v>
      </c>
      <c r="BX26" s="84" t="n">
        <f aca="false">BS26/BN26</f>
        <v>0.0424261200240148</v>
      </c>
      <c r="BY26" s="84" t="n">
        <f aca="false">BT26/BO26</f>
        <v>0.0494722984185301</v>
      </c>
      <c r="BZ26" s="84" t="n">
        <f aca="false">BU26/BP26</f>
        <v>0.0325978360640468</v>
      </c>
      <c r="CA26" s="84" t="n">
        <f aca="false">BV26/BQ26</f>
        <v>0.0411132611351079</v>
      </c>
      <c r="CB26" s="84" t="n">
        <f aca="false">BW26/BR26</f>
        <v>0.0325479983986271</v>
      </c>
      <c r="CC26" s="84" t="n">
        <f aca="false">MAX(BX26:CB26)</f>
        <v>0.0494722984185301</v>
      </c>
      <c r="CD26" s="1" t="str">
        <f aca="false">CHOOSE(MATCH(CC26,BX26:CB26,0),"Vladivostok-Harbin","Harbin-Manzhouli","Manzhouli-Kitaisky (branch)","Kitaisky-Irkutsk","Irkutsk-Ob")</f>
        <v>Harbin-Manzhouli</v>
      </c>
      <c r="CE26" s="87" t="n">
        <f aca="false">MIN(BN26-BS26,BO26-BT26,BP26-BU26,BQ26-BV26,BR26-BW26)</f>
        <v>5.60521064057808</v>
      </c>
      <c r="CF26" s="88"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f>
        <v>55544.006798755</v>
      </c>
      <c r="CG26" s="81" t="n">
        <f aca="false">CF26/sib_kmloco*sib_helper</f>
        <v>433.937553115274</v>
      </c>
      <c r="CH26" s="84" t="n">
        <f aca="false">CG26/BA26</f>
        <v>0.221396710773099</v>
      </c>
      <c r="CI26" s="86" t="n">
        <v>0</v>
      </c>
      <c r="CJ26" s="86" t="n">
        <v>0</v>
      </c>
      <c r="CK26" s="86" t="n">
        <v>0</v>
      </c>
      <c r="CL26" s="88" t="n">
        <f aca="false">(sib_wag0+SUM(CI$6:CI26)+SUM(CJ$6:CJ26))*sib_wserv*(1-sib_civ)</f>
        <v>27370</v>
      </c>
      <c r="CM26" s="88"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f>
        <v>665.194832115677</v>
      </c>
      <c r="CN26" s="84" t="n">
        <f aca="false">CM26/CL26</f>
        <v>0.0243037936469009</v>
      </c>
      <c r="CO26" s="83" t="n">
        <v>0</v>
      </c>
      <c r="CP26" s="81" t="n">
        <f aca="false">MIN(CO26,AK26+AJ26)</f>
        <v>0</v>
      </c>
      <c r="CQ26" s="84" t="n">
        <f aca="false">(AK26+AJ26+Z26-CP26)*365/1000000+sib_civport</f>
        <v>0.89310355</v>
      </c>
      <c r="CR26" s="82" t="n">
        <v>3</v>
      </c>
      <c r="CS26" s="84" t="n">
        <f aca="false">CQ26/(CR26*IF(OR(RIGHT(A26,2)="Q1",C26=365),sib_portwin,1))</f>
        <v>0.35023668627451</v>
      </c>
      <c r="CT26" s="87" t="n">
        <f aca="false">(AK26+AJ26+Z26-CP26)*sib_pacship*365/(sib_dwt*0.9*sib_voy)</f>
        <v>1.16711002849003</v>
      </c>
      <c r="CU26" s="84" t="n">
        <f aca="false">CT26/sib_ships</f>
        <v>0.0291777507122507</v>
      </c>
      <c r="CV26" s="88" t="n">
        <f aca="false">CV25+(AB26+Z26)*C26+AA26</f>
        <v>97280.0000000001</v>
      </c>
      <c r="CW26" s="87" t="n">
        <f aca="false">IF(C26=365,sib_surge/sib_mtrain/sib_surge_d,0)</f>
        <v>1.85185185185185</v>
      </c>
      <c r="CX26" s="81" t="n">
        <f aca="false">(CC26&gt;sib_util_max)+(CH26&gt;1)+(CN26&gt;1)+(CS26&gt;sib_util_max)+(CU26&gt;1)+(CV26&lt;0)+(CW26&gt;0)*(CE26&lt;CW26)</f>
        <v>0</v>
      </c>
      <c r="CY26" s="1" t="str">
        <f aca="false">IF(CX26=0,"OK","Check")</f>
        <v>OK</v>
      </c>
      <c r="CZ26" s="83" t="n">
        <v>0</v>
      </c>
      <c r="DA26" s="82" t="n">
        <v>2</v>
      </c>
      <c r="DB26" s="82" t="n">
        <v>2</v>
      </c>
      <c r="DC26" s="84" t="n">
        <f aca="false">INDEX(Paths!$B$6:$B$92,MATCH(B26,Paths!$A$6:$A$92,0))*sib_cost</f>
        <v>1.65</v>
      </c>
      <c r="DD26" s="87" t="n">
        <f aca="false">L26*sib_c_pac/1000*C26/365*DC26</f>
        <v>12.87</v>
      </c>
      <c r="DE26" s="87" t="n">
        <f aca="false">K26*sib_c_cz/1000*C26/365*DC26</f>
        <v>0</v>
      </c>
      <c r="DF26" s="87" t="n">
        <f aca="false">J26*sib_c_sib/1000*C26/365*DC26</f>
        <v>13.2</v>
      </c>
      <c r="DG26" s="87" t="n">
        <f aca="false">((MAX(0,T26-CP26)+V26+AB26+Z26+AA26/C26)*sib_pst_w+Q26*sib_loc_kg*sib_pst_e)*C26*sib_c_store/1000000*DC26</f>
        <v>26.37995023125</v>
      </c>
      <c r="DH26" s="87" t="n">
        <f aca="false">((AW26*sib_c_loco+CJ26*sib_c_wag+MAX(0,AZ26-AZ25)*sib_loco0*sib_c_rep+CZ26*sib_c_arm)/1000000+DA26)*DC26</f>
        <v>3.3</v>
      </c>
      <c r="DI26" s="87" t="n">
        <f aca="false">2*(sib_L1*(BS26+AT26)+sib_L2*(BT26+AT26)+sib_L3a*(BU26+AU26)+sib_L3b*(BV26+AU26)+sib_L4*(BW26+AU26))*C26*sib_c_tkm*sib_prail/1000000*DC26</f>
        <v>2.00376513058822</v>
      </c>
      <c r="DJ26" s="87" t="n">
        <f aca="false">CT26*sib_c_ship*C26/365*DC26</f>
        <v>0.866579196153846</v>
      </c>
      <c r="DK26" s="87" t="n">
        <f aca="false">DB26*DC26</f>
        <v>3.3</v>
      </c>
      <c r="DL26" s="87" t="n">
        <f aca="false">AA26*sib_c_kara/1000000*DC26</f>
        <v>0.7425</v>
      </c>
      <c r="DM26" s="87" t="n">
        <f aca="false">(AC26*sib_c_ref/1000*C26/365+AH26*C26*sib_c_grain/1000000)*DC26</f>
        <v>1.361728149375</v>
      </c>
      <c r="DN26" s="87" t="n">
        <f aca="false">Z26*C26*sib_c_amur/1000000*DC26</f>
        <v>0.594</v>
      </c>
      <c r="DO26" s="87" t="n">
        <f aca="false">sib_fed*sib_c_fed/1000000*C26/365*DC26</f>
        <v>2.475</v>
      </c>
      <c r="DP26" s="87" t="n">
        <f aca="false">SUM(DD26:DO26)</f>
        <v>67.0935227073671</v>
      </c>
    </row>
    <row r="27" customFormat="false" ht="13.8" hidden="false" customHeight="false" outlineLevel="0" collapsed="false">
      <c r="A27" s="53" t="s">
        <v>1804</v>
      </c>
      <c r="B27" s="81" t="n">
        <v>1926</v>
      </c>
      <c r="C27" s="81" t="n">
        <v>365</v>
      </c>
      <c r="D27" s="1" t="s">
        <v>1801</v>
      </c>
      <c r="E27" s="82" t="n">
        <v>0.3</v>
      </c>
      <c r="F27" s="83" t="n">
        <v>1</v>
      </c>
      <c r="G27" s="84" t="n">
        <f aca="false">1-E27*IF(F27=1,sib_winter,1)</f>
        <v>0.7</v>
      </c>
      <c r="H27" s="83" t="n">
        <v>40</v>
      </c>
      <c r="I27" s="83" t="n">
        <v>15</v>
      </c>
      <c r="J27" s="83" t="n">
        <v>80</v>
      </c>
      <c r="K27" s="83" t="n">
        <v>0</v>
      </c>
      <c r="L27" s="83" t="n">
        <v>6</v>
      </c>
      <c r="M27" s="81" t="n">
        <f aca="false">SUM(H27:L27)</f>
        <v>141</v>
      </c>
      <c r="N27" s="82" t="n">
        <v>0.35</v>
      </c>
      <c r="O27" s="82" t="n">
        <v>0.25</v>
      </c>
      <c r="P27" s="81" t="n">
        <f aca="false">H27*N27+I27*O27+J27*sib_sw+K27+L27*sib_pw</f>
        <v>98.85</v>
      </c>
      <c r="Q27" s="81" t="n">
        <f aca="false">M27-P27</f>
        <v>42.15</v>
      </c>
      <c r="R27" s="82" t="n">
        <v>0.4</v>
      </c>
      <c r="S27" s="85" t="n">
        <v>2</v>
      </c>
      <c r="T27" s="81" t="n">
        <f aca="false">P27*(R27*S27*sib_ammo+(1-R27)*sib_loc_kg)</f>
        <v>168.045</v>
      </c>
      <c r="U27" s="81" t="n">
        <f aca="false">H27*N27*sib_jp_kg</f>
        <v>12.6</v>
      </c>
      <c r="V27" s="83" t="n">
        <v>30</v>
      </c>
      <c r="W27" s="83" t="n">
        <v>40</v>
      </c>
      <c r="X27" s="83" t="n">
        <v>0</v>
      </c>
      <c r="Y27" s="83" t="n">
        <v>82.1917808219178</v>
      </c>
      <c r="Z27" s="81" t="n">
        <f aca="false">Y27*sib_amur</f>
        <v>82.1917808219178</v>
      </c>
      <c r="AA27" s="86" t="n">
        <v>30000</v>
      </c>
      <c r="AB27" s="81" t="n">
        <f aca="false">-(AA27+Z27*C27)/C27</f>
        <v>-164.383561643836</v>
      </c>
      <c r="AC27" s="83" t="n">
        <v>20</v>
      </c>
      <c r="AD27" s="82" t="n">
        <v>1.15</v>
      </c>
      <c r="AE27" s="81" t="n">
        <f aca="false">(J27*sib_sw+K27+L27*sib_pw)*sib_bread+P27*sib_horses*sib_oats+AC27*sib_relief_kg</f>
        <v>194.19625</v>
      </c>
      <c r="AF27" s="81" t="n">
        <f aca="false">sib_surplus*AD27*sib_harvest*1000000/365*sib_callmax</f>
        <v>945.205479452055</v>
      </c>
      <c r="AG27" s="81" t="n">
        <f aca="false">MAX(0,AE27-AF27)</f>
        <v>0</v>
      </c>
      <c r="AH27" s="81" t="n">
        <f aca="false">AE27-AG27</f>
        <v>194.19625</v>
      </c>
      <c r="AI27" s="81" t="n">
        <f aca="false">I27*O27*sib_cn_kg</f>
        <v>3</v>
      </c>
      <c r="AJ27" s="81" t="n">
        <f aca="false">Q27*sib_loc_kg+H27*(1-N27)*sib_jp_kg</f>
        <v>86.625</v>
      </c>
      <c r="AK27" s="81" t="n">
        <f aca="false">T27+U27+V27+W27+X27+AB27</f>
        <v>86.2614383561644</v>
      </c>
      <c r="AL27" s="81" t="n">
        <f aca="false">AI27+AG27</f>
        <v>3</v>
      </c>
      <c r="AM27" s="81" t="n">
        <f aca="false">AK27+AJ27</f>
        <v>172.886438356164</v>
      </c>
      <c r="AN27" s="81" t="n">
        <f aca="false">AK27+AL27+sib_e2*AJ27</f>
        <v>141.236438356164</v>
      </c>
      <c r="AO27" s="81" t="n">
        <f aca="false">AK27+AL27+sib_e3*AJ27</f>
        <v>115.248938356164</v>
      </c>
      <c r="AP27" s="81" t="n">
        <f aca="false">AK27+AL27+Z27</f>
        <v>171.453219178082</v>
      </c>
      <c r="AQ27" s="81" t="n">
        <f aca="false">AK27+AL27+Z27</f>
        <v>171.453219178082</v>
      </c>
      <c r="AR27" s="81" t="n">
        <f aca="false">H27+I27+L27</f>
        <v>61</v>
      </c>
      <c r="AS27" s="81" t="n">
        <f aca="false">H27*N27+I27*O27+L27*sib_pw</f>
        <v>22.85</v>
      </c>
      <c r="AT27" s="87" t="n">
        <f aca="false">(MAX(0,AR27-AR26)+AR27*sib_rot*C27/365)*1000/sib_mtrain/C27</f>
        <v>0.0278538812785388</v>
      </c>
      <c r="AU27" s="87" t="n">
        <f aca="false">(MAX(0,AS27-AS26)+AS27*sib_rot*C27/365)*1000/sib_mtrain/C27</f>
        <v>0.0104337899543379</v>
      </c>
      <c r="AV27" s="83" t="n">
        <v>0</v>
      </c>
      <c r="AW27" s="83" t="n">
        <v>0</v>
      </c>
      <c r="AX27" s="81" t="n">
        <f aca="false">(SUM(AV$6:AV27)+SUM(AW$6:AW27))*0.9</f>
        <v>855</v>
      </c>
      <c r="AY27" s="82" t="n">
        <v>0.85</v>
      </c>
      <c r="AZ27" s="84" t="n">
        <f aca="false">1-(1-AY27)*sib_sick</f>
        <v>0.85</v>
      </c>
      <c r="BA27" s="81" t="n">
        <f aca="false">sib_loco0*AZ27+AX27</f>
        <v>1960</v>
      </c>
      <c r="BB27" s="84" t="n">
        <f aca="false">AX27/BA27</f>
        <v>0.436224489795918</v>
      </c>
      <c r="BC27" s="83" t="n">
        <v>18</v>
      </c>
      <c r="BD27" s="83" t="n">
        <v>16</v>
      </c>
      <c r="BE27" s="83" t="n">
        <v>18</v>
      </c>
      <c r="BF27" s="83" t="n">
        <v>24</v>
      </c>
      <c r="BG27" s="83" t="n">
        <v>24</v>
      </c>
      <c r="BH27" s="87" t="n">
        <f aca="false">BC$6+(BC27-BC$6)*sib_works</f>
        <v>18</v>
      </c>
      <c r="BI27" s="87" t="n">
        <f aca="false">BD$6+(BD27-BD$6)*sib_works</f>
        <v>16</v>
      </c>
      <c r="BJ27" s="87" t="n">
        <f aca="false">BE$6+(BE27-BE$6)*sib_works</f>
        <v>18</v>
      </c>
      <c r="BK27" s="87" t="n">
        <f aca="false">BF$6+(BF27-BF$6)*sib_works</f>
        <v>24</v>
      </c>
      <c r="BL27" s="87" t="n">
        <f aca="false">BG$6+(BG27-BG$6)*sib_works</f>
        <v>24</v>
      </c>
      <c r="BM27" s="83" t="n">
        <v>0</v>
      </c>
      <c r="BN27" s="87" t="n">
        <f aca="false">(BH27*G27-sib_pass)*(1-sib_civ)*(1-sib_fuel-BM27*sib_strike)-AT27</f>
        <v>6.79854611872146</v>
      </c>
      <c r="BO27" s="87" t="n">
        <f aca="false">(BI27*G27-sib_pass)*(1-sib_civ)*(1-sib_fuel-BM27*sib_strike)-AT27</f>
        <v>5.89694611872146</v>
      </c>
      <c r="BP27" s="87" t="n">
        <f aca="false">(BJ27*G27-sib_pass)*(1-sib_civ)*(1-sib_fuel-BM27*sib_strike)-AU27</f>
        <v>6.81596621004566</v>
      </c>
      <c r="BQ27" s="87" t="n">
        <f aca="false">(BK27*G27-sib_pass)*(1-sib_civ)*(1-sib_fuel-BM27*sib_strike)-AU27</f>
        <v>9.52076621004566</v>
      </c>
      <c r="BR27" s="87" t="n">
        <f aca="false">(BL27*G27-sib_pass)*(1-sib_civ)*(1-sib_fuel-BM27*sib_strike)-AU27</f>
        <v>9.52076621004566</v>
      </c>
      <c r="BS27" s="87" t="n">
        <f aca="false">AM27/(sib_net1*(1+sib_decup*BB27))</f>
        <v>0.288435933621677</v>
      </c>
      <c r="BT27" s="87" t="n">
        <f aca="false">AN27/(sib_net2*(1+sib_decup*BB27))</f>
        <v>0.291735478143381</v>
      </c>
      <c r="BU27" s="87" t="n">
        <f aca="false">AO27/(sib_net3a*(1+sib_decup*BB27))</f>
        <v>0.222185749133151</v>
      </c>
      <c r="BV27" s="87" t="n">
        <f aca="false">AP27/(sib_net3b*(1+sib_decup*BB27))</f>
        <v>0.391429747399919</v>
      </c>
      <c r="BW27" s="87" t="n">
        <f aca="false">AQ27/(sib_net4*(1+sib_decup*BB27))</f>
        <v>0.309881883358269</v>
      </c>
      <c r="BX27" s="84" t="n">
        <f aca="false">BS27/BN27</f>
        <v>0.0424261200240148</v>
      </c>
      <c r="BY27" s="84" t="n">
        <f aca="false">BT27/BO27</f>
        <v>0.0494722984185301</v>
      </c>
      <c r="BZ27" s="84" t="n">
        <f aca="false">BU27/BP27</f>
        <v>0.0325978360640468</v>
      </c>
      <c r="CA27" s="84" t="n">
        <f aca="false">BV27/BQ27</f>
        <v>0.0411132611351079</v>
      </c>
      <c r="CB27" s="84" t="n">
        <f aca="false">BW27/BR27</f>
        <v>0.0325479983986271</v>
      </c>
      <c r="CC27" s="84" t="n">
        <f aca="false">MAX(BX27:CB27)</f>
        <v>0.0494722984185301</v>
      </c>
      <c r="CD27" s="1" t="str">
        <f aca="false">CHOOSE(MATCH(CC27,BX27:CB27,0),"Vladivostok-Harbin","Harbin-Manzhouli","Manzhouli-Kitaisky (branch)","Kitaisky-Irkutsk","Irkutsk-Ob")</f>
        <v>Harbin-Manzhouli</v>
      </c>
      <c r="CE27" s="87" t="n">
        <f aca="false">MIN(BN27-BS27,BO27-BT27,BP27-BU27,BQ27-BV27,BR27-BW27)</f>
        <v>5.60521064057808</v>
      </c>
      <c r="CF27" s="88"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f>
        <v>55544.006798755</v>
      </c>
      <c r="CG27" s="81" t="n">
        <f aca="false">CF27/sib_kmloco*sib_helper</f>
        <v>433.937553115274</v>
      </c>
      <c r="CH27" s="84" t="n">
        <f aca="false">CG27/BA27</f>
        <v>0.221396710773099</v>
      </c>
      <c r="CI27" s="86" t="n">
        <v>0</v>
      </c>
      <c r="CJ27" s="86" t="n">
        <v>0</v>
      </c>
      <c r="CK27" s="86" t="n">
        <v>0</v>
      </c>
      <c r="CL27" s="88" t="n">
        <f aca="false">(sib_wag0+SUM(CI$6:CI27)+SUM(CJ$6:CJ27))*sib_wserv*(1-sib_civ)</f>
        <v>27370</v>
      </c>
      <c r="CM27" s="88"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f>
        <v>665.194832115677</v>
      </c>
      <c r="CN27" s="84" t="n">
        <f aca="false">CM27/CL27</f>
        <v>0.0243037936469009</v>
      </c>
      <c r="CO27" s="83" t="n">
        <v>0</v>
      </c>
      <c r="CP27" s="81" t="n">
        <f aca="false">MIN(CO27,AK27+AJ27)</f>
        <v>0</v>
      </c>
      <c r="CQ27" s="84" t="n">
        <f aca="false">(AK27+AJ27+Z27-CP27)*365/1000000+sib_civport</f>
        <v>0.89310355</v>
      </c>
      <c r="CR27" s="82" t="n">
        <v>3</v>
      </c>
      <c r="CS27" s="84" t="n">
        <f aca="false">CQ27/(CR27*IF(OR(RIGHT(A27,2)="Q1",C27=365),sib_portwin,1))</f>
        <v>0.35023668627451</v>
      </c>
      <c r="CT27" s="87" t="n">
        <f aca="false">(AK27+AJ27+Z27-CP27)*sib_pacship*365/(sib_dwt*0.9*sib_voy)</f>
        <v>1.16711002849003</v>
      </c>
      <c r="CU27" s="84" t="n">
        <f aca="false">CT27/sib_ships</f>
        <v>0.0291777507122507</v>
      </c>
      <c r="CV27" s="88" t="n">
        <f aca="false">CV26+(AB27+Z27)*C27+AA27</f>
        <v>97280.0000000001</v>
      </c>
      <c r="CW27" s="87" t="n">
        <f aca="false">IF(C27=365,sib_surge/sib_mtrain/sib_surge_d,0)</f>
        <v>1.85185185185185</v>
      </c>
      <c r="CX27" s="81" t="n">
        <f aca="false">(CC27&gt;sib_util_max)+(CH27&gt;1)+(CN27&gt;1)+(CS27&gt;sib_util_max)+(CU27&gt;1)+(CV27&lt;0)+(CW27&gt;0)*(CE27&lt;CW27)</f>
        <v>0</v>
      </c>
      <c r="CY27" s="1" t="str">
        <f aca="false">IF(CX27=0,"OK","Check")</f>
        <v>OK</v>
      </c>
      <c r="CZ27" s="83" t="n">
        <v>0</v>
      </c>
      <c r="DA27" s="82" t="n">
        <v>2</v>
      </c>
      <c r="DB27" s="82" t="n">
        <v>2</v>
      </c>
      <c r="DC27" s="84" t="n">
        <f aca="false">INDEX(Paths!$B$6:$B$92,MATCH(B27,Paths!$A$6:$A$92,0))*sib_cost</f>
        <v>1.62</v>
      </c>
      <c r="DD27" s="87" t="n">
        <f aca="false">L27*sib_c_pac/1000*C27/365*DC27</f>
        <v>12.636</v>
      </c>
      <c r="DE27" s="87" t="n">
        <f aca="false">K27*sib_c_cz/1000*C27/365*DC27</f>
        <v>0</v>
      </c>
      <c r="DF27" s="87" t="n">
        <f aca="false">J27*sib_c_sib/1000*C27/365*DC27</f>
        <v>12.96</v>
      </c>
      <c r="DG27" s="87" t="n">
        <f aca="false">((MAX(0,T27-CP27)+V27+AB27+Z27+AA27/C27)*sib_pst_w+Q27*sib_loc_kg*sib_pst_e)*C27*sib_c_store/1000000*DC27</f>
        <v>25.9003147725</v>
      </c>
      <c r="DH27" s="87" t="n">
        <f aca="false">((AW27*sib_c_loco+CJ27*sib_c_wag+MAX(0,AZ27-AZ26)*sib_loco0*sib_c_rep+CZ27*sib_c_arm)/1000000+DA27)*DC27</f>
        <v>3.24</v>
      </c>
      <c r="DI27" s="87" t="n">
        <f aca="false">2*(sib_L1*(BS27+AT27)+sib_L2*(BT27+AT27)+sib_L3a*(BU27+AU27)+sib_L3b*(BV27+AU27)+sib_L4*(BW27+AU27))*C27*sib_c_tkm*sib_prail/1000000*DC27</f>
        <v>1.9673330373048</v>
      </c>
      <c r="DJ27" s="87" t="n">
        <f aca="false">CT27*sib_c_ship*C27/365*DC27</f>
        <v>0.850823210769231</v>
      </c>
      <c r="DK27" s="87" t="n">
        <f aca="false">DB27*DC27</f>
        <v>3.24</v>
      </c>
      <c r="DL27" s="87" t="n">
        <f aca="false">AA27*sib_c_kara/1000000*DC27</f>
        <v>0.729</v>
      </c>
      <c r="DM27" s="87" t="n">
        <f aca="false">(AC27*sib_c_ref/1000*C27/365+AH27*C27*sib_c_grain/1000000)*DC27</f>
        <v>1.33696945575</v>
      </c>
      <c r="DN27" s="87" t="n">
        <f aca="false">Z27*C27*sib_c_amur/1000000*DC27</f>
        <v>0.5832</v>
      </c>
      <c r="DO27" s="87" t="n">
        <f aca="false">sib_fed*sib_c_fed/1000000*C27/365*DC27</f>
        <v>2.43</v>
      </c>
      <c r="DP27" s="87" t="n">
        <f aca="false">SUM(DD27:DO27)</f>
        <v>65.873640476324</v>
      </c>
    </row>
    <row r="28" customFormat="false" ht="13.8" hidden="false" customHeight="false" outlineLevel="0" collapsed="false">
      <c r="A28" s="53" t="s">
        <v>1805</v>
      </c>
      <c r="B28" s="81" t="n">
        <v>1927</v>
      </c>
      <c r="C28" s="81" t="n">
        <v>365</v>
      </c>
      <c r="D28" s="1" t="s">
        <v>1801</v>
      </c>
      <c r="E28" s="82" t="n">
        <v>0.3</v>
      </c>
      <c r="F28" s="83" t="n">
        <v>1</v>
      </c>
      <c r="G28" s="84" t="n">
        <f aca="false">1-E28*IF(F28=1,sib_winter,1)</f>
        <v>0.7</v>
      </c>
      <c r="H28" s="83" t="n">
        <v>40</v>
      </c>
      <c r="I28" s="83" t="n">
        <v>15</v>
      </c>
      <c r="J28" s="83" t="n">
        <v>80</v>
      </c>
      <c r="K28" s="83" t="n">
        <v>0</v>
      </c>
      <c r="L28" s="83" t="n">
        <v>6</v>
      </c>
      <c r="M28" s="81" t="n">
        <f aca="false">SUM(H28:L28)</f>
        <v>141</v>
      </c>
      <c r="N28" s="82" t="n">
        <v>0.35</v>
      </c>
      <c r="O28" s="82" t="n">
        <v>0.25</v>
      </c>
      <c r="P28" s="81" t="n">
        <f aca="false">H28*N28+I28*O28+J28*sib_sw+K28+L28*sib_pw</f>
        <v>98.85</v>
      </c>
      <c r="Q28" s="81" t="n">
        <f aca="false">M28-P28</f>
        <v>42.15</v>
      </c>
      <c r="R28" s="82" t="n">
        <v>0.4</v>
      </c>
      <c r="S28" s="85" t="n">
        <v>2</v>
      </c>
      <c r="T28" s="81" t="n">
        <f aca="false">P28*(R28*S28*sib_ammo+(1-R28)*sib_loc_kg)</f>
        <v>168.045</v>
      </c>
      <c r="U28" s="81" t="n">
        <f aca="false">H28*N28*sib_jp_kg</f>
        <v>12.6</v>
      </c>
      <c r="V28" s="83" t="n">
        <v>30</v>
      </c>
      <c r="W28" s="83" t="n">
        <v>40</v>
      </c>
      <c r="X28" s="83" t="n">
        <v>0</v>
      </c>
      <c r="Y28" s="83" t="n">
        <v>82.1917808219178</v>
      </c>
      <c r="Z28" s="81" t="n">
        <f aca="false">Y28*sib_amur</f>
        <v>82.1917808219178</v>
      </c>
      <c r="AA28" s="86" t="n">
        <v>30000</v>
      </c>
      <c r="AB28" s="81" t="n">
        <f aca="false">-(AA28+Z28*C28)/C28</f>
        <v>-164.383561643836</v>
      </c>
      <c r="AC28" s="83" t="n">
        <v>20</v>
      </c>
      <c r="AD28" s="82" t="n">
        <v>1.15</v>
      </c>
      <c r="AE28" s="81" t="n">
        <f aca="false">(J28*sib_sw+K28+L28*sib_pw)*sib_bread+P28*sib_horses*sib_oats+AC28*sib_relief_kg</f>
        <v>194.19625</v>
      </c>
      <c r="AF28" s="81" t="n">
        <f aca="false">sib_surplus*AD28*sib_harvest*1000000/365*sib_callmax</f>
        <v>945.205479452055</v>
      </c>
      <c r="AG28" s="81" t="n">
        <f aca="false">MAX(0,AE28-AF28)</f>
        <v>0</v>
      </c>
      <c r="AH28" s="81" t="n">
        <f aca="false">AE28-AG28</f>
        <v>194.19625</v>
      </c>
      <c r="AI28" s="81" t="n">
        <f aca="false">I28*O28*sib_cn_kg</f>
        <v>3</v>
      </c>
      <c r="AJ28" s="81" t="n">
        <f aca="false">Q28*sib_loc_kg+H28*(1-N28)*sib_jp_kg</f>
        <v>86.625</v>
      </c>
      <c r="AK28" s="81" t="n">
        <f aca="false">T28+U28+V28+W28+X28+AB28</f>
        <v>86.2614383561644</v>
      </c>
      <c r="AL28" s="81" t="n">
        <f aca="false">AI28+AG28</f>
        <v>3</v>
      </c>
      <c r="AM28" s="81" t="n">
        <f aca="false">AK28+AJ28</f>
        <v>172.886438356164</v>
      </c>
      <c r="AN28" s="81" t="n">
        <f aca="false">AK28+AL28+sib_e2*AJ28</f>
        <v>141.236438356164</v>
      </c>
      <c r="AO28" s="81" t="n">
        <f aca="false">AK28+AL28+sib_e3*AJ28</f>
        <v>115.248938356164</v>
      </c>
      <c r="AP28" s="81" t="n">
        <f aca="false">AK28+AL28+Z28</f>
        <v>171.453219178082</v>
      </c>
      <c r="AQ28" s="81" t="n">
        <f aca="false">AK28+AL28+Z28</f>
        <v>171.453219178082</v>
      </c>
      <c r="AR28" s="81" t="n">
        <f aca="false">H28+I28+L28</f>
        <v>61</v>
      </c>
      <c r="AS28" s="81" t="n">
        <f aca="false">H28*N28+I28*O28+L28*sib_pw</f>
        <v>22.85</v>
      </c>
      <c r="AT28" s="87" t="n">
        <f aca="false">(MAX(0,AR28-AR27)+AR28*sib_rot*C28/365)*1000/sib_mtrain/C28</f>
        <v>0.0278538812785388</v>
      </c>
      <c r="AU28" s="87" t="n">
        <f aca="false">(MAX(0,AS28-AS27)+AS28*sib_rot*C28/365)*1000/sib_mtrain/C28</f>
        <v>0.0104337899543379</v>
      </c>
      <c r="AV28" s="83" t="n">
        <v>0</v>
      </c>
      <c r="AW28" s="83" t="n">
        <v>0</v>
      </c>
      <c r="AX28" s="81" t="n">
        <f aca="false">(SUM(AV$6:AV28)+SUM(AW$6:AW28))*0.9</f>
        <v>855</v>
      </c>
      <c r="AY28" s="82" t="n">
        <v>0.85</v>
      </c>
      <c r="AZ28" s="84" t="n">
        <f aca="false">1-(1-AY28)*sib_sick</f>
        <v>0.85</v>
      </c>
      <c r="BA28" s="81" t="n">
        <f aca="false">sib_loco0*AZ28+AX28</f>
        <v>1960</v>
      </c>
      <c r="BB28" s="84" t="n">
        <f aca="false">AX28/BA28</f>
        <v>0.436224489795918</v>
      </c>
      <c r="BC28" s="83" t="n">
        <v>18</v>
      </c>
      <c r="BD28" s="83" t="n">
        <v>16</v>
      </c>
      <c r="BE28" s="83" t="n">
        <v>18</v>
      </c>
      <c r="BF28" s="83" t="n">
        <v>24</v>
      </c>
      <c r="BG28" s="83" t="n">
        <v>24</v>
      </c>
      <c r="BH28" s="87" t="n">
        <f aca="false">BC$6+(BC28-BC$6)*sib_works</f>
        <v>18</v>
      </c>
      <c r="BI28" s="87" t="n">
        <f aca="false">BD$6+(BD28-BD$6)*sib_works</f>
        <v>16</v>
      </c>
      <c r="BJ28" s="87" t="n">
        <f aca="false">BE$6+(BE28-BE$6)*sib_works</f>
        <v>18</v>
      </c>
      <c r="BK28" s="87" t="n">
        <f aca="false">BF$6+(BF28-BF$6)*sib_works</f>
        <v>24</v>
      </c>
      <c r="BL28" s="87" t="n">
        <f aca="false">BG$6+(BG28-BG$6)*sib_works</f>
        <v>24</v>
      </c>
      <c r="BM28" s="83" t="n">
        <v>0</v>
      </c>
      <c r="BN28" s="87" t="n">
        <f aca="false">(BH28*G28-sib_pass)*(1-sib_civ)*(1-sib_fuel-BM28*sib_strike)-AT28</f>
        <v>6.79854611872146</v>
      </c>
      <c r="BO28" s="87" t="n">
        <f aca="false">(BI28*G28-sib_pass)*(1-sib_civ)*(1-sib_fuel-BM28*sib_strike)-AT28</f>
        <v>5.89694611872146</v>
      </c>
      <c r="BP28" s="87" t="n">
        <f aca="false">(BJ28*G28-sib_pass)*(1-sib_civ)*(1-sib_fuel-BM28*sib_strike)-AU28</f>
        <v>6.81596621004566</v>
      </c>
      <c r="BQ28" s="87" t="n">
        <f aca="false">(BK28*G28-sib_pass)*(1-sib_civ)*(1-sib_fuel-BM28*sib_strike)-AU28</f>
        <v>9.52076621004566</v>
      </c>
      <c r="BR28" s="87" t="n">
        <f aca="false">(BL28*G28-sib_pass)*(1-sib_civ)*(1-sib_fuel-BM28*sib_strike)-AU28</f>
        <v>9.52076621004566</v>
      </c>
      <c r="BS28" s="87" t="n">
        <f aca="false">AM28/(sib_net1*(1+sib_decup*BB28))</f>
        <v>0.288435933621677</v>
      </c>
      <c r="BT28" s="87" t="n">
        <f aca="false">AN28/(sib_net2*(1+sib_decup*BB28))</f>
        <v>0.291735478143381</v>
      </c>
      <c r="BU28" s="87" t="n">
        <f aca="false">AO28/(sib_net3a*(1+sib_decup*BB28))</f>
        <v>0.222185749133151</v>
      </c>
      <c r="BV28" s="87" t="n">
        <f aca="false">AP28/(sib_net3b*(1+sib_decup*BB28))</f>
        <v>0.391429747399919</v>
      </c>
      <c r="BW28" s="87" t="n">
        <f aca="false">AQ28/(sib_net4*(1+sib_decup*BB28))</f>
        <v>0.309881883358269</v>
      </c>
      <c r="BX28" s="84" t="n">
        <f aca="false">BS28/BN28</f>
        <v>0.0424261200240148</v>
      </c>
      <c r="BY28" s="84" t="n">
        <f aca="false">BT28/BO28</f>
        <v>0.0494722984185301</v>
      </c>
      <c r="BZ28" s="84" t="n">
        <f aca="false">BU28/BP28</f>
        <v>0.0325978360640468</v>
      </c>
      <c r="CA28" s="84" t="n">
        <f aca="false">BV28/BQ28</f>
        <v>0.0411132611351079</v>
      </c>
      <c r="CB28" s="84" t="n">
        <f aca="false">BW28/BR28</f>
        <v>0.0325479983986271</v>
      </c>
      <c r="CC28" s="84" t="n">
        <f aca="false">MAX(BX28:CB28)</f>
        <v>0.0494722984185301</v>
      </c>
      <c r="CD28" s="1" t="str">
        <f aca="false">CHOOSE(MATCH(CC28,BX28:CB28,0),"Vladivostok-Harbin","Harbin-Manzhouli","Manzhouli-Kitaisky (branch)","Kitaisky-Irkutsk","Irkutsk-Ob")</f>
        <v>Harbin-Manzhouli</v>
      </c>
      <c r="CE28" s="87" t="n">
        <f aca="false">MIN(BN28-BS28,BO28-BT28,BP28-BU28,BQ28-BV28,BR28-BW28)</f>
        <v>5.60521064057808</v>
      </c>
      <c r="CF28" s="88"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f>
        <v>55544.006798755</v>
      </c>
      <c r="CG28" s="81" t="n">
        <f aca="false">CF28/sib_kmloco*sib_helper</f>
        <v>433.937553115274</v>
      </c>
      <c r="CH28" s="84" t="n">
        <f aca="false">CG28/BA28</f>
        <v>0.221396710773099</v>
      </c>
      <c r="CI28" s="86" t="n">
        <v>0</v>
      </c>
      <c r="CJ28" s="86" t="n">
        <v>0</v>
      </c>
      <c r="CK28" s="86" t="n">
        <v>0</v>
      </c>
      <c r="CL28" s="88" t="n">
        <f aca="false">(sib_wag0+SUM(CI$6:CI28)+SUM(CJ$6:CJ28))*sib_wserv*(1-sib_civ)</f>
        <v>27370</v>
      </c>
      <c r="CM28" s="88"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f>
        <v>665.194832115677</v>
      </c>
      <c r="CN28" s="84" t="n">
        <f aca="false">CM28/CL28</f>
        <v>0.0243037936469009</v>
      </c>
      <c r="CO28" s="83" t="n">
        <v>0</v>
      </c>
      <c r="CP28" s="81" t="n">
        <f aca="false">MIN(CO28,AK28+AJ28)</f>
        <v>0</v>
      </c>
      <c r="CQ28" s="84" t="n">
        <f aca="false">(AK28+AJ28+Z28-CP28)*365/1000000+sib_civport</f>
        <v>0.89310355</v>
      </c>
      <c r="CR28" s="82" t="n">
        <v>3</v>
      </c>
      <c r="CS28" s="84" t="n">
        <f aca="false">CQ28/(CR28*IF(OR(RIGHT(A28,2)="Q1",C28=365),sib_portwin,1))</f>
        <v>0.35023668627451</v>
      </c>
      <c r="CT28" s="87" t="n">
        <f aca="false">(AK28+AJ28+Z28-CP28)*sib_pacship*365/(sib_dwt*0.9*sib_voy)</f>
        <v>1.16711002849003</v>
      </c>
      <c r="CU28" s="84" t="n">
        <f aca="false">CT28/sib_ships</f>
        <v>0.0291777507122507</v>
      </c>
      <c r="CV28" s="88" t="n">
        <f aca="false">CV27+(AB28+Z28)*C28+AA28</f>
        <v>97280.0000000001</v>
      </c>
      <c r="CW28" s="87" t="n">
        <f aca="false">IF(C28=365,sib_surge/sib_mtrain/sib_surge_d,0)</f>
        <v>1.85185185185185</v>
      </c>
      <c r="CX28" s="81" t="n">
        <f aca="false">(CC28&gt;sib_util_max)+(CH28&gt;1)+(CN28&gt;1)+(CS28&gt;sib_util_max)+(CU28&gt;1)+(CV28&lt;0)+(CW28&gt;0)*(CE28&lt;CW28)</f>
        <v>0</v>
      </c>
      <c r="CY28" s="1" t="str">
        <f aca="false">IF(CX28=0,"OK","Check")</f>
        <v>OK</v>
      </c>
      <c r="CZ28" s="83" t="n">
        <v>0</v>
      </c>
      <c r="DA28" s="82" t="n">
        <v>2</v>
      </c>
      <c r="DB28" s="82" t="n">
        <v>2</v>
      </c>
      <c r="DC28" s="84" t="n">
        <f aca="false">INDEX(Paths!$B$6:$B$92,MATCH(B28,Paths!$A$6:$A$92,0))*sib_cost</f>
        <v>1.58</v>
      </c>
      <c r="DD28" s="87" t="n">
        <f aca="false">L28*sib_c_pac/1000*C28/365*DC28</f>
        <v>12.324</v>
      </c>
      <c r="DE28" s="87" t="n">
        <f aca="false">K28*sib_c_cz/1000*C28/365*DC28</f>
        <v>0</v>
      </c>
      <c r="DF28" s="87" t="n">
        <f aca="false">J28*sib_c_sib/1000*C28/365*DC28</f>
        <v>12.64</v>
      </c>
      <c r="DG28" s="87" t="n">
        <f aca="false">((MAX(0,T28-CP28)+V28+AB28+Z28+AA28/C28)*sib_pst_w+Q28*sib_loc_kg*sib_pst_e)*C28*sib_c_store/1000000*DC28</f>
        <v>25.2608008275</v>
      </c>
      <c r="DH28" s="87" t="n">
        <f aca="false">((AW28*sib_c_loco+CJ28*sib_c_wag+MAX(0,AZ28-AZ27)*sib_loco0*sib_c_rep+CZ28*sib_c_arm)/1000000+DA28)*DC28</f>
        <v>3.16</v>
      </c>
      <c r="DI28" s="87" t="n">
        <f aca="false">2*(sib_L1*(BS28+AT28)+sib_L2*(BT28+AT28)+sib_L3a*(BU28+AU28)+sib_L3b*(BV28+AU28)+sib_L4*(BW28+AU28))*C28*sib_c_tkm*sib_prail/1000000*DC28</f>
        <v>1.9187569129269</v>
      </c>
      <c r="DJ28" s="87" t="n">
        <f aca="false">CT28*sib_c_ship*C28/365*DC28</f>
        <v>0.829815230256411</v>
      </c>
      <c r="DK28" s="87" t="n">
        <f aca="false">DB28*DC28</f>
        <v>3.16</v>
      </c>
      <c r="DL28" s="87" t="n">
        <f aca="false">AA28*sib_c_kara/1000000*DC28</f>
        <v>0.711</v>
      </c>
      <c r="DM28" s="87" t="n">
        <f aca="false">(AC28*sib_c_ref/1000*C28/365+AH28*C28*sib_c_grain/1000000)*DC28</f>
        <v>1.30395786425</v>
      </c>
      <c r="DN28" s="87" t="n">
        <f aca="false">Z28*C28*sib_c_amur/1000000*DC28</f>
        <v>0.5688</v>
      </c>
      <c r="DO28" s="87" t="n">
        <f aca="false">sib_fed*sib_c_fed/1000000*C28/365*DC28</f>
        <v>2.37</v>
      </c>
      <c r="DP28" s="87" t="n">
        <f aca="false">SUM(DD28:DO28)</f>
        <v>64.2471308349333</v>
      </c>
    </row>
    <row r="29" customFormat="false" ht="13.8" hidden="false" customHeight="false" outlineLevel="0" collapsed="false">
      <c r="A29" s="53" t="s">
        <v>1806</v>
      </c>
      <c r="B29" s="81" t="n">
        <v>1928</v>
      </c>
      <c r="C29" s="81" t="n">
        <v>365</v>
      </c>
      <c r="D29" s="1" t="s">
        <v>1801</v>
      </c>
      <c r="E29" s="82" t="n">
        <v>0.3</v>
      </c>
      <c r="F29" s="83" t="n">
        <v>1</v>
      </c>
      <c r="G29" s="84" t="n">
        <f aca="false">1-E29*IF(F29=1,sib_winter,1)</f>
        <v>0.7</v>
      </c>
      <c r="H29" s="83" t="n">
        <v>40</v>
      </c>
      <c r="I29" s="83" t="n">
        <v>15</v>
      </c>
      <c r="J29" s="83" t="n">
        <v>80</v>
      </c>
      <c r="K29" s="83" t="n">
        <v>0</v>
      </c>
      <c r="L29" s="83" t="n">
        <v>6</v>
      </c>
      <c r="M29" s="81" t="n">
        <f aca="false">SUM(H29:L29)</f>
        <v>141</v>
      </c>
      <c r="N29" s="82" t="n">
        <v>0.35</v>
      </c>
      <c r="O29" s="82" t="n">
        <v>0.25</v>
      </c>
      <c r="P29" s="81" t="n">
        <f aca="false">H29*N29+I29*O29+J29*sib_sw+K29+L29*sib_pw</f>
        <v>98.85</v>
      </c>
      <c r="Q29" s="81" t="n">
        <f aca="false">M29-P29</f>
        <v>42.15</v>
      </c>
      <c r="R29" s="82" t="n">
        <v>0.4</v>
      </c>
      <c r="S29" s="85" t="n">
        <v>2</v>
      </c>
      <c r="T29" s="81" t="n">
        <f aca="false">P29*(R29*S29*sib_ammo+(1-R29)*sib_loc_kg)</f>
        <v>168.045</v>
      </c>
      <c r="U29" s="81" t="n">
        <f aca="false">H29*N29*sib_jp_kg</f>
        <v>12.6</v>
      </c>
      <c r="V29" s="83" t="n">
        <v>30</v>
      </c>
      <c r="W29" s="83" t="n">
        <v>40</v>
      </c>
      <c r="X29" s="83" t="n">
        <v>0</v>
      </c>
      <c r="Y29" s="83" t="n">
        <v>82.1917808219178</v>
      </c>
      <c r="Z29" s="81" t="n">
        <f aca="false">Y29*sib_amur</f>
        <v>82.1917808219178</v>
      </c>
      <c r="AA29" s="86" t="n">
        <v>30000</v>
      </c>
      <c r="AB29" s="81" t="n">
        <f aca="false">-(AA29+Z29*C29)/C29</f>
        <v>-164.383561643836</v>
      </c>
      <c r="AC29" s="83" t="n">
        <v>20</v>
      </c>
      <c r="AD29" s="82" t="n">
        <v>1.2</v>
      </c>
      <c r="AE29" s="81" t="n">
        <f aca="false">(J29*sib_sw+K29+L29*sib_pw)*sib_bread+P29*sib_horses*sib_oats+AC29*sib_relief_kg</f>
        <v>194.19625</v>
      </c>
      <c r="AF29" s="81" t="n">
        <f aca="false">sib_surplus*AD29*sib_harvest*1000000/365*sib_callmax</f>
        <v>986.301369863014</v>
      </c>
      <c r="AG29" s="81" t="n">
        <f aca="false">MAX(0,AE29-AF29)</f>
        <v>0</v>
      </c>
      <c r="AH29" s="81" t="n">
        <f aca="false">AE29-AG29</f>
        <v>194.19625</v>
      </c>
      <c r="AI29" s="81" t="n">
        <f aca="false">I29*O29*sib_cn_kg</f>
        <v>3</v>
      </c>
      <c r="AJ29" s="81" t="n">
        <f aca="false">Q29*sib_loc_kg+H29*(1-N29)*sib_jp_kg</f>
        <v>86.625</v>
      </c>
      <c r="AK29" s="81" t="n">
        <f aca="false">T29+U29+V29+W29+X29+AB29</f>
        <v>86.2614383561644</v>
      </c>
      <c r="AL29" s="81" t="n">
        <f aca="false">AI29+AG29</f>
        <v>3</v>
      </c>
      <c r="AM29" s="81" t="n">
        <f aca="false">AK29+AJ29</f>
        <v>172.886438356164</v>
      </c>
      <c r="AN29" s="81" t="n">
        <f aca="false">AK29+AL29+sib_e2*AJ29</f>
        <v>141.236438356164</v>
      </c>
      <c r="AO29" s="81" t="n">
        <f aca="false">AK29+AL29+sib_e3*AJ29</f>
        <v>115.248938356164</v>
      </c>
      <c r="AP29" s="81" t="n">
        <f aca="false">AK29+AL29+Z29</f>
        <v>171.453219178082</v>
      </c>
      <c r="AQ29" s="81" t="n">
        <f aca="false">AK29+AL29+Z29</f>
        <v>171.453219178082</v>
      </c>
      <c r="AR29" s="81" t="n">
        <f aca="false">H29+I29+L29</f>
        <v>61</v>
      </c>
      <c r="AS29" s="81" t="n">
        <f aca="false">H29*N29+I29*O29+L29*sib_pw</f>
        <v>22.85</v>
      </c>
      <c r="AT29" s="87" t="n">
        <f aca="false">(MAX(0,AR29-AR28)+AR29*sib_rot*C29/365)*1000/sib_mtrain/C29</f>
        <v>0.0278538812785388</v>
      </c>
      <c r="AU29" s="87" t="n">
        <f aca="false">(MAX(0,AS29-AS28)+AS29*sib_rot*C29/365)*1000/sib_mtrain/C29</f>
        <v>0.0104337899543379</v>
      </c>
      <c r="AV29" s="83" t="n">
        <v>0</v>
      </c>
      <c r="AW29" s="83" t="n">
        <v>0</v>
      </c>
      <c r="AX29" s="81" t="n">
        <f aca="false">(SUM(AV$6:AV29)+SUM(AW$6:AW29))*0.9</f>
        <v>855</v>
      </c>
      <c r="AY29" s="82" t="n">
        <v>0.85</v>
      </c>
      <c r="AZ29" s="84" t="n">
        <f aca="false">1-(1-AY29)*sib_sick</f>
        <v>0.85</v>
      </c>
      <c r="BA29" s="81" t="n">
        <f aca="false">sib_loco0*AZ29+AX29</f>
        <v>1960</v>
      </c>
      <c r="BB29" s="84" t="n">
        <f aca="false">AX29/BA29</f>
        <v>0.436224489795918</v>
      </c>
      <c r="BC29" s="83" t="n">
        <v>18</v>
      </c>
      <c r="BD29" s="83" t="n">
        <v>16</v>
      </c>
      <c r="BE29" s="83" t="n">
        <v>18</v>
      </c>
      <c r="BF29" s="83" t="n">
        <v>24</v>
      </c>
      <c r="BG29" s="83" t="n">
        <v>24</v>
      </c>
      <c r="BH29" s="87" t="n">
        <f aca="false">BC$6+(BC29-BC$6)*sib_works</f>
        <v>18</v>
      </c>
      <c r="BI29" s="87" t="n">
        <f aca="false">BD$6+(BD29-BD$6)*sib_works</f>
        <v>16</v>
      </c>
      <c r="BJ29" s="87" t="n">
        <f aca="false">BE$6+(BE29-BE$6)*sib_works</f>
        <v>18</v>
      </c>
      <c r="BK29" s="87" t="n">
        <f aca="false">BF$6+(BF29-BF$6)*sib_works</f>
        <v>24</v>
      </c>
      <c r="BL29" s="87" t="n">
        <f aca="false">BG$6+(BG29-BG$6)*sib_works</f>
        <v>24</v>
      </c>
      <c r="BM29" s="83" t="n">
        <v>0</v>
      </c>
      <c r="BN29" s="87" t="n">
        <f aca="false">(BH29*G29-sib_pass)*(1-sib_civ)*(1-sib_fuel-BM29*sib_strike)-AT29</f>
        <v>6.79854611872146</v>
      </c>
      <c r="BO29" s="87" t="n">
        <f aca="false">(BI29*G29-sib_pass)*(1-sib_civ)*(1-sib_fuel-BM29*sib_strike)-AT29</f>
        <v>5.89694611872146</v>
      </c>
      <c r="BP29" s="87" t="n">
        <f aca="false">(BJ29*G29-sib_pass)*(1-sib_civ)*(1-sib_fuel-BM29*sib_strike)-AU29</f>
        <v>6.81596621004566</v>
      </c>
      <c r="BQ29" s="87" t="n">
        <f aca="false">(BK29*G29-sib_pass)*(1-sib_civ)*(1-sib_fuel-BM29*sib_strike)-AU29</f>
        <v>9.52076621004566</v>
      </c>
      <c r="BR29" s="87" t="n">
        <f aca="false">(BL29*G29-sib_pass)*(1-sib_civ)*(1-sib_fuel-BM29*sib_strike)-AU29</f>
        <v>9.52076621004566</v>
      </c>
      <c r="BS29" s="87" t="n">
        <f aca="false">AM29/(sib_net1*(1+sib_decup*BB29))</f>
        <v>0.288435933621677</v>
      </c>
      <c r="BT29" s="87" t="n">
        <f aca="false">AN29/(sib_net2*(1+sib_decup*BB29))</f>
        <v>0.291735478143381</v>
      </c>
      <c r="BU29" s="87" t="n">
        <f aca="false">AO29/(sib_net3a*(1+sib_decup*BB29))</f>
        <v>0.222185749133151</v>
      </c>
      <c r="BV29" s="87" t="n">
        <f aca="false">AP29/(sib_net3b*(1+sib_decup*BB29))</f>
        <v>0.391429747399919</v>
      </c>
      <c r="BW29" s="87" t="n">
        <f aca="false">AQ29/(sib_net4*(1+sib_decup*BB29))</f>
        <v>0.309881883358269</v>
      </c>
      <c r="BX29" s="84" t="n">
        <f aca="false">BS29/BN29</f>
        <v>0.0424261200240148</v>
      </c>
      <c r="BY29" s="84" t="n">
        <f aca="false">BT29/BO29</f>
        <v>0.0494722984185301</v>
      </c>
      <c r="BZ29" s="84" t="n">
        <f aca="false">BU29/BP29</f>
        <v>0.0325978360640468</v>
      </c>
      <c r="CA29" s="84" t="n">
        <f aca="false">BV29/BQ29</f>
        <v>0.0411132611351079</v>
      </c>
      <c r="CB29" s="84" t="n">
        <f aca="false">BW29/BR29</f>
        <v>0.0325479983986271</v>
      </c>
      <c r="CC29" s="84" t="n">
        <f aca="false">MAX(BX29:CB29)</f>
        <v>0.0494722984185301</v>
      </c>
      <c r="CD29" s="1" t="str">
        <f aca="false">CHOOSE(MATCH(CC29,BX29:CB29,0),"Vladivostok-Harbin","Harbin-Manzhouli","Manzhouli-Kitaisky (branch)","Kitaisky-Irkutsk","Irkutsk-Ob")</f>
        <v>Harbin-Manzhouli</v>
      </c>
      <c r="CE29" s="87" t="n">
        <f aca="false">MIN(BN29-BS29,BO29-BT29,BP29-BU29,BQ29-BV29,BR29-BW29)</f>
        <v>5.60521064057808</v>
      </c>
      <c r="CF29" s="88"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f>
        <v>55544.006798755</v>
      </c>
      <c r="CG29" s="81" t="n">
        <f aca="false">CF29/sib_kmloco*sib_helper</f>
        <v>433.937553115274</v>
      </c>
      <c r="CH29" s="84" t="n">
        <f aca="false">CG29/BA29</f>
        <v>0.221396710773099</v>
      </c>
      <c r="CI29" s="86" t="n">
        <v>0</v>
      </c>
      <c r="CJ29" s="86" t="n">
        <v>0</v>
      </c>
      <c r="CK29" s="86" t="n">
        <v>0</v>
      </c>
      <c r="CL29" s="88" t="n">
        <f aca="false">(sib_wag0+SUM(CI$6:CI29)+SUM(CJ$6:CJ29))*sib_wserv*(1-sib_civ)</f>
        <v>27370</v>
      </c>
      <c r="CM29" s="88"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f>
        <v>665.194832115677</v>
      </c>
      <c r="CN29" s="84" t="n">
        <f aca="false">CM29/CL29</f>
        <v>0.0243037936469009</v>
      </c>
      <c r="CO29" s="83" t="n">
        <v>0</v>
      </c>
      <c r="CP29" s="81" t="n">
        <f aca="false">MIN(CO29,AK29+AJ29)</f>
        <v>0</v>
      </c>
      <c r="CQ29" s="84" t="n">
        <f aca="false">(AK29+AJ29+Z29-CP29)*365/1000000+sib_civport</f>
        <v>0.89310355</v>
      </c>
      <c r="CR29" s="82" t="n">
        <v>3</v>
      </c>
      <c r="CS29" s="84" t="n">
        <f aca="false">CQ29/(CR29*IF(OR(RIGHT(A29,2)="Q1",C29=365),sib_portwin,1))</f>
        <v>0.35023668627451</v>
      </c>
      <c r="CT29" s="87" t="n">
        <f aca="false">(AK29+AJ29+Z29-CP29)*sib_pacship*365/(sib_dwt*0.9*sib_voy)</f>
        <v>1.16711002849003</v>
      </c>
      <c r="CU29" s="84" t="n">
        <f aca="false">CT29/sib_ships</f>
        <v>0.0291777507122507</v>
      </c>
      <c r="CV29" s="88" t="n">
        <f aca="false">CV28+(AB29+Z29)*C29+AA29</f>
        <v>97280.0000000001</v>
      </c>
      <c r="CW29" s="87" t="n">
        <f aca="false">IF(C29=365,sib_surge/sib_mtrain/sib_surge_d,0)</f>
        <v>1.85185185185185</v>
      </c>
      <c r="CX29" s="81" t="n">
        <f aca="false">(CC29&gt;sib_util_max)+(CH29&gt;1)+(CN29&gt;1)+(CS29&gt;sib_util_max)+(CU29&gt;1)+(CV29&lt;0)+(CW29&gt;0)*(CE29&lt;CW29)</f>
        <v>0</v>
      </c>
      <c r="CY29" s="1" t="str">
        <f aca="false">IF(CX29=0,"OK","Check")</f>
        <v>OK</v>
      </c>
      <c r="CZ29" s="83" t="n">
        <v>0</v>
      </c>
      <c r="DA29" s="82" t="n">
        <v>2</v>
      </c>
      <c r="DB29" s="82" t="n">
        <v>2</v>
      </c>
      <c r="DC29" s="84" t="n">
        <f aca="false">INDEX(Paths!$B$6:$B$92,MATCH(B29,Paths!$A$6:$A$92,0))*sib_cost</f>
        <v>1.6</v>
      </c>
      <c r="DD29" s="87" t="n">
        <f aca="false">L29*sib_c_pac/1000*C29/365*DC29</f>
        <v>12.48</v>
      </c>
      <c r="DE29" s="87" t="n">
        <f aca="false">K29*sib_c_cz/1000*C29/365*DC29</f>
        <v>0</v>
      </c>
      <c r="DF29" s="87" t="n">
        <f aca="false">J29*sib_c_sib/1000*C29/365*DC29</f>
        <v>12.8</v>
      </c>
      <c r="DG29" s="87" t="n">
        <f aca="false">((MAX(0,T29-CP29)+V29+AB29+Z29+AA29/C29)*sib_pst_w+Q29*sib_loc_kg*sib_pst_e)*C29*sib_c_store/1000000*DC29</f>
        <v>25.5805578</v>
      </c>
      <c r="DH29" s="87" t="n">
        <f aca="false">((AW29*sib_c_loco+CJ29*sib_c_wag+MAX(0,AZ29-AZ28)*sib_loco0*sib_c_rep+CZ29*sib_c_arm)/1000000+DA29)*DC29</f>
        <v>3.2</v>
      </c>
      <c r="DI29" s="87" t="n">
        <f aca="false">2*(sib_L1*(BS29+AT29)+sib_L2*(BT29+AT29)+sib_L3a*(BU29+AU29)+sib_L3b*(BV29+AU29)+sib_L4*(BW29+AU29))*C29*sib_c_tkm*sib_prail/1000000*DC29</f>
        <v>1.94304497511585</v>
      </c>
      <c r="DJ29" s="87" t="n">
        <f aca="false">CT29*sib_c_ship*C29/365*DC29</f>
        <v>0.840319220512821</v>
      </c>
      <c r="DK29" s="87" t="n">
        <f aca="false">DB29*DC29</f>
        <v>3.2</v>
      </c>
      <c r="DL29" s="87" t="n">
        <f aca="false">AA29*sib_c_kara/1000000*DC29</f>
        <v>0.72</v>
      </c>
      <c r="DM29" s="87" t="n">
        <f aca="false">(AC29*sib_c_ref/1000*C29/365+AH29*C29*sib_c_grain/1000000)*DC29</f>
        <v>1.32046366</v>
      </c>
      <c r="DN29" s="87" t="n">
        <f aca="false">Z29*C29*sib_c_amur/1000000*DC29</f>
        <v>0.576</v>
      </c>
      <c r="DO29" s="87" t="n">
        <f aca="false">sib_fed*sib_c_fed/1000000*C29/365*DC29</f>
        <v>2.4</v>
      </c>
      <c r="DP29" s="87" t="n">
        <f aca="false">SUM(DD29:DO29)</f>
        <v>65.0603856556287</v>
      </c>
    </row>
    <row r="30" customFormat="false" ht="13.8" hidden="false" customHeight="false" outlineLevel="0" collapsed="false">
      <c r="A30" s="53" t="s">
        <v>1807</v>
      </c>
      <c r="B30" s="81" t="n">
        <v>1929</v>
      </c>
      <c r="C30" s="81" t="n">
        <v>365</v>
      </c>
      <c r="D30" s="1" t="s">
        <v>1801</v>
      </c>
      <c r="E30" s="82" t="n">
        <v>0.3</v>
      </c>
      <c r="F30" s="83" t="n">
        <v>1</v>
      </c>
      <c r="G30" s="84" t="n">
        <f aca="false">1-E30*IF(F30=1,sib_winter,1)</f>
        <v>0.7</v>
      </c>
      <c r="H30" s="83" t="n">
        <v>40</v>
      </c>
      <c r="I30" s="83" t="n">
        <v>15</v>
      </c>
      <c r="J30" s="83" t="n">
        <v>80</v>
      </c>
      <c r="K30" s="83" t="n">
        <v>0</v>
      </c>
      <c r="L30" s="83" t="n">
        <v>6</v>
      </c>
      <c r="M30" s="81" t="n">
        <f aca="false">SUM(H30:L30)</f>
        <v>141</v>
      </c>
      <c r="N30" s="82" t="n">
        <v>0.35</v>
      </c>
      <c r="O30" s="82" t="n">
        <v>0.25</v>
      </c>
      <c r="P30" s="81" t="n">
        <f aca="false">H30*N30+I30*O30+J30*sib_sw+K30+L30*sib_pw</f>
        <v>98.85</v>
      </c>
      <c r="Q30" s="81" t="n">
        <f aca="false">M30-P30</f>
        <v>42.15</v>
      </c>
      <c r="R30" s="82" t="n">
        <v>0.4</v>
      </c>
      <c r="S30" s="85" t="n">
        <v>2</v>
      </c>
      <c r="T30" s="81" t="n">
        <f aca="false">P30*(R30*S30*sib_ammo+(1-R30)*sib_loc_kg)</f>
        <v>168.045</v>
      </c>
      <c r="U30" s="81" t="n">
        <f aca="false">H30*N30*sib_jp_kg</f>
        <v>12.6</v>
      </c>
      <c r="V30" s="83" t="n">
        <v>30</v>
      </c>
      <c r="W30" s="83" t="n">
        <v>40</v>
      </c>
      <c r="X30" s="83" t="n">
        <v>0</v>
      </c>
      <c r="Y30" s="83" t="n">
        <v>82.1917808219178</v>
      </c>
      <c r="Z30" s="81" t="n">
        <f aca="false">Y30*sib_amur</f>
        <v>82.1917808219178</v>
      </c>
      <c r="AA30" s="86" t="n">
        <v>30000</v>
      </c>
      <c r="AB30" s="81" t="n">
        <f aca="false">-(AA30+Z30*C30)/C30</f>
        <v>-164.383561643836</v>
      </c>
      <c r="AC30" s="83" t="n">
        <v>20</v>
      </c>
      <c r="AD30" s="82" t="n">
        <v>1.2</v>
      </c>
      <c r="AE30" s="81" t="n">
        <f aca="false">(J30*sib_sw+K30+L30*sib_pw)*sib_bread+P30*sib_horses*sib_oats+AC30*sib_relief_kg</f>
        <v>194.19625</v>
      </c>
      <c r="AF30" s="81" t="n">
        <f aca="false">sib_surplus*AD30*sib_harvest*1000000/365*sib_callmax</f>
        <v>986.301369863014</v>
      </c>
      <c r="AG30" s="81" t="n">
        <f aca="false">MAX(0,AE30-AF30)</f>
        <v>0</v>
      </c>
      <c r="AH30" s="81" t="n">
        <f aca="false">AE30-AG30</f>
        <v>194.19625</v>
      </c>
      <c r="AI30" s="81" t="n">
        <f aca="false">I30*O30*sib_cn_kg</f>
        <v>3</v>
      </c>
      <c r="AJ30" s="81" t="n">
        <f aca="false">Q30*sib_loc_kg+H30*(1-N30)*sib_jp_kg</f>
        <v>86.625</v>
      </c>
      <c r="AK30" s="81" t="n">
        <f aca="false">T30+U30+V30+W30+X30+AB30</f>
        <v>86.2614383561644</v>
      </c>
      <c r="AL30" s="81" t="n">
        <f aca="false">AI30+AG30</f>
        <v>3</v>
      </c>
      <c r="AM30" s="81" t="n">
        <f aca="false">AK30+AJ30</f>
        <v>172.886438356164</v>
      </c>
      <c r="AN30" s="81" t="n">
        <f aca="false">AK30+AL30+sib_e2*AJ30</f>
        <v>141.236438356164</v>
      </c>
      <c r="AO30" s="81" t="n">
        <f aca="false">AK30+AL30+sib_e3*AJ30</f>
        <v>115.248938356164</v>
      </c>
      <c r="AP30" s="81" t="n">
        <f aca="false">AK30+AL30+Z30</f>
        <v>171.453219178082</v>
      </c>
      <c r="AQ30" s="81" t="n">
        <f aca="false">AK30+AL30+Z30</f>
        <v>171.453219178082</v>
      </c>
      <c r="AR30" s="81" t="n">
        <f aca="false">H30+I30+L30</f>
        <v>61</v>
      </c>
      <c r="AS30" s="81" t="n">
        <f aca="false">H30*N30+I30*O30+L30*sib_pw</f>
        <v>22.85</v>
      </c>
      <c r="AT30" s="87" t="n">
        <f aca="false">(MAX(0,AR30-AR29)+AR30*sib_rot*C30/365)*1000/sib_mtrain/C30</f>
        <v>0.0278538812785388</v>
      </c>
      <c r="AU30" s="87" t="n">
        <f aca="false">(MAX(0,AS30-AS29)+AS30*sib_rot*C30/365)*1000/sib_mtrain/C30</f>
        <v>0.0104337899543379</v>
      </c>
      <c r="AV30" s="83" t="n">
        <v>0</v>
      </c>
      <c r="AW30" s="83" t="n">
        <v>0</v>
      </c>
      <c r="AX30" s="81" t="n">
        <f aca="false">(SUM(AV$6:AV30)+SUM(AW$6:AW30))*0.9</f>
        <v>855</v>
      </c>
      <c r="AY30" s="82" t="n">
        <v>0.85</v>
      </c>
      <c r="AZ30" s="84" t="n">
        <f aca="false">1-(1-AY30)*sib_sick</f>
        <v>0.85</v>
      </c>
      <c r="BA30" s="81" t="n">
        <f aca="false">sib_loco0*AZ30+AX30</f>
        <v>1960</v>
      </c>
      <c r="BB30" s="84" t="n">
        <f aca="false">AX30/BA30</f>
        <v>0.436224489795918</v>
      </c>
      <c r="BC30" s="83" t="n">
        <v>18</v>
      </c>
      <c r="BD30" s="83" t="n">
        <v>16</v>
      </c>
      <c r="BE30" s="83" t="n">
        <v>18</v>
      </c>
      <c r="BF30" s="83" t="n">
        <v>24</v>
      </c>
      <c r="BG30" s="83" t="n">
        <v>24</v>
      </c>
      <c r="BH30" s="87" t="n">
        <f aca="false">BC$6+(BC30-BC$6)*sib_works</f>
        <v>18</v>
      </c>
      <c r="BI30" s="87" t="n">
        <f aca="false">BD$6+(BD30-BD$6)*sib_works</f>
        <v>16</v>
      </c>
      <c r="BJ30" s="87" t="n">
        <f aca="false">BE$6+(BE30-BE$6)*sib_works</f>
        <v>18</v>
      </c>
      <c r="BK30" s="87" t="n">
        <f aca="false">BF$6+(BF30-BF$6)*sib_works</f>
        <v>24</v>
      </c>
      <c r="BL30" s="87" t="n">
        <f aca="false">BG$6+(BG30-BG$6)*sib_works</f>
        <v>24</v>
      </c>
      <c r="BM30" s="83" t="n">
        <v>0</v>
      </c>
      <c r="BN30" s="87" t="n">
        <f aca="false">(BH30*G30-sib_pass)*(1-sib_civ)*(1-sib_fuel-BM30*sib_strike)-AT30</f>
        <v>6.79854611872146</v>
      </c>
      <c r="BO30" s="87" t="n">
        <f aca="false">(BI30*G30-sib_pass)*(1-sib_civ)*(1-sib_fuel-BM30*sib_strike)-AT30</f>
        <v>5.89694611872146</v>
      </c>
      <c r="BP30" s="87" t="n">
        <f aca="false">(BJ30*G30-sib_pass)*(1-sib_civ)*(1-sib_fuel-BM30*sib_strike)-AU30</f>
        <v>6.81596621004566</v>
      </c>
      <c r="BQ30" s="87" t="n">
        <f aca="false">(BK30*G30-sib_pass)*(1-sib_civ)*(1-sib_fuel-BM30*sib_strike)-AU30</f>
        <v>9.52076621004566</v>
      </c>
      <c r="BR30" s="87" t="n">
        <f aca="false">(BL30*G30-sib_pass)*(1-sib_civ)*(1-sib_fuel-BM30*sib_strike)-AU30</f>
        <v>9.52076621004566</v>
      </c>
      <c r="BS30" s="87" t="n">
        <f aca="false">AM30/(sib_net1*(1+sib_decup*BB30))</f>
        <v>0.288435933621677</v>
      </c>
      <c r="BT30" s="87" t="n">
        <f aca="false">AN30/(sib_net2*(1+sib_decup*BB30))</f>
        <v>0.291735478143381</v>
      </c>
      <c r="BU30" s="87" t="n">
        <f aca="false">AO30/(sib_net3a*(1+sib_decup*BB30))</f>
        <v>0.222185749133151</v>
      </c>
      <c r="BV30" s="87" t="n">
        <f aca="false">AP30/(sib_net3b*(1+sib_decup*BB30))</f>
        <v>0.391429747399919</v>
      </c>
      <c r="BW30" s="87" t="n">
        <f aca="false">AQ30/(sib_net4*(1+sib_decup*BB30))</f>
        <v>0.309881883358269</v>
      </c>
      <c r="BX30" s="84" t="n">
        <f aca="false">BS30/BN30</f>
        <v>0.0424261200240148</v>
      </c>
      <c r="BY30" s="84" t="n">
        <f aca="false">BT30/BO30</f>
        <v>0.0494722984185301</v>
      </c>
      <c r="BZ30" s="84" t="n">
        <f aca="false">BU30/BP30</f>
        <v>0.0325978360640468</v>
      </c>
      <c r="CA30" s="84" t="n">
        <f aca="false">BV30/BQ30</f>
        <v>0.0411132611351079</v>
      </c>
      <c r="CB30" s="84" t="n">
        <f aca="false">BW30/BR30</f>
        <v>0.0325479983986271</v>
      </c>
      <c r="CC30" s="84" t="n">
        <f aca="false">MAX(BX30:CB30)</f>
        <v>0.0494722984185301</v>
      </c>
      <c r="CD30" s="1" t="str">
        <f aca="false">CHOOSE(MATCH(CC30,BX30:CB30,0),"Vladivostok-Harbin","Harbin-Manzhouli","Manzhouli-Kitaisky (branch)","Kitaisky-Irkutsk","Irkutsk-Ob")</f>
        <v>Harbin-Manzhouli</v>
      </c>
      <c r="CE30" s="87" t="n">
        <f aca="false">MIN(BN30-BS30,BO30-BT30,BP30-BU30,BQ30-BV30,BR30-BW30)</f>
        <v>5.60521064057808</v>
      </c>
      <c r="CF30" s="88"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f>
        <v>55544.006798755</v>
      </c>
      <c r="CG30" s="81" t="n">
        <f aca="false">CF30/sib_kmloco*sib_helper</f>
        <v>433.937553115274</v>
      </c>
      <c r="CH30" s="84" t="n">
        <f aca="false">CG30/BA30</f>
        <v>0.221396710773099</v>
      </c>
      <c r="CI30" s="86" t="n">
        <v>0</v>
      </c>
      <c r="CJ30" s="86" t="n">
        <v>0</v>
      </c>
      <c r="CK30" s="86" t="n">
        <v>0</v>
      </c>
      <c r="CL30" s="88" t="n">
        <f aca="false">(sib_wag0+SUM(CI$6:CI30)+SUM(CJ$6:CJ30))*sib_wserv*(1-sib_civ)</f>
        <v>27370</v>
      </c>
      <c r="CM30" s="88"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f>
        <v>665.194832115677</v>
      </c>
      <c r="CN30" s="84" t="n">
        <f aca="false">CM30/CL30</f>
        <v>0.0243037936469009</v>
      </c>
      <c r="CO30" s="83" t="n">
        <v>0</v>
      </c>
      <c r="CP30" s="81" t="n">
        <f aca="false">MIN(CO30,AK30+AJ30)</f>
        <v>0</v>
      </c>
      <c r="CQ30" s="84" t="n">
        <f aca="false">(AK30+AJ30+Z30-CP30)*365/1000000+sib_civport</f>
        <v>0.89310355</v>
      </c>
      <c r="CR30" s="82" t="n">
        <v>3</v>
      </c>
      <c r="CS30" s="84" t="n">
        <f aca="false">CQ30/(CR30*IF(OR(RIGHT(A30,2)="Q1",C30=365),sib_portwin,1))</f>
        <v>0.35023668627451</v>
      </c>
      <c r="CT30" s="87" t="n">
        <f aca="false">(AK30+AJ30+Z30-CP30)*sib_pacship*365/(sib_dwt*0.9*sib_voy)</f>
        <v>1.16711002849003</v>
      </c>
      <c r="CU30" s="84" t="n">
        <f aca="false">CT30/sib_ships</f>
        <v>0.0291777507122507</v>
      </c>
      <c r="CV30" s="88" t="n">
        <f aca="false">CV29+(AB30+Z30)*C30+AA30</f>
        <v>97280.0000000001</v>
      </c>
      <c r="CW30" s="87" t="n">
        <f aca="false">IF(C30=365,sib_surge/sib_mtrain/sib_surge_d,0)</f>
        <v>1.85185185185185</v>
      </c>
      <c r="CX30" s="81" t="n">
        <f aca="false">(CC30&gt;sib_util_max)+(CH30&gt;1)+(CN30&gt;1)+(CS30&gt;sib_util_max)+(CU30&gt;1)+(CV30&lt;0)+(CW30&gt;0)*(CE30&lt;CW30)</f>
        <v>0</v>
      </c>
      <c r="CY30" s="1" t="str">
        <f aca="false">IF(CX30=0,"OK","Check")</f>
        <v>OK</v>
      </c>
      <c r="CZ30" s="83" t="n">
        <v>0</v>
      </c>
      <c r="DA30" s="82" t="n">
        <v>2</v>
      </c>
      <c r="DB30" s="82" t="n">
        <v>2</v>
      </c>
      <c r="DC30" s="84" t="n">
        <f aca="false">INDEX(Paths!$B$6:$B$92,MATCH(B30,Paths!$A$6:$A$92,0))*sib_cost</f>
        <v>1.6</v>
      </c>
      <c r="DD30" s="87" t="n">
        <f aca="false">L30*sib_c_pac/1000*C30/365*DC30</f>
        <v>12.48</v>
      </c>
      <c r="DE30" s="87" t="n">
        <f aca="false">K30*sib_c_cz/1000*C30/365*DC30</f>
        <v>0</v>
      </c>
      <c r="DF30" s="87" t="n">
        <f aca="false">J30*sib_c_sib/1000*C30/365*DC30</f>
        <v>12.8</v>
      </c>
      <c r="DG30" s="87" t="n">
        <f aca="false">((MAX(0,T30-CP30)+V30+AB30+Z30+AA30/C30)*sib_pst_w+Q30*sib_loc_kg*sib_pst_e)*C30*sib_c_store/1000000*DC30</f>
        <v>25.5805578</v>
      </c>
      <c r="DH30" s="87" t="n">
        <f aca="false">((AW30*sib_c_loco+CJ30*sib_c_wag+MAX(0,AZ30-AZ29)*sib_loco0*sib_c_rep+CZ30*sib_c_arm)/1000000+DA30)*DC30</f>
        <v>3.2</v>
      </c>
      <c r="DI30" s="87" t="n">
        <f aca="false">2*(sib_L1*(BS30+AT30)+sib_L2*(BT30+AT30)+sib_L3a*(BU30+AU30)+sib_L3b*(BV30+AU30)+sib_L4*(BW30+AU30))*C30*sib_c_tkm*sib_prail/1000000*DC30</f>
        <v>1.94304497511585</v>
      </c>
      <c r="DJ30" s="87" t="n">
        <f aca="false">CT30*sib_c_ship*C30/365*DC30</f>
        <v>0.840319220512821</v>
      </c>
      <c r="DK30" s="87" t="n">
        <f aca="false">DB30*DC30</f>
        <v>3.2</v>
      </c>
      <c r="DL30" s="87" t="n">
        <f aca="false">AA30*sib_c_kara/1000000*DC30</f>
        <v>0.72</v>
      </c>
      <c r="DM30" s="87" t="n">
        <f aca="false">(AC30*sib_c_ref/1000*C30/365+AH30*C30*sib_c_grain/1000000)*DC30</f>
        <v>1.32046366</v>
      </c>
      <c r="DN30" s="87" t="n">
        <f aca="false">Z30*C30*sib_c_amur/1000000*DC30</f>
        <v>0.576</v>
      </c>
      <c r="DO30" s="87" t="n">
        <f aca="false">sib_fed*sib_c_fed/1000000*C30/365*DC30</f>
        <v>2.4</v>
      </c>
      <c r="DP30" s="87" t="n">
        <f aca="false">SUM(DD30:DO30)</f>
        <v>65.0603856556287</v>
      </c>
    </row>
    <row r="31" customFormat="false" ht="13.8" hidden="false" customHeight="false" outlineLevel="0" collapsed="false">
      <c r="A31" s="53" t="s">
        <v>1808</v>
      </c>
      <c r="B31" s="81" t="n">
        <v>1930</v>
      </c>
      <c r="C31" s="81" t="n">
        <v>365</v>
      </c>
      <c r="D31" s="1" t="s">
        <v>1801</v>
      </c>
      <c r="E31" s="82" t="n">
        <v>0.3</v>
      </c>
      <c r="F31" s="83" t="n">
        <v>1</v>
      </c>
      <c r="G31" s="84" t="n">
        <f aca="false">1-E31*IF(F31=1,sib_winter,1)</f>
        <v>0.7</v>
      </c>
      <c r="H31" s="83" t="n">
        <v>40</v>
      </c>
      <c r="I31" s="83" t="n">
        <v>15</v>
      </c>
      <c r="J31" s="83" t="n">
        <v>80</v>
      </c>
      <c r="K31" s="83" t="n">
        <v>0</v>
      </c>
      <c r="L31" s="83" t="n">
        <v>6</v>
      </c>
      <c r="M31" s="81" t="n">
        <f aca="false">SUM(H31:L31)</f>
        <v>141</v>
      </c>
      <c r="N31" s="82" t="n">
        <v>0.35</v>
      </c>
      <c r="O31" s="82" t="n">
        <v>0.25</v>
      </c>
      <c r="P31" s="81" t="n">
        <f aca="false">H31*N31+I31*O31+J31*sib_sw+K31+L31*sib_pw</f>
        <v>98.85</v>
      </c>
      <c r="Q31" s="81" t="n">
        <f aca="false">M31-P31</f>
        <v>42.15</v>
      </c>
      <c r="R31" s="82" t="n">
        <v>0.4</v>
      </c>
      <c r="S31" s="85" t="n">
        <v>2</v>
      </c>
      <c r="T31" s="81" t="n">
        <f aca="false">P31*(R31*S31*sib_ammo+(1-R31)*sib_loc_kg)</f>
        <v>168.045</v>
      </c>
      <c r="U31" s="81" t="n">
        <f aca="false">H31*N31*sib_jp_kg</f>
        <v>12.6</v>
      </c>
      <c r="V31" s="83" t="n">
        <v>30</v>
      </c>
      <c r="W31" s="83" t="n">
        <v>40</v>
      </c>
      <c r="X31" s="83" t="n">
        <v>0</v>
      </c>
      <c r="Y31" s="83" t="n">
        <v>82.1917808219178</v>
      </c>
      <c r="Z31" s="81" t="n">
        <f aca="false">Y31*sib_amur</f>
        <v>82.1917808219178</v>
      </c>
      <c r="AA31" s="86" t="n">
        <v>30000</v>
      </c>
      <c r="AB31" s="81" t="n">
        <f aca="false">-(AA31+Z31*C31)/C31</f>
        <v>-164.383561643836</v>
      </c>
      <c r="AC31" s="83" t="n">
        <v>20</v>
      </c>
      <c r="AD31" s="82" t="n">
        <v>1.2</v>
      </c>
      <c r="AE31" s="81" t="n">
        <f aca="false">(J31*sib_sw+K31+L31*sib_pw)*sib_bread+P31*sib_horses*sib_oats+AC31*sib_relief_kg</f>
        <v>194.19625</v>
      </c>
      <c r="AF31" s="81" t="n">
        <f aca="false">sib_surplus*AD31*sib_harvest*1000000/365*sib_callmax</f>
        <v>986.301369863014</v>
      </c>
      <c r="AG31" s="81" t="n">
        <f aca="false">MAX(0,AE31-AF31)</f>
        <v>0</v>
      </c>
      <c r="AH31" s="81" t="n">
        <f aca="false">AE31-AG31</f>
        <v>194.19625</v>
      </c>
      <c r="AI31" s="81" t="n">
        <f aca="false">I31*O31*sib_cn_kg</f>
        <v>3</v>
      </c>
      <c r="AJ31" s="81" t="n">
        <f aca="false">Q31*sib_loc_kg+H31*(1-N31)*sib_jp_kg</f>
        <v>86.625</v>
      </c>
      <c r="AK31" s="81" t="n">
        <f aca="false">T31+U31+V31+W31+X31+AB31</f>
        <v>86.2614383561644</v>
      </c>
      <c r="AL31" s="81" t="n">
        <f aca="false">AI31+AG31</f>
        <v>3</v>
      </c>
      <c r="AM31" s="81" t="n">
        <f aca="false">AK31+AJ31</f>
        <v>172.886438356164</v>
      </c>
      <c r="AN31" s="81" t="n">
        <f aca="false">AK31+AL31+sib_e2*AJ31</f>
        <v>141.236438356164</v>
      </c>
      <c r="AO31" s="81" t="n">
        <f aca="false">AK31+AL31+sib_e3*AJ31</f>
        <v>115.248938356164</v>
      </c>
      <c r="AP31" s="81" t="n">
        <f aca="false">AK31+AL31+Z31</f>
        <v>171.453219178082</v>
      </c>
      <c r="AQ31" s="81" t="n">
        <f aca="false">AK31+AL31+Z31</f>
        <v>171.453219178082</v>
      </c>
      <c r="AR31" s="81" t="n">
        <f aca="false">H31+I31+L31</f>
        <v>61</v>
      </c>
      <c r="AS31" s="81" t="n">
        <f aca="false">H31*N31+I31*O31+L31*sib_pw</f>
        <v>22.85</v>
      </c>
      <c r="AT31" s="87" t="n">
        <f aca="false">(MAX(0,AR31-AR30)+AR31*sib_rot*C31/365)*1000/sib_mtrain/C31</f>
        <v>0.0278538812785388</v>
      </c>
      <c r="AU31" s="87" t="n">
        <f aca="false">(MAX(0,AS31-AS30)+AS31*sib_rot*C31/365)*1000/sib_mtrain/C31</f>
        <v>0.0104337899543379</v>
      </c>
      <c r="AV31" s="83" t="n">
        <v>0</v>
      </c>
      <c r="AW31" s="83" t="n">
        <v>0</v>
      </c>
      <c r="AX31" s="81" t="n">
        <f aca="false">(SUM(AV$6:AV31)+SUM(AW$6:AW31))*0.9</f>
        <v>855</v>
      </c>
      <c r="AY31" s="82" t="n">
        <v>0.85</v>
      </c>
      <c r="AZ31" s="84" t="n">
        <f aca="false">1-(1-AY31)*sib_sick</f>
        <v>0.85</v>
      </c>
      <c r="BA31" s="81" t="n">
        <f aca="false">sib_loco0*AZ31+AX31</f>
        <v>1960</v>
      </c>
      <c r="BB31" s="84" t="n">
        <f aca="false">AX31/BA31</f>
        <v>0.436224489795918</v>
      </c>
      <c r="BC31" s="83" t="n">
        <v>18</v>
      </c>
      <c r="BD31" s="83" t="n">
        <v>16</v>
      </c>
      <c r="BE31" s="83" t="n">
        <v>18</v>
      </c>
      <c r="BF31" s="83" t="n">
        <v>24</v>
      </c>
      <c r="BG31" s="83" t="n">
        <v>24</v>
      </c>
      <c r="BH31" s="87" t="n">
        <f aca="false">BC$6+(BC31-BC$6)*sib_works</f>
        <v>18</v>
      </c>
      <c r="BI31" s="87" t="n">
        <f aca="false">BD$6+(BD31-BD$6)*sib_works</f>
        <v>16</v>
      </c>
      <c r="BJ31" s="87" t="n">
        <f aca="false">BE$6+(BE31-BE$6)*sib_works</f>
        <v>18</v>
      </c>
      <c r="BK31" s="87" t="n">
        <f aca="false">BF$6+(BF31-BF$6)*sib_works</f>
        <v>24</v>
      </c>
      <c r="BL31" s="87" t="n">
        <f aca="false">BG$6+(BG31-BG$6)*sib_works</f>
        <v>24</v>
      </c>
      <c r="BM31" s="83" t="n">
        <v>0</v>
      </c>
      <c r="BN31" s="87" t="n">
        <f aca="false">(BH31*G31-sib_pass)*(1-sib_civ)*(1-sib_fuel-BM31*sib_strike)-AT31</f>
        <v>6.79854611872146</v>
      </c>
      <c r="BO31" s="87" t="n">
        <f aca="false">(BI31*G31-sib_pass)*(1-sib_civ)*(1-sib_fuel-BM31*sib_strike)-AT31</f>
        <v>5.89694611872146</v>
      </c>
      <c r="BP31" s="87" t="n">
        <f aca="false">(BJ31*G31-sib_pass)*(1-sib_civ)*(1-sib_fuel-BM31*sib_strike)-AU31</f>
        <v>6.81596621004566</v>
      </c>
      <c r="BQ31" s="87" t="n">
        <f aca="false">(BK31*G31-sib_pass)*(1-sib_civ)*(1-sib_fuel-BM31*sib_strike)-AU31</f>
        <v>9.52076621004566</v>
      </c>
      <c r="BR31" s="87" t="n">
        <f aca="false">(BL31*G31-sib_pass)*(1-sib_civ)*(1-sib_fuel-BM31*sib_strike)-AU31</f>
        <v>9.52076621004566</v>
      </c>
      <c r="BS31" s="87" t="n">
        <f aca="false">AM31/(sib_net1*(1+sib_decup*BB31))</f>
        <v>0.288435933621677</v>
      </c>
      <c r="BT31" s="87" t="n">
        <f aca="false">AN31/(sib_net2*(1+sib_decup*BB31))</f>
        <v>0.291735478143381</v>
      </c>
      <c r="BU31" s="87" t="n">
        <f aca="false">AO31/(sib_net3a*(1+sib_decup*BB31))</f>
        <v>0.222185749133151</v>
      </c>
      <c r="BV31" s="87" t="n">
        <f aca="false">AP31/(sib_net3b*(1+sib_decup*BB31))</f>
        <v>0.391429747399919</v>
      </c>
      <c r="BW31" s="87" t="n">
        <f aca="false">AQ31/(sib_net4*(1+sib_decup*BB31))</f>
        <v>0.309881883358269</v>
      </c>
      <c r="BX31" s="84" t="n">
        <f aca="false">BS31/BN31</f>
        <v>0.0424261200240148</v>
      </c>
      <c r="BY31" s="84" t="n">
        <f aca="false">BT31/BO31</f>
        <v>0.0494722984185301</v>
      </c>
      <c r="BZ31" s="84" t="n">
        <f aca="false">BU31/BP31</f>
        <v>0.0325978360640468</v>
      </c>
      <c r="CA31" s="84" t="n">
        <f aca="false">BV31/BQ31</f>
        <v>0.0411132611351079</v>
      </c>
      <c r="CB31" s="84" t="n">
        <f aca="false">BW31/BR31</f>
        <v>0.0325479983986271</v>
      </c>
      <c r="CC31" s="84" t="n">
        <f aca="false">MAX(BX31:CB31)</f>
        <v>0.0494722984185301</v>
      </c>
      <c r="CD31" s="1" t="str">
        <f aca="false">CHOOSE(MATCH(CC31,BX31:CB31,0),"Vladivostok-Harbin","Harbin-Manzhouli","Manzhouli-Kitaisky (branch)","Kitaisky-Irkutsk","Irkutsk-Ob")</f>
        <v>Harbin-Manzhouli</v>
      </c>
      <c r="CE31" s="87" t="n">
        <f aca="false">MIN(BN31-BS31,BO31-BT31,BP31-BU31,BQ31-BV31,BR31-BW31)</f>
        <v>5.60521064057808</v>
      </c>
      <c r="CF31" s="88"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f>
        <v>55544.006798755</v>
      </c>
      <c r="CG31" s="81" t="n">
        <f aca="false">CF31/sib_kmloco*sib_helper</f>
        <v>433.937553115274</v>
      </c>
      <c r="CH31" s="84" t="n">
        <f aca="false">CG31/BA31</f>
        <v>0.221396710773099</v>
      </c>
      <c r="CI31" s="86" t="n">
        <v>0</v>
      </c>
      <c r="CJ31" s="86" t="n">
        <v>0</v>
      </c>
      <c r="CK31" s="86" t="n">
        <v>0</v>
      </c>
      <c r="CL31" s="88" t="n">
        <f aca="false">(sib_wag0+SUM(CI$6:CI31)+SUM(CJ$6:CJ31))*sib_wserv*(1-sib_civ)</f>
        <v>27370</v>
      </c>
      <c r="CM31" s="88"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f>
        <v>665.194832115677</v>
      </c>
      <c r="CN31" s="84" t="n">
        <f aca="false">CM31/CL31</f>
        <v>0.0243037936469009</v>
      </c>
      <c r="CO31" s="83" t="n">
        <v>0</v>
      </c>
      <c r="CP31" s="81" t="n">
        <f aca="false">MIN(CO31,AK31+AJ31)</f>
        <v>0</v>
      </c>
      <c r="CQ31" s="84" t="n">
        <f aca="false">(AK31+AJ31+Z31-CP31)*365/1000000+sib_civport</f>
        <v>0.89310355</v>
      </c>
      <c r="CR31" s="82" t="n">
        <v>3</v>
      </c>
      <c r="CS31" s="84" t="n">
        <f aca="false">CQ31/(CR31*IF(OR(RIGHT(A31,2)="Q1",C31=365),sib_portwin,1))</f>
        <v>0.35023668627451</v>
      </c>
      <c r="CT31" s="87" t="n">
        <f aca="false">(AK31+AJ31+Z31-CP31)*sib_pacship*365/(sib_dwt*0.9*sib_voy)</f>
        <v>1.16711002849003</v>
      </c>
      <c r="CU31" s="84" t="n">
        <f aca="false">CT31/sib_ships</f>
        <v>0.0291777507122507</v>
      </c>
      <c r="CV31" s="88" t="n">
        <f aca="false">CV30+(AB31+Z31)*C31+AA31</f>
        <v>97280.0000000001</v>
      </c>
      <c r="CW31" s="87" t="n">
        <f aca="false">IF(C31=365,sib_surge/sib_mtrain/sib_surge_d,0)</f>
        <v>1.85185185185185</v>
      </c>
      <c r="CX31" s="81" t="n">
        <f aca="false">(CC31&gt;sib_util_max)+(CH31&gt;1)+(CN31&gt;1)+(CS31&gt;sib_util_max)+(CU31&gt;1)+(CV31&lt;0)+(CW31&gt;0)*(CE31&lt;CW31)</f>
        <v>0</v>
      </c>
      <c r="CY31" s="1" t="str">
        <f aca="false">IF(CX31=0,"OK","Check")</f>
        <v>OK</v>
      </c>
      <c r="CZ31" s="83" t="n">
        <v>0</v>
      </c>
      <c r="DA31" s="82" t="n">
        <v>2</v>
      </c>
      <c r="DB31" s="82" t="n">
        <v>2</v>
      </c>
      <c r="DC31" s="84" t="n">
        <f aca="false">INDEX(Paths!$B$6:$B$92,MATCH(B31,Paths!$A$6:$A$92,0))*sib_cost</f>
        <v>1.53</v>
      </c>
      <c r="DD31" s="87" t="n">
        <f aca="false">L31*sib_c_pac/1000*C31/365*DC31</f>
        <v>11.934</v>
      </c>
      <c r="DE31" s="87" t="n">
        <f aca="false">K31*sib_c_cz/1000*C31/365*DC31</f>
        <v>0</v>
      </c>
      <c r="DF31" s="87" t="n">
        <f aca="false">J31*sib_c_sib/1000*C31/365*DC31</f>
        <v>12.24</v>
      </c>
      <c r="DG31" s="87" t="n">
        <f aca="false">((MAX(0,T31-CP31)+V31+AB31+Z31+AA31/C31)*sib_pst_w+Q31*sib_loc_kg*sib_pst_e)*C31*sib_c_store/1000000*DC31</f>
        <v>24.46140839625</v>
      </c>
      <c r="DH31" s="87" t="n">
        <f aca="false">((AW31*sib_c_loco+CJ31*sib_c_wag+MAX(0,AZ31-AZ30)*sib_loco0*sib_c_rep+CZ31*sib_c_arm)/1000000+DA31)*DC31</f>
        <v>3.06</v>
      </c>
      <c r="DI31" s="87" t="n">
        <f aca="false">2*(sib_L1*(BS31+AT31)+sib_L2*(BT31+AT31)+sib_L3a*(BU31+AU31)+sib_L3b*(BV31+AU31)+sib_L4*(BW31+AU31))*C31*sib_c_tkm*sib_prail/1000000*DC31</f>
        <v>1.85803675745453</v>
      </c>
      <c r="DJ31" s="87" t="n">
        <f aca="false">CT31*sib_c_ship*C31/365*DC31</f>
        <v>0.803555254615385</v>
      </c>
      <c r="DK31" s="87" t="n">
        <f aca="false">DB31*DC31</f>
        <v>3.06</v>
      </c>
      <c r="DL31" s="87" t="n">
        <f aca="false">AA31*sib_c_kara/1000000*DC31</f>
        <v>0.6885</v>
      </c>
      <c r="DM31" s="87" t="n">
        <f aca="false">(AC31*sib_c_ref/1000*C31/365+AH31*C31*sib_c_grain/1000000)*DC31</f>
        <v>1.262693374875</v>
      </c>
      <c r="DN31" s="87" t="n">
        <f aca="false">Z31*C31*sib_c_amur/1000000*DC31</f>
        <v>0.5508</v>
      </c>
      <c r="DO31" s="87" t="n">
        <f aca="false">sib_fed*sib_c_fed/1000000*C31/365*DC31</f>
        <v>2.295</v>
      </c>
      <c r="DP31" s="87" t="n">
        <f aca="false">SUM(DD31:DO31)</f>
        <v>62.2139937831949</v>
      </c>
    </row>
    <row r="32" customFormat="false" ht="13.8" hidden="false" customHeight="false" outlineLevel="0" collapsed="false">
      <c r="A32" s="53" t="s">
        <v>1809</v>
      </c>
      <c r="B32" s="81" t="n">
        <v>1931</v>
      </c>
      <c r="C32" s="81" t="n">
        <v>365</v>
      </c>
      <c r="D32" s="1" t="s">
        <v>1801</v>
      </c>
      <c r="E32" s="82" t="n">
        <v>0.3</v>
      </c>
      <c r="F32" s="83" t="n">
        <v>1</v>
      </c>
      <c r="G32" s="84" t="n">
        <f aca="false">1-E32*IF(F32=1,sib_winter,1)</f>
        <v>0.7</v>
      </c>
      <c r="H32" s="83" t="n">
        <v>40</v>
      </c>
      <c r="I32" s="83" t="n">
        <v>15</v>
      </c>
      <c r="J32" s="83" t="n">
        <v>80</v>
      </c>
      <c r="K32" s="83" t="n">
        <v>0</v>
      </c>
      <c r="L32" s="83" t="n">
        <v>6</v>
      </c>
      <c r="M32" s="81" t="n">
        <f aca="false">SUM(H32:L32)</f>
        <v>141</v>
      </c>
      <c r="N32" s="82" t="n">
        <v>0.35</v>
      </c>
      <c r="O32" s="82" t="n">
        <v>0.25</v>
      </c>
      <c r="P32" s="81" t="n">
        <f aca="false">H32*N32+I32*O32+J32*sib_sw+K32+L32*sib_pw</f>
        <v>98.85</v>
      </c>
      <c r="Q32" s="81" t="n">
        <f aca="false">M32-P32</f>
        <v>42.15</v>
      </c>
      <c r="R32" s="82" t="n">
        <v>0.4</v>
      </c>
      <c r="S32" s="85" t="n">
        <v>2</v>
      </c>
      <c r="T32" s="81" t="n">
        <f aca="false">P32*(R32*S32*sib_ammo+(1-R32)*sib_loc_kg)</f>
        <v>168.045</v>
      </c>
      <c r="U32" s="81" t="n">
        <f aca="false">H32*N32*sib_jp_kg</f>
        <v>12.6</v>
      </c>
      <c r="V32" s="83" t="n">
        <v>30</v>
      </c>
      <c r="W32" s="83" t="n">
        <v>40</v>
      </c>
      <c r="X32" s="83" t="n">
        <v>0</v>
      </c>
      <c r="Y32" s="83" t="n">
        <v>82.1917808219178</v>
      </c>
      <c r="Z32" s="81" t="n">
        <f aca="false">Y32*sib_amur</f>
        <v>82.1917808219178</v>
      </c>
      <c r="AA32" s="86" t="n">
        <v>30000</v>
      </c>
      <c r="AB32" s="81" t="n">
        <f aca="false">-(AA32+Z32*C32)/C32</f>
        <v>-164.383561643836</v>
      </c>
      <c r="AC32" s="83" t="n">
        <v>20</v>
      </c>
      <c r="AD32" s="82" t="n">
        <v>1.2</v>
      </c>
      <c r="AE32" s="81" t="n">
        <f aca="false">(J32*sib_sw+K32+L32*sib_pw)*sib_bread+P32*sib_horses*sib_oats+AC32*sib_relief_kg</f>
        <v>194.19625</v>
      </c>
      <c r="AF32" s="81" t="n">
        <f aca="false">sib_surplus*AD32*sib_harvest*1000000/365*sib_callmax</f>
        <v>986.301369863014</v>
      </c>
      <c r="AG32" s="81" t="n">
        <f aca="false">MAX(0,AE32-AF32)</f>
        <v>0</v>
      </c>
      <c r="AH32" s="81" t="n">
        <f aca="false">AE32-AG32</f>
        <v>194.19625</v>
      </c>
      <c r="AI32" s="81" t="n">
        <f aca="false">I32*O32*sib_cn_kg</f>
        <v>3</v>
      </c>
      <c r="AJ32" s="81" t="n">
        <f aca="false">Q32*sib_loc_kg+H32*(1-N32)*sib_jp_kg</f>
        <v>86.625</v>
      </c>
      <c r="AK32" s="81" t="n">
        <f aca="false">T32+U32+V32+W32+X32+AB32</f>
        <v>86.2614383561644</v>
      </c>
      <c r="AL32" s="81" t="n">
        <f aca="false">AI32+AG32</f>
        <v>3</v>
      </c>
      <c r="AM32" s="81" t="n">
        <f aca="false">AK32+AJ32</f>
        <v>172.886438356164</v>
      </c>
      <c r="AN32" s="81" t="n">
        <f aca="false">AK32+AL32+sib_e2*AJ32</f>
        <v>141.236438356164</v>
      </c>
      <c r="AO32" s="81" t="n">
        <f aca="false">AK32+AL32+sib_e3*AJ32</f>
        <v>115.248938356164</v>
      </c>
      <c r="AP32" s="81" t="n">
        <f aca="false">AK32+AL32+Z32</f>
        <v>171.453219178082</v>
      </c>
      <c r="AQ32" s="81" t="n">
        <f aca="false">AK32+AL32+Z32</f>
        <v>171.453219178082</v>
      </c>
      <c r="AR32" s="81" t="n">
        <f aca="false">H32+I32+L32</f>
        <v>61</v>
      </c>
      <c r="AS32" s="81" t="n">
        <f aca="false">H32*N32+I32*O32+L32*sib_pw</f>
        <v>22.85</v>
      </c>
      <c r="AT32" s="87" t="n">
        <f aca="false">(MAX(0,AR32-AR31)+AR32*sib_rot*C32/365)*1000/sib_mtrain/C32</f>
        <v>0.0278538812785388</v>
      </c>
      <c r="AU32" s="87" t="n">
        <f aca="false">(MAX(0,AS32-AS31)+AS32*sib_rot*C32/365)*1000/sib_mtrain/C32</f>
        <v>0.0104337899543379</v>
      </c>
      <c r="AV32" s="83" t="n">
        <v>0</v>
      </c>
      <c r="AW32" s="83" t="n">
        <v>0</v>
      </c>
      <c r="AX32" s="81" t="n">
        <f aca="false">(SUM(AV$6:AV32)+SUM(AW$6:AW32))*0.9</f>
        <v>855</v>
      </c>
      <c r="AY32" s="82" t="n">
        <v>0.85</v>
      </c>
      <c r="AZ32" s="84" t="n">
        <f aca="false">1-(1-AY32)*sib_sick</f>
        <v>0.85</v>
      </c>
      <c r="BA32" s="81" t="n">
        <f aca="false">sib_loco0*AZ32+AX32</f>
        <v>1960</v>
      </c>
      <c r="BB32" s="84" t="n">
        <f aca="false">AX32/BA32</f>
        <v>0.436224489795918</v>
      </c>
      <c r="BC32" s="83" t="n">
        <v>18</v>
      </c>
      <c r="BD32" s="83" t="n">
        <v>16</v>
      </c>
      <c r="BE32" s="83" t="n">
        <v>18</v>
      </c>
      <c r="BF32" s="83" t="n">
        <v>24</v>
      </c>
      <c r="BG32" s="83" t="n">
        <v>24</v>
      </c>
      <c r="BH32" s="87" t="n">
        <f aca="false">BC$6+(BC32-BC$6)*sib_works</f>
        <v>18</v>
      </c>
      <c r="BI32" s="87" t="n">
        <f aca="false">BD$6+(BD32-BD$6)*sib_works</f>
        <v>16</v>
      </c>
      <c r="BJ32" s="87" t="n">
        <f aca="false">BE$6+(BE32-BE$6)*sib_works</f>
        <v>18</v>
      </c>
      <c r="BK32" s="87" t="n">
        <f aca="false">BF$6+(BF32-BF$6)*sib_works</f>
        <v>24</v>
      </c>
      <c r="BL32" s="87" t="n">
        <f aca="false">BG$6+(BG32-BG$6)*sib_works</f>
        <v>24</v>
      </c>
      <c r="BM32" s="83" t="n">
        <v>0</v>
      </c>
      <c r="BN32" s="87" t="n">
        <f aca="false">(BH32*G32-sib_pass)*(1-sib_civ)*(1-sib_fuel-BM32*sib_strike)-AT32</f>
        <v>6.79854611872146</v>
      </c>
      <c r="BO32" s="87" t="n">
        <f aca="false">(BI32*G32-sib_pass)*(1-sib_civ)*(1-sib_fuel-BM32*sib_strike)-AT32</f>
        <v>5.89694611872146</v>
      </c>
      <c r="BP32" s="87" t="n">
        <f aca="false">(BJ32*G32-sib_pass)*(1-sib_civ)*(1-sib_fuel-BM32*sib_strike)-AU32</f>
        <v>6.81596621004566</v>
      </c>
      <c r="BQ32" s="87" t="n">
        <f aca="false">(BK32*G32-sib_pass)*(1-sib_civ)*(1-sib_fuel-BM32*sib_strike)-AU32</f>
        <v>9.52076621004566</v>
      </c>
      <c r="BR32" s="87" t="n">
        <f aca="false">(BL32*G32-sib_pass)*(1-sib_civ)*(1-sib_fuel-BM32*sib_strike)-AU32</f>
        <v>9.52076621004566</v>
      </c>
      <c r="BS32" s="87" t="n">
        <f aca="false">AM32/(sib_net1*(1+sib_decup*BB32))</f>
        <v>0.288435933621677</v>
      </c>
      <c r="BT32" s="87" t="n">
        <f aca="false">AN32/(sib_net2*(1+sib_decup*BB32))</f>
        <v>0.291735478143381</v>
      </c>
      <c r="BU32" s="87" t="n">
        <f aca="false">AO32/(sib_net3a*(1+sib_decup*BB32))</f>
        <v>0.222185749133151</v>
      </c>
      <c r="BV32" s="87" t="n">
        <f aca="false">AP32/(sib_net3b*(1+sib_decup*BB32))</f>
        <v>0.391429747399919</v>
      </c>
      <c r="BW32" s="87" t="n">
        <f aca="false">AQ32/(sib_net4*(1+sib_decup*BB32))</f>
        <v>0.309881883358269</v>
      </c>
      <c r="BX32" s="84" t="n">
        <f aca="false">BS32/BN32</f>
        <v>0.0424261200240148</v>
      </c>
      <c r="BY32" s="84" t="n">
        <f aca="false">BT32/BO32</f>
        <v>0.0494722984185301</v>
      </c>
      <c r="BZ32" s="84" t="n">
        <f aca="false">BU32/BP32</f>
        <v>0.0325978360640468</v>
      </c>
      <c r="CA32" s="84" t="n">
        <f aca="false">BV32/BQ32</f>
        <v>0.0411132611351079</v>
      </c>
      <c r="CB32" s="84" t="n">
        <f aca="false">BW32/BR32</f>
        <v>0.0325479983986271</v>
      </c>
      <c r="CC32" s="84" t="n">
        <f aca="false">MAX(BX32:CB32)</f>
        <v>0.0494722984185301</v>
      </c>
      <c r="CD32" s="1" t="str">
        <f aca="false">CHOOSE(MATCH(CC32,BX32:CB32,0),"Vladivostok-Harbin","Harbin-Manzhouli","Manzhouli-Kitaisky (branch)","Kitaisky-Irkutsk","Irkutsk-Ob")</f>
        <v>Harbin-Manzhouli</v>
      </c>
      <c r="CE32" s="87" t="n">
        <f aca="false">MIN(BN32-BS32,BO32-BT32,BP32-BU32,BQ32-BV32,BR32-BW32)</f>
        <v>5.60521064057808</v>
      </c>
      <c r="CF32" s="88"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f>
        <v>55544.006798755</v>
      </c>
      <c r="CG32" s="81" t="n">
        <f aca="false">CF32/sib_kmloco*sib_helper</f>
        <v>433.937553115274</v>
      </c>
      <c r="CH32" s="84" t="n">
        <f aca="false">CG32/BA32</f>
        <v>0.221396710773099</v>
      </c>
      <c r="CI32" s="86" t="n">
        <v>0</v>
      </c>
      <c r="CJ32" s="86" t="n">
        <v>0</v>
      </c>
      <c r="CK32" s="86" t="n">
        <v>0</v>
      </c>
      <c r="CL32" s="88" t="n">
        <f aca="false">(sib_wag0+SUM(CI$6:CI32)+SUM(CJ$6:CJ32))*sib_wserv*(1-sib_civ)</f>
        <v>27370</v>
      </c>
      <c r="CM32" s="88"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f>
        <v>665.194832115677</v>
      </c>
      <c r="CN32" s="84" t="n">
        <f aca="false">CM32/CL32</f>
        <v>0.0243037936469009</v>
      </c>
      <c r="CO32" s="83" t="n">
        <v>0</v>
      </c>
      <c r="CP32" s="81" t="n">
        <f aca="false">MIN(CO32,AK32+AJ32)</f>
        <v>0</v>
      </c>
      <c r="CQ32" s="84" t="n">
        <f aca="false">(AK32+AJ32+Z32-CP32)*365/1000000+sib_civport</f>
        <v>0.89310355</v>
      </c>
      <c r="CR32" s="82" t="n">
        <v>3</v>
      </c>
      <c r="CS32" s="84" t="n">
        <f aca="false">CQ32/(CR32*IF(OR(RIGHT(A32,2)="Q1",C32=365),sib_portwin,1))</f>
        <v>0.35023668627451</v>
      </c>
      <c r="CT32" s="87" t="n">
        <f aca="false">(AK32+AJ32+Z32-CP32)*sib_pacship*365/(sib_dwt*0.9*sib_voy)</f>
        <v>1.16711002849003</v>
      </c>
      <c r="CU32" s="84" t="n">
        <f aca="false">CT32/sib_ships</f>
        <v>0.0291777507122507</v>
      </c>
      <c r="CV32" s="88" t="n">
        <f aca="false">CV31+(AB32+Z32)*C32+AA32</f>
        <v>97280.0000000001</v>
      </c>
      <c r="CW32" s="87" t="n">
        <f aca="false">IF(C32=365,sib_surge/sib_mtrain/sib_surge_d,0)</f>
        <v>1.85185185185185</v>
      </c>
      <c r="CX32" s="81" t="n">
        <f aca="false">(CC32&gt;sib_util_max)+(CH32&gt;1)+(CN32&gt;1)+(CS32&gt;sib_util_max)+(CU32&gt;1)+(CV32&lt;0)+(CW32&gt;0)*(CE32&lt;CW32)</f>
        <v>0</v>
      </c>
      <c r="CY32" s="1" t="str">
        <f aca="false">IF(CX32=0,"OK","Check")</f>
        <v>OK</v>
      </c>
      <c r="CZ32" s="83" t="n">
        <v>0</v>
      </c>
      <c r="DA32" s="82" t="n">
        <v>2</v>
      </c>
      <c r="DB32" s="82" t="n">
        <v>2</v>
      </c>
      <c r="DC32" s="84" t="n">
        <f aca="false">INDEX(Paths!$B$6:$B$92,MATCH(B32,Paths!$A$6:$A$92,0))*sib_cost</f>
        <v>1.37</v>
      </c>
      <c r="DD32" s="87" t="n">
        <f aca="false">L32*sib_c_pac/1000*C32/365*DC32</f>
        <v>10.686</v>
      </c>
      <c r="DE32" s="87" t="n">
        <f aca="false">K32*sib_c_cz/1000*C32/365*DC32</f>
        <v>0</v>
      </c>
      <c r="DF32" s="87" t="n">
        <f aca="false">J32*sib_c_sib/1000*C32/365*DC32</f>
        <v>10.96</v>
      </c>
      <c r="DG32" s="87" t="n">
        <f aca="false">((MAX(0,T32-CP32)+V32+AB32+Z32+AA32/C32)*sib_pst_w+Q32*sib_loc_kg*sib_pst_e)*C32*sib_c_store/1000000*DC32</f>
        <v>21.90335261625</v>
      </c>
      <c r="DH32" s="87" t="n">
        <f aca="false">((AW32*sib_c_loco+CJ32*sib_c_wag+MAX(0,AZ32-AZ31)*sib_loco0*sib_c_rep+CZ32*sib_c_arm)/1000000+DA32)*DC32</f>
        <v>2.74</v>
      </c>
      <c r="DI32" s="87" t="n">
        <f aca="false">2*(sib_L1*(BS32+AT32)+sib_L2*(BT32+AT32)+sib_L3a*(BU32+AU32)+sib_L3b*(BV32+AU32)+sib_L4*(BW32+AU32))*C32*sib_c_tkm*sib_prail/1000000*DC32</f>
        <v>1.66373225994294</v>
      </c>
      <c r="DJ32" s="87" t="n">
        <f aca="false">CT32*sib_c_ship*C32/365*DC32</f>
        <v>0.719523332564103</v>
      </c>
      <c r="DK32" s="87" t="n">
        <f aca="false">DB32*DC32</f>
        <v>2.74</v>
      </c>
      <c r="DL32" s="87" t="n">
        <f aca="false">AA32*sib_c_kara/1000000*DC32</f>
        <v>0.6165</v>
      </c>
      <c r="DM32" s="87" t="n">
        <f aca="false">(AC32*sib_c_ref/1000*C32/365+AH32*C32*sib_c_grain/1000000)*DC32</f>
        <v>1.130647008875</v>
      </c>
      <c r="DN32" s="87" t="n">
        <f aca="false">Z32*C32*sib_c_amur/1000000*DC32</f>
        <v>0.4932</v>
      </c>
      <c r="DO32" s="87" t="n">
        <f aca="false">sib_fed*sib_c_fed/1000000*C32/365*DC32</f>
        <v>2.055</v>
      </c>
      <c r="DP32" s="87" t="n">
        <f aca="false">SUM(DD32:DO32)</f>
        <v>55.7079552176321</v>
      </c>
    </row>
    <row r="33" customFormat="false" ht="13.8" hidden="false" customHeight="false" outlineLevel="0" collapsed="false">
      <c r="A33" s="53" t="s">
        <v>1810</v>
      </c>
      <c r="B33" s="81" t="n">
        <v>1932</v>
      </c>
      <c r="C33" s="81" t="n">
        <v>365</v>
      </c>
      <c r="D33" s="1" t="s">
        <v>1801</v>
      </c>
      <c r="E33" s="82" t="n">
        <v>0.3</v>
      </c>
      <c r="F33" s="83" t="n">
        <v>1</v>
      </c>
      <c r="G33" s="84" t="n">
        <f aca="false">1-E33*IF(F33=1,sib_winter,1)</f>
        <v>0.7</v>
      </c>
      <c r="H33" s="83" t="n">
        <v>40</v>
      </c>
      <c r="I33" s="83" t="n">
        <v>15</v>
      </c>
      <c r="J33" s="83" t="n">
        <v>80</v>
      </c>
      <c r="K33" s="83" t="n">
        <v>0</v>
      </c>
      <c r="L33" s="83" t="n">
        <v>6</v>
      </c>
      <c r="M33" s="81" t="n">
        <f aca="false">SUM(H33:L33)</f>
        <v>141</v>
      </c>
      <c r="N33" s="82" t="n">
        <v>0.35</v>
      </c>
      <c r="O33" s="82" t="n">
        <v>0.25</v>
      </c>
      <c r="P33" s="81" t="n">
        <f aca="false">H33*N33+I33*O33+J33*sib_sw+K33+L33*sib_pw</f>
        <v>98.85</v>
      </c>
      <c r="Q33" s="81" t="n">
        <f aca="false">M33-P33</f>
        <v>42.15</v>
      </c>
      <c r="R33" s="82" t="n">
        <v>0.4</v>
      </c>
      <c r="S33" s="85" t="n">
        <v>2</v>
      </c>
      <c r="T33" s="81" t="n">
        <f aca="false">P33*(R33*S33*sib_ammo+(1-R33)*sib_loc_kg)</f>
        <v>168.045</v>
      </c>
      <c r="U33" s="81" t="n">
        <f aca="false">H33*N33*sib_jp_kg</f>
        <v>12.6</v>
      </c>
      <c r="V33" s="83" t="n">
        <v>30</v>
      </c>
      <c r="W33" s="83" t="n">
        <v>40</v>
      </c>
      <c r="X33" s="83" t="n">
        <v>0</v>
      </c>
      <c r="Y33" s="83" t="n">
        <v>82.1917808219178</v>
      </c>
      <c r="Z33" s="81" t="n">
        <f aca="false">Y33*sib_amur</f>
        <v>82.1917808219178</v>
      </c>
      <c r="AA33" s="86" t="n">
        <v>30000</v>
      </c>
      <c r="AB33" s="81" t="n">
        <f aca="false">-(AA33+Z33*C33)/C33</f>
        <v>-164.383561643836</v>
      </c>
      <c r="AC33" s="83" t="n">
        <v>20</v>
      </c>
      <c r="AD33" s="82" t="n">
        <v>1.2</v>
      </c>
      <c r="AE33" s="81" t="n">
        <f aca="false">(J33*sib_sw+K33+L33*sib_pw)*sib_bread+P33*sib_horses*sib_oats+AC33*sib_relief_kg</f>
        <v>194.19625</v>
      </c>
      <c r="AF33" s="81" t="n">
        <f aca="false">sib_surplus*AD33*sib_harvest*1000000/365*sib_callmax</f>
        <v>986.301369863014</v>
      </c>
      <c r="AG33" s="81" t="n">
        <f aca="false">MAX(0,AE33-AF33)</f>
        <v>0</v>
      </c>
      <c r="AH33" s="81" t="n">
        <f aca="false">AE33-AG33</f>
        <v>194.19625</v>
      </c>
      <c r="AI33" s="81" t="n">
        <f aca="false">I33*O33*sib_cn_kg</f>
        <v>3</v>
      </c>
      <c r="AJ33" s="81" t="n">
        <f aca="false">Q33*sib_loc_kg+H33*(1-N33)*sib_jp_kg</f>
        <v>86.625</v>
      </c>
      <c r="AK33" s="81" t="n">
        <f aca="false">T33+U33+V33+W33+X33+AB33</f>
        <v>86.2614383561644</v>
      </c>
      <c r="AL33" s="81" t="n">
        <f aca="false">AI33+AG33</f>
        <v>3</v>
      </c>
      <c r="AM33" s="81" t="n">
        <f aca="false">AK33+AJ33</f>
        <v>172.886438356164</v>
      </c>
      <c r="AN33" s="81" t="n">
        <f aca="false">AK33+AL33+sib_e2*AJ33</f>
        <v>141.236438356164</v>
      </c>
      <c r="AO33" s="81" t="n">
        <f aca="false">AK33+AL33+sib_e3*AJ33</f>
        <v>115.248938356164</v>
      </c>
      <c r="AP33" s="81" t="n">
        <f aca="false">AK33+AL33+Z33</f>
        <v>171.453219178082</v>
      </c>
      <c r="AQ33" s="81" t="n">
        <f aca="false">AK33+AL33+Z33</f>
        <v>171.453219178082</v>
      </c>
      <c r="AR33" s="81" t="n">
        <f aca="false">H33+I33+L33</f>
        <v>61</v>
      </c>
      <c r="AS33" s="81" t="n">
        <f aca="false">H33*N33+I33*O33+L33*sib_pw</f>
        <v>22.85</v>
      </c>
      <c r="AT33" s="87" t="n">
        <f aca="false">(MAX(0,AR33-AR32)+AR33*sib_rot*C33/365)*1000/sib_mtrain/C33</f>
        <v>0.0278538812785388</v>
      </c>
      <c r="AU33" s="87" t="n">
        <f aca="false">(MAX(0,AS33-AS32)+AS33*sib_rot*C33/365)*1000/sib_mtrain/C33</f>
        <v>0.0104337899543379</v>
      </c>
      <c r="AV33" s="83" t="n">
        <v>0</v>
      </c>
      <c r="AW33" s="83" t="n">
        <v>0</v>
      </c>
      <c r="AX33" s="81" t="n">
        <f aca="false">(SUM(AV$6:AV33)+SUM(AW$6:AW33))*0.9</f>
        <v>855</v>
      </c>
      <c r="AY33" s="82" t="n">
        <v>0.85</v>
      </c>
      <c r="AZ33" s="84" t="n">
        <f aca="false">1-(1-AY33)*sib_sick</f>
        <v>0.85</v>
      </c>
      <c r="BA33" s="81" t="n">
        <f aca="false">sib_loco0*AZ33+AX33</f>
        <v>1960</v>
      </c>
      <c r="BB33" s="84" t="n">
        <f aca="false">AX33/BA33</f>
        <v>0.436224489795918</v>
      </c>
      <c r="BC33" s="83" t="n">
        <v>18</v>
      </c>
      <c r="BD33" s="83" t="n">
        <v>16</v>
      </c>
      <c r="BE33" s="83" t="n">
        <v>18</v>
      </c>
      <c r="BF33" s="83" t="n">
        <v>24</v>
      </c>
      <c r="BG33" s="83" t="n">
        <v>24</v>
      </c>
      <c r="BH33" s="87" t="n">
        <f aca="false">BC$6+(BC33-BC$6)*sib_works</f>
        <v>18</v>
      </c>
      <c r="BI33" s="87" t="n">
        <f aca="false">BD$6+(BD33-BD$6)*sib_works</f>
        <v>16</v>
      </c>
      <c r="BJ33" s="87" t="n">
        <f aca="false">BE$6+(BE33-BE$6)*sib_works</f>
        <v>18</v>
      </c>
      <c r="BK33" s="87" t="n">
        <f aca="false">BF$6+(BF33-BF$6)*sib_works</f>
        <v>24</v>
      </c>
      <c r="BL33" s="87" t="n">
        <f aca="false">BG$6+(BG33-BG$6)*sib_works</f>
        <v>24</v>
      </c>
      <c r="BM33" s="83" t="n">
        <v>0</v>
      </c>
      <c r="BN33" s="87" t="n">
        <f aca="false">(BH33*G33-sib_pass)*(1-sib_civ)*(1-sib_fuel-BM33*sib_strike)-AT33</f>
        <v>6.79854611872146</v>
      </c>
      <c r="BO33" s="87" t="n">
        <f aca="false">(BI33*G33-sib_pass)*(1-sib_civ)*(1-sib_fuel-BM33*sib_strike)-AT33</f>
        <v>5.89694611872146</v>
      </c>
      <c r="BP33" s="87" t="n">
        <f aca="false">(BJ33*G33-sib_pass)*(1-sib_civ)*(1-sib_fuel-BM33*sib_strike)-AU33</f>
        <v>6.81596621004566</v>
      </c>
      <c r="BQ33" s="87" t="n">
        <f aca="false">(BK33*G33-sib_pass)*(1-sib_civ)*(1-sib_fuel-BM33*sib_strike)-AU33</f>
        <v>9.52076621004566</v>
      </c>
      <c r="BR33" s="87" t="n">
        <f aca="false">(BL33*G33-sib_pass)*(1-sib_civ)*(1-sib_fuel-BM33*sib_strike)-AU33</f>
        <v>9.52076621004566</v>
      </c>
      <c r="BS33" s="87" t="n">
        <f aca="false">AM33/(sib_net1*(1+sib_decup*BB33))</f>
        <v>0.288435933621677</v>
      </c>
      <c r="BT33" s="87" t="n">
        <f aca="false">AN33/(sib_net2*(1+sib_decup*BB33))</f>
        <v>0.291735478143381</v>
      </c>
      <c r="BU33" s="87" t="n">
        <f aca="false">AO33/(sib_net3a*(1+sib_decup*BB33))</f>
        <v>0.222185749133151</v>
      </c>
      <c r="BV33" s="87" t="n">
        <f aca="false">AP33/(sib_net3b*(1+sib_decup*BB33))</f>
        <v>0.391429747399919</v>
      </c>
      <c r="BW33" s="87" t="n">
        <f aca="false">AQ33/(sib_net4*(1+sib_decup*BB33))</f>
        <v>0.309881883358269</v>
      </c>
      <c r="BX33" s="84" t="n">
        <f aca="false">BS33/BN33</f>
        <v>0.0424261200240148</v>
      </c>
      <c r="BY33" s="84" t="n">
        <f aca="false">BT33/BO33</f>
        <v>0.0494722984185301</v>
      </c>
      <c r="BZ33" s="84" t="n">
        <f aca="false">BU33/BP33</f>
        <v>0.0325978360640468</v>
      </c>
      <c r="CA33" s="84" t="n">
        <f aca="false">BV33/BQ33</f>
        <v>0.0411132611351079</v>
      </c>
      <c r="CB33" s="84" t="n">
        <f aca="false">BW33/BR33</f>
        <v>0.0325479983986271</v>
      </c>
      <c r="CC33" s="84" t="n">
        <f aca="false">MAX(BX33:CB33)</f>
        <v>0.0494722984185301</v>
      </c>
      <c r="CD33" s="1" t="str">
        <f aca="false">CHOOSE(MATCH(CC33,BX33:CB33,0),"Vladivostok-Harbin","Harbin-Manzhouli","Manzhouli-Kitaisky (branch)","Kitaisky-Irkutsk","Irkutsk-Ob")</f>
        <v>Harbin-Manzhouli</v>
      </c>
      <c r="CE33" s="87" t="n">
        <f aca="false">MIN(BN33-BS33,BO33-BT33,BP33-BU33,BQ33-BV33,BR33-BW33)</f>
        <v>5.60521064057808</v>
      </c>
      <c r="CF33" s="88"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f>
        <v>55544.006798755</v>
      </c>
      <c r="CG33" s="81" t="n">
        <f aca="false">CF33/sib_kmloco*sib_helper</f>
        <v>433.937553115274</v>
      </c>
      <c r="CH33" s="84" t="n">
        <f aca="false">CG33/BA33</f>
        <v>0.221396710773099</v>
      </c>
      <c r="CI33" s="86" t="n">
        <v>0</v>
      </c>
      <c r="CJ33" s="86" t="n">
        <v>0</v>
      </c>
      <c r="CK33" s="86" t="n">
        <v>0</v>
      </c>
      <c r="CL33" s="88" t="n">
        <f aca="false">(sib_wag0+SUM(CI$6:CI33)+SUM(CJ$6:CJ33))*sib_wserv*(1-sib_civ)</f>
        <v>27370</v>
      </c>
      <c r="CM33" s="88"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f>
        <v>665.194832115677</v>
      </c>
      <c r="CN33" s="84" t="n">
        <f aca="false">CM33/CL33</f>
        <v>0.0243037936469009</v>
      </c>
      <c r="CO33" s="83" t="n">
        <v>0</v>
      </c>
      <c r="CP33" s="81" t="n">
        <f aca="false">MIN(CO33,AK33+AJ33)</f>
        <v>0</v>
      </c>
      <c r="CQ33" s="84" t="n">
        <f aca="false">(AK33+AJ33+Z33-CP33)*365/1000000+sib_civport</f>
        <v>0.89310355</v>
      </c>
      <c r="CR33" s="82" t="n">
        <v>3</v>
      </c>
      <c r="CS33" s="84" t="n">
        <f aca="false">CQ33/(CR33*IF(OR(RIGHT(A33,2)="Q1",C33=365),sib_portwin,1))</f>
        <v>0.35023668627451</v>
      </c>
      <c r="CT33" s="87" t="n">
        <f aca="false">(AK33+AJ33+Z33-CP33)*sib_pacship*365/(sib_dwt*0.9*sib_voy)</f>
        <v>1.16711002849003</v>
      </c>
      <c r="CU33" s="84" t="n">
        <f aca="false">CT33/sib_ships</f>
        <v>0.0291777507122507</v>
      </c>
      <c r="CV33" s="88" t="n">
        <f aca="false">CV32+(AB33+Z33)*C33+AA33</f>
        <v>97280.0000000001</v>
      </c>
      <c r="CW33" s="87" t="n">
        <f aca="false">IF(C33=365,sib_surge/sib_mtrain/sib_surge_d,0)</f>
        <v>1.85185185185185</v>
      </c>
      <c r="CX33" s="81" t="n">
        <f aca="false">(CC33&gt;sib_util_max)+(CH33&gt;1)+(CN33&gt;1)+(CS33&gt;sib_util_max)+(CU33&gt;1)+(CV33&lt;0)+(CW33&gt;0)*(CE33&lt;CW33)</f>
        <v>0</v>
      </c>
      <c r="CY33" s="1" t="str">
        <f aca="false">IF(CX33=0,"OK","Check")</f>
        <v>OK</v>
      </c>
      <c r="CZ33" s="83" t="n">
        <v>0</v>
      </c>
      <c r="DA33" s="82" t="n">
        <v>2</v>
      </c>
      <c r="DB33" s="82" t="n">
        <v>2</v>
      </c>
      <c r="DC33" s="84" t="n">
        <f aca="false">INDEX(Paths!$B$6:$B$92,MATCH(B33,Paths!$A$6:$A$92,0))*sib_cost</f>
        <v>1.22</v>
      </c>
      <c r="DD33" s="87" t="n">
        <f aca="false">L33*sib_c_pac/1000*C33/365*DC33</f>
        <v>9.516</v>
      </c>
      <c r="DE33" s="87" t="n">
        <f aca="false">K33*sib_c_cz/1000*C33/365*DC33</f>
        <v>0</v>
      </c>
      <c r="DF33" s="87" t="n">
        <f aca="false">J33*sib_c_sib/1000*C33/365*DC33</f>
        <v>9.76</v>
      </c>
      <c r="DG33" s="87" t="n">
        <f aca="false">((MAX(0,T33-CP33)+V33+AB33+Z33+AA33/C33)*sib_pst_w+Q33*sib_loc_kg*sib_pst_e)*C33*sib_c_store/1000000*DC33</f>
        <v>19.5051753225</v>
      </c>
      <c r="DH33" s="87" t="n">
        <f aca="false">((AW33*sib_c_loco+CJ33*sib_c_wag+MAX(0,AZ33-AZ32)*sib_loco0*sib_c_rep+CZ33*sib_c_arm)/1000000+DA33)*DC33</f>
        <v>2.44</v>
      </c>
      <c r="DI33" s="87" t="n">
        <f aca="false">2*(sib_L1*(BS33+AT33)+sib_L2*(BT33+AT33)+sib_L3a*(BU33+AU33)+sib_L3b*(BV33+AU33)+sib_L4*(BW33+AU33))*C33*sib_c_tkm*sib_prail/1000000*DC33</f>
        <v>1.48157179352583</v>
      </c>
      <c r="DJ33" s="87" t="n">
        <f aca="false">CT33*sib_c_ship*C33/365*DC33</f>
        <v>0.640743405641026</v>
      </c>
      <c r="DK33" s="87" t="n">
        <f aca="false">DB33*DC33</f>
        <v>2.44</v>
      </c>
      <c r="DL33" s="87" t="n">
        <f aca="false">AA33*sib_c_kara/1000000*DC33</f>
        <v>0.549</v>
      </c>
      <c r="DM33" s="87" t="n">
        <f aca="false">(AC33*sib_c_ref/1000*C33/365+AH33*C33*sib_c_grain/1000000)*DC33</f>
        <v>1.00685354075</v>
      </c>
      <c r="DN33" s="87" t="n">
        <f aca="false">Z33*C33*sib_c_amur/1000000*DC33</f>
        <v>0.4392</v>
      </c>
      <c r="DO33" s="87" t="n">
        <f aca="false">sib_fed*sib_c_fed/1000000*C33/365*DC33</f>
        <v>1.83</v>
      </c>
      <c r="DP33" s="87" t="n">
        <f aca="false">SUM(DD33:DO33)</f>
        <v>49.6085440624169</v>
      </c>
    </row>
    <row r="34" customFormat="false" ht="13.8" hidden="false" customHeight="false" outlineLevel="0" collapsed="false"/>
    <row r="35" customFormat="false" ht="13.8" hidden="false" customHeight="false" outlineLevel="0" collapsed="false"/>
    <row r="36" customFormat="false" ht="13.8" hidden="false" customHeight="false" outlineLevel="0" collapsed="false">
      <c r="A36" s="28" t="s">
        <v>1811</v>
      </c>
    </row>
    <row r="37" customFormat="false" ht="68.65" hidden="false" customHeight="false" outlineLevel="0" collapsed="false">
      <c r="A37" s="80" t="s">
        <v>103</v>
      </c>
      <c r="B37" s="80" t="s">
        <v>1812</v>
      </c>
      <c r="C37" s="80" t="s">
        <v>1813</v>
      </c>
      <c r="D37" s="80" t="s">
        <v>1814</v>
      </c>
      <c r="E37" s="80" t="s">
        <v>1726</v>
      </c>
      <c r="F37" s="80" t="s">
        <v>1727</v>
      </c>
      <c r="G37" s="80" t="s">
        <v>1815</v>
      </c>
      <c r="H37" s="80" t="s">
        <v>1748</v>
      </c>
      <c r="I37" s="80" t="s">
        <v>1816</v>
      </c>
    </row>
    <row r="38" customFormat="false" ht="13.8" hidden="false" customHeight="false" outlineLevel="0" collapsed="false">
      <c r="A38" s="1" t="n">
        <v>1918</v>
      </c>
      <c r="B38" s="87" t="n">
        <f aca="false">IF(A38&lt;=1922,SUMIF($B$6:$B$33,A38,$DP$6:$DP$33),pac_quota*C38)</f>
        <v>81.1657876216949</v>
      </c>
      <c r="C38" s="87" t="n">
        <f aca="false">IF(A38&lt;=1922,0,SUMIF($B$6:$B$33,A38,$DP$6:$DP$33))</f>
        <v>0</v>
      </c>
      <c r="D38" s="87" t="n">
        <f aca="false">(1-pac_quota)*C38</f>
        <v>0</v>
      </c>
      <c r="E38" s="84" t="n">
        <f aca="false">_xlfn.MAXIFS($CC$6:$CC$33,$B$6:$B$33,A38)</f>
        <v>0.528552532308132</v>
      </c>
      <c r="F38" s="1" t="str">
        <f aca="false">INDEX($CD$6:$CD$33,MATCH(E38,$CC$6:$CC$33,0))</f>
        <v>Manzhouli-Kitaisky (branch)</v>
      </c>
      <c r="G38" s="1" t="n">
        <f aca="false">SUMIF($B$6:$B$33,A38,$CX$6:$CX$33)</f>
        <v>0</v>
      </c>
      <c r="H38" s="1" t="str">
        <f aca="false">IF(G38=0,"OK","Check")</f>
        <v>OK</v>
      </c>
      <c r="I38" s="87" t="n">
        <f aca="false">IF(A38&lt;=1922,siberia_cost/5,siberia_front*pac_quota)</f>
        <v>161.6</v>
      </c>
    </row>
    <row r="39" customFormat="false" ht="13.8" hidden="false" customHeight="false" outlineLevel="0" collapsed="false">
      <c r="A39" s="1" t="n">
        <v>1919</v>
      </c>
      <c r="B39" s="87" t="n">
        <f aca="false">IF(A39&lt;=1922,SUMIF($B$6:$B$33,A39,$DP$6:$DP$33),pac_quota*C39)</f>
        <v>348.95221304549</v>
      </c>
      <c r="C39" s="87" t="n">
        <f aca="false">IF(A39&lt;=1922,0,SUMIF($B$6:$B$33,A39,$DP$6:$DP$33))</f>
        <v>0</v>
      </c>
      <c r="D39" s="87" t="n">
        <f aca="false">(1-pac_quota)*C39</f>
        <v>0</v>
      </c>
      <c r="E39" s="84" t="n">
        <f aca="false">_xlfn.MAXIFS($CC$6:$CC$33,$B$6:$B$33,A39)</f>
        <v>0.58933682024725</v>
      </c>
      <c r="F39" s="1" t="str">
        <f aca="false">INDEX($CD$6:$CD$33,MATCH(E39,$CC$6:$CC$33,0))</f>
        <v>Harbin-Manzhouli</v>
      </c>
      <c r="G39" s="1" t="n">
        <f aca="false">SUMIF($B$6:$B$33,A39,$CX$6:$CX$33)</f>
        <v>0</v>
      </c>
      <c r="H39" s="1" t="str">
        <f aca="false">IF(G39=0,"OK","Check")</f>
        <v>OK</v>
      </c>
      <c r="I39" s="87" t="n">
        <f aca="false">IF(A39&lt;=1922,siberia_cost/5,siberia_front*pac_quota)</f>
        <v>161.6</v>
      </c>
    </row>
    <row r="40" customFormat="false" ht="13.8" hidden="false" customHeight="false" outlineLevel="0" collapsed="false">
      <c r="A40" s="1" t="n">
        <v>1920</v>
      </c>
      <c r="B40" s="87" t="n">
        <f aca="false">IF(A40&lt;=1922,SUMIF($B$6:$B$33,A40,$DP$6:$DP$33),pac_quota*C40)</f>
        <v>288.679932875926</v>
      </c>
      <c r="C40" s="87" t="n">
        <f aca="false">IF(A40&lt;=1922,0,SUMIF($B$6:$B$33,A40,$DP$6:$DP$33))</f>
        <v>0</v>
      </c>
      <c r="D40" s="87" t="n">
        <f aca="false">(1-pac_quota)*C40</f>
        <v>0</v>
      </c>
      <c r="E40" s="84" t="n">
        <f aca="false">_xlfn.MAXIFS($CC$6:$CC$33,$B$6:$B$33,A40)</f>
        <v>0.440863660374805</v>
      </c>
      <c r="F40" s="1" t="str">
        <f aca="false">INDEX($CD$6:$CD$33,MATCH(E40,$CC$6:$CC$33,0))</f>
        <v>Harbin-Manzhouli</v>
      </c>
      <c r="G40" s="1" t="n">
        <f aca="false">SUMIF($B$6:$B$33,A40,$CX$6:$CX$33)</f>
        <v>0</v>
      </c>
      <c r="H40" s="1" t="str">
        <f aca="false">IF(G40=0,"OK","Check")</f>
        <v>OK</v>
      </c>
      <c r="I40" s="87" t="n">
        <f aca="false">IF(A40&lt;=1922,siberia_cost/5,siberia_front*pac_quota)</f>
        <v>161.6</v>
      </c>
    </row>
    <row r="41" customFormat="false" ht="13.8" hidden="false" customHeight="false" outlineLevel="0" collapsed="false">
      <c r="A41" s="1" t="n">
        <v>1921</v>
      </c>
      <c r="B41" s="87" t="n">
        <f aca="false">IF(A41&lt;=1922,SUMIF($B$6:$B$33,A41,$DP$6:$DP$33),pac_quota*C41)</f>
        <v>165.704891169161</v>
      </c>
      <c r="C41" s="87" t="n">
        <f aca="false">IF(A41&lt;=1922,0,SUMIF($B$6:$B$33,A41,$DP$6:$DP$33))</f>
        <v>0</v>
      </c>
      <c r="D41" s="87" t="n">
        <f aca="false">(1-pac_quota)*C41</f>
        <v>0</v>
      </c>
      <c r="E41" s="84" t="n">
        <f aca="false">_xlfn.MAXIFS($CC$6:$CC$33,$B$6:$B$33,A41)</f>
        <v>0.19673101394932</v>
      </c>
      <c r="F41" s="1" t="str">
        <f aca="false">INDEX($CD$6:$CD$33,MATCH(E41,$CC$6:$CC$33,0))</f>
        <v>Harbin-Manzhouli</v>
      </c>
      <c r="G41" s="1" t="n">
        <f aca="false">SUMIF($B$6:$B$33,A41,$CX$6:$CX$33)</f>
        <v>0</v>
      </c>
      <c r="H41" s="1" t="str">
        <f aca="false">IF(G41=0,"OK","Check")</f>
        <v>OK</v>
      </c>
      <c r="I41" s="87" t="n">
        <f aca="false">IF(A41&lt;=1922,siberia_cost/5,siberia_front*pac_quota)</f>
        <v>161.6</v>
      </c>
    </row>
    <row r="42" customFormat="false" ht="13.8" hidden="false" customHeight="false" outlineLevel="0" collapsed="false">
      <c r="A42" s="1" t="n">
        <v>1922</v>
      </c>
      <c r="B42" s="87" t="n">
        <f aca="false">IF(A42&lt;=1922,SUMIF($B$6:$B$33,A42,$DP$6:$DP$33),pac_quota*C42)</f>
        <v>81.2913264123559</v>
      </c>
      <c r="C42" s="87" t="n">
        <f aca="false">IF(A42&lt;=1922,0,SUMIF($B$6:$B$33,A42,$DP$6:$DP$33))</f>
        <v>0</v>
      </c>
      <c r="D42" s="87" t="n">
        <f aca="false">(1-pac_quota)*C42</f>
        <v>0</v>
      </c>
      <c r="E42" s="84" t="n">
        <f aca="false">_xlfn.MAXIFS($CC$6:$CC$33,$B$6:$B$33,A42)</f>
        <v>0.100229112176789</v>
      </c>
      <c r="F42" s="1" t="str">
        <f aca="false">INDEX($CD$6:$CD$33,MATCH(E42,$CC$6:$CC$33,0))</f>
        <v>Harbin-Manzhouli</v>
      </c>
      <c r="G42" s="1" t="n">
        <f aca="false">SUMIF($B$6:$B$33,A42,$CX$6:$CX$33)</f>
        <v>0</v>
      </c>
      <c r="H42" s="1" t="str">
        <f aca="false">IF(G42=0,"OK","Check")</f>
        <v>OK</v>
      </c>
      <c r="I42" s="87" t="n">
        <f aca="false">IF(A42&lt;=1922,siberia_cost/5,siberia_front*pac_quota)</f>
        <v>161.6</v>
      </c>
    </row>
    <row r="43" customFormat="false" ht="13.8" hidden="false" customHeight="false" outlineLevel="0" collapsed="false">
      <c r="A43" s="1" t="n">
        <v>1923</v>
      </c>
      <c r="B43" s="87" t="n">
        <f aca="false">IF(A43&lt;=1922,SUMIF($B$6:$B$33,A43,$DP$6:$DP$33),pac_quota*C43)</f>
        <v>43.0642683096106</v>
      </c>
      <c r="C43" s="87" t="n">
        <f aca="false">IF(A43&lt;=1922,0,SUMIF($B$6:$B$33,A43,$DP$6:$DP$33))</f>
        <v>66.252720476324</v>
      </c>
      <c r="D43" s="87" t="n">
        <f aca="false">(1-pac_quota)*C43</f>
        <v>23.1884521667134</v>
      </c>
      <c r="E43" s="84" t="n">
        <f aca="false">_xlfn.MAXIFS($CC$6:$CC$33,$B$6:$B$33,A43)</f>
        <v>0.0494722984185301</v>
      </c>
      <c r="F43" s="1" t="str">
        <f aca="false">INDEX($CD$6:$CD$33,MATCH(E43,$CC$6:$CC$33,0))</f>
        <v>Harbin-Manzhouli</v>
      </c>
      <c r="G43" s="1" t="n">
        <f aca="false">SUMIF($B$6:$B$33,A43,$CX$6:$CX$33)</f>
        <v>0</v>
      </c>
      <c r="H43" s="1" t="str">
        <f aca="false">IF(G43=0,"OK","Check")</f>
        <v>OK</v>
      </c>
      <c r="I43" s="87" t="n">
        <f aca="false">IF(A43&lt;=1922,siberia_cost/5,siberia_front*pac_quota)</f>
        <v>52</v>
      </c>
    </row>
    <row r="44" customFormat="false" ht="13.8" hidden="false" customHeight="false" outlineLevel="0" collapsed="false">
      <c r="A44" s="1" t="n">
        <v>1924</v>
      </c>
      <c r="B44" s="87" t="n">
        <f aca="false">IF(A44&lt;=1922,SUMIF($B$6:$B$33,A44,$DP$6:$DP$33),pac_quota*C44)</f>
        <v>42.8178663096106</v>
      </c>
      <c r="C44" s="87" t="n">
        <f aca="false">IF(A44&lt;=1922,0,SUMIF($B$6:$B$33,A44,$DP$6:$DP$33))</f>
        <v>65.873640476324</v>
      </c>
      <c r="D44" s="87" t="n">
        <f aca="false">(1-pac_quota)*C44</f>
        <v>23.0557741667134</v>
      </c>
      <c r="E44" s="84" t="n">
        <f aca="false">_xlfn.MAXIFS($CC$6:$CC$33,$B$6:$B$33,A44)</f>
        <v>0.0494722984185301</v>
      </c>
      <c r="F44" s="1" t="str">
        <f aca="false">INDEX($CD$6:$CD$33,MATCH(E44,$CC$6:$CC$33,0))</f>
        <v>Harbin-Manzhouli</v>
      </c>
      <c r="G44" s="1" t="n">
        <f aca="false">SUMIF($B$6:$B$33,A44,$CX$6:$CX$33)</f>
        <v>0</v>
      </c>
      <c r="H44" s="1" t="str">
        <f aca="false">IF(G44=0,"OK","Check")</f>
        <v>OK</v>
      </c>
      <c r="I44" s="87" t="n">
        <f aca="false">IF(A44&lt;=1922,siberia_cost/5,siberia_front*pac_quota)</f>
        <v>52</v>
      </c>
    </row>
    <row r="45" customFormat="false" ht="13.8" hidden="false" customHeight="false" outlineLevel="0" collapsed="false">
      <c r="A45" s="1" t="n">
        <v>1925</v>
      </c>
      <c r="B45" s="87" t="n">
        <f aca="false">IF(A45&lt;=1922,SUMIF($B$6:$B$33,A45,$DP$6:$DP$33),pac_quota*C45)</f>
        <v>43.6107897597886</v>
      </c>
      <c r="C45" s="87" t="n">
        <f aca="false">IF(A45&lt;=1922,0,SUMIF($B$6:$B$33,A45,$DP$6:$DP$33))</f>
        <v>67.0935227073671</v>
      </c>
      <c r="D45" s="87" t="n">
        <f aca="false">(1-pac_quota)*C45</f>
        <v>23.4827329475785</v>
      </c>
      <c r="E45" s="84" t="n">
        <f aca="false">_xlfn.MAXIFS($CC$6:$CC$33,$B$6:$B$33,A45)</f>
        <v>0.0494722984185301</v>
      </c>
      <c r="F45" s="1" t="str">
        <f aca="false">INDEX($CD$6:$CD$33,MATCH(E45,$CC$6:$CC$33,0))</f>
        <v>Harbin-Manzhouli</v>
      </c>
      <c r="G45" s="1" t="n">
        <f aca="false">SUMIF($B$6:$B$33,A45,$CX$6:$CX$33)</f>
        <v>0</v>
      </c>
      <c r="H45" s="1" t="str">
        <f aca="false">IF(G45=0,"OK","Check")</f>
        <v>OK</v>
      </c>
      <c r="I45" s="87" t="n">
        <f aca="false">IF(A45&lt;=1922,siberia_cost/5,siberia_front*pac_quota)</f>
        <v>52</v>
      </c>
    </row>
    <row r="46" customFormat="false" ht="13.8" hidden="false" customHeight="false" outlineLevel="0" collapsed="false">
      <c r="A46" s="1" t="n">
        <v>1926</v>
      </c>
      <c r="B46" s="87" t="n">
        <f aca="false">IF(A46&lt;=1922,SUMIF($B$6:$B$33,A46,$DP$6:$DP$33),pac_quota*C46)</f>
        <v>42.8178663096106</v>
      </c>
      <c r="C46" s="87" t="n">
        <f aca="false">IF(A46&lt;=1922,0,SUMIF($B$6:$B$33,A46,$DP$6:$DP$33))</f>
        <v>65.873640476324</v>
      </c>
      <c r="D46" s="87" t="n">
        <f aca="false">(1-pac_quota)*C46</f>
        <v>23.0557741667134</v>
      </c>
      <c r="E46" s="84" t="n">
        <f aca="false">_xlfn.MAXIFS($CC$6:$CC$33,$B$6:$B$33,A46)</f>
        <v>0.0494722984185301</v>
      </c>
      <c r="F46" s="1" t="str">
        <f aca="false">INDEX($CD$6:$CD$33,MATCH(E46,$CC$6:$CC$33,0))</f>
        <v>Harbin-Manzhouli</v>
      </c>
      <c r="G46" s="1" t="n">
        <f aca="false">SUMIF($B$6:$B$33,A46,$CX$6:$CX$33)</f>
        <v>0</v>
      </c>
      <c r="H46" s="1" t="str">
        <f aca="false">IF(G46=0,"OK","Check")</f>
        <v>OK</v>
      </c>
      <c r="I46" s="87" t="n">
        <f aca="false">IF(A46&lt;=1922,siberia_cost/5,siberia_front*pac_quota)</f>
        <v>52</v>
      </c>
    </row>
    <row r="47" customFormat="false" ht="13.8" hidden="false" customHeight="false" outlineLevel="0" collapsed="false">
      <c r="A47" s="1" t="n">
        <v>1927</v>
      </c>
      <c r="B47" s="87" t="n">
        <f aca="false">IF(A47&lt;=1922,SUMIF($B$6:$B$33,A47,$DP$6:$DP$33),pac_quota*C47)</f>
        <v>41.7606350427067</v>
      </c>
      <c r="C47" s="87" t="n">
        <f aca="false">IF(A47&lt;=1922,0,SUMIF($B$6:$B$33,A47,$DP$6:$DP$33))</f>
        <v>64.2471308349333</v>
      </c>
      <c r="D47" s="87" t="n">
        <f aca="false">(1-pac_quota)*C47</f>
        <v>22.4864957922267</v>
      </c>
      <c r="E47" s="84" t="n">
        <f aca="false">_xlfn.MAXIFS($CC$6:$CC$33,$B$6:$B$33,A47)</f>
        <v>0.0494722984185301</v>
      </c>
      <c r="F47" s="1" t="str">
        <f aca="false">INDEX($CD$6:$CD$33,MATCH(E47,$CC$6:$CC$33,0))</f>
        <v>Harbin-Manzhouli</v>
      </c>
      <c r="G47" s="1" t="n">
        <f aca="false">SUMIF($B$6:$B$33,A47,$CX$6:$CX$33)</f>
        <v>0</v>
      </c>
      <c r="H47" s="1" t="str">
        <f aca="false">IF(G47=0,"OK","Check")</f>
        <v>OK</v>
      </c>
      <c r="I47" s="87" t="n">
        <f aca="false">IF(A47&lt;=1922,siberia_cost/5,siberia_front*pac_quota)</f>
        <v>52</v>
      </c>
    </row>
    <row r="48" customFormat="false" ht="13.8" hidden="false" customHeight="false" outlineLevel="0" collapsed="false">
      <c r="A48" s="1" t="n">
        <v>1928</v>
      </c>
      <c r="B48" s="87" t="n">
        <f aca="false">IF(A48&lt;=1922,SUMIF($B$6:$B$33,A48,$DP$6:$DP$33),pac_quota*C48)</f>
        <v>42.2892506761586</v>
      </c>
      <c r="C48" s="87" t="n">
        <f aca="false">IF(A48&lt;=1922,0,SUMIF($B$6:$B$33,A48,$DP$6:$DP$33))</f>
        <v>65.0603856556287</v>
      </c>
      <c r="D48" s="87" t="n">
        <f aca="false">(1-pac_quota)*C48</f>
        <v>22.77113497947</v>
      </c>
      <c r="E48" s="84" t="n">
        <f aca="false">_xlfn.MAXIFS($CC$6:$CC$33,$B$6:$B$33,A48)</f>
        <v>0.0494722984185301</v>
      </c>
      <c r="F48" s="1" t="str">
        <f aca="false">INDEX($CD$6:$CD$33,MATCH(E48,$CC$6:$CC$33,0))</f>
        <v>Harbin-Manzhouli</v>
      </c>
      <c r="G48" s="1" t="n">
        <f aca="false">SUMIF($B$6:$B$33,A48,$CX$6:$CX$33)</f>
        <v>0</v>
      </c>
      <c r="H48" s="1" t="str">
        <f aca="false">IF(G48=0,"OK","Check")</f>
        <v>OK</v>
      </c>
      <c r="I48" s="87" t="n">
        <f aca="false">IF(A48&lt;=1922,siberia_cost/5,siberia_front*pac_quota)</f>
        <v>52</v>
      </c>
    </row>
    <row r="49" customFormat="false" ht="13.8" hidden="false" customHeight="false" outlineLevel="0" collapsed="false">
      <c r="A49" s="1" t="n">
        <v>1929</v>
      </c>
      <c r="B49" s="87" t="n">
        <f aca="false">IF(A49&lt;=1922,SUMIF($B$6:$B$33,A49,$DP$6:$DP$33),pac_quota*C49)</f>
        <v>42.2892506761586</v>
      </c>
      <c r="C49" s="87" t="n">
        <f aca="false">IF(A49&lt;=1922,0,SUMIF($B$6:$B$33,A49,$DP$6:$DP$33))</f>
        <v>65.0603856556287</v>
      </c>
      <c r="D49" s="87" t="n">
        <f aca="false">(1-pac_quota)*C49</f>
        <v>22.77113497947</v>
      </c>
      <c r="E49" s="84" t="n">
        <f aca="false">_xlfn.MAXIFS($CC$6:$CC$33,$B$6:$B$33,A49)</f>
        <v>0.0494722984185301</v>
      </c>
      <c r="F49" s="1" t="str">
        <f aca="false">INDEX($CD$6:$CD$33,MATCH(E49,$CC$6:$CC$33,0))</f>
        <v>Harbin-Manzhouli</v>
      </c>
      <c r="G49" s="1" t="n">
        <f aca="false">SUMIF($B$6:$B$33,A49,$CX$6:$CX$33)</f>
        <v>0</v>
      </c>
      <c r="H49" s="1" t="str">
        <f aca="false">IF(G49=0,"OK","Check")</f>
        <v>OK</v>
      </c>
      <c r="I49" s="87" t="n">
        <f aca="false">IF(A49&lt;=1922,siberia_cost/5,siberia_front*pac_quota)</f>
        <v>52</v>
      </c>
    </row>
    <row r="50" customFormat="false" ht="13.8" hidden="false" customHeight="false" outlineLevel="0" collapsed="false">
      <c r="A50" s="1" t="n">
        <v>1930</v>
      </c>
      <c r="B50" s="87" t="n">
        <f aca="false">IF(A50&lt;=1922,SUMIF($B$6:$B$33,A50,$DP$6:$DP$33),pac_quota*C50)</f>
        <v>40.4390959590767</v>
      </c>
      <c r="C50" s="87" t="n">
        <f aca="false">IF(A50&lt;=1922,0,SUMIF($B$6:$B$33,A50,$DP$6:$DP$33))</f>
        <v>62.2139937831949</v>
      </c>
      <c r="D50" s="87" t="n">
        <f aca="false">(1-pac_quota)*C50</f>
        <v>21.7748978241182</v>
      </c>
      <c r="E50" s="84" t="n">
        <f aca="false">_xlfn.MAXIFS($CC$6:$CC$33,$B$6:$B$33,A50)</f>
        <v>0.0494722984185301</v>
      </c>
      <c r="F50" s="1" t="str">
        <f aca="false">INDEX($CD$6:$CD$33,MATCH(E50,$CC$6:$CC$33,0))</f>
        <v>Harbin-Manzhouli</v>
      </c>
      <c r="G50" s="1" t="n">
        <f aca="false">SUMIF($B$6:$B$33,A50,$CX$6:$CX$33)</f>
        <v>0</v>
      </c>
      <c r="H50" s="1" t="str">
        <f aca="false">IF(G50=0,"OK","Check")</f>
        <v>OK</v>
      </c>
      <c r="I50" s="87" t="n">
        <f aca="false">IF(A50&lt;=1922,siberia_cost/5,siberia_front*pac_quota)</f>
        <v>52</v>
      </c>
    </row>
    <row r="51" customFormat="false" ht="13.8" hidden="false" customHeight="false" outlineLevel="0" collapsed="false">
      <c r="A51" s="1" t="n">
        <v>1931</v>
      </c>
      <c r="B51" s="87" t="n">
        <f aca="false">IF(A51&lt;=1922,SUMIF($B$6:$B$33,A51,$DP$6:$DP$33),pac_quota*C51)</f>
        <v>36.2101708914608</v>
      </c>
      <c r="C51" s="87" t="n">
        <f aca="false">IF(A51&lt;=1922,0,SUMIF($B$6:$B$33,A51,$DP$6:$DP$33))</f>
        <v>55.7079552176321</v>
      </c>
      <c r="D51" s="87" t="n">
        <f aca="false">(1-pac_quota)*C51</f>
        <v>19.4977843261712</v>
      </c>
      <c r="E51" s="84" t="n">
        <f aca="false">_xlfn.MAXIFS($CC$6:$CC$33,$B$6:$B$33,A51)</f>
        <v>0.0494722984185301</v>
      </c>
      <c r="F51" s="1" t="str">
        <f aca="false">INDEX($CD$6:$CD$33,MATCH(E51,$CC$6:$CC$33,0))</f>
        <v>Harbin-Manzhouli</v>
      </c>
      <c r="G51" s="1" t="n">
        <f aca="false">SUMIF($B$6:$B$33,A51,$CX$6:$CX$33)</f>
        <v>0</v>
      </c>
      <c r="H51" s="1" t="str">
        <f aca="false">IF(G51=0,"OK","Check")</f>
        <v>OK</v>
      </c>
      <c r="I51" s="87" t="n">
        <f aca="false">IF(A51&lt;=1922,siberia_cost/5,siberia_front*pac_quota)</f>
        <v>52</v>
      </c>
    </row>
    <row r="52" customFormat="false" ht="13.8" hidden="false" customHeight="false" outlineLevel="0" collapsed="false">
      <c r="A52" s="1" t="n">
        <v>1932</v>
      </c>
      <c r="B52" s="87" t="n">
        <f aca="false">IF(A52&lt;=1922,SUMIF($B$6:$B$33,A52,$DP$6:$DP$33),pac_quota*C52)</f>
        <v>32.245553640571</v>
      </c>
      <c r="C52" s="87" t="n">
        <f aca="false">IF(A52&lt;=1922,0,SUMIF($B$6:$B$33,A52,$DP$6:$DP$33))</f>
        <v>49.6085440624169</v>
      </c>
      <c r="D52" s="87" t="n">
        <f aca="false">(1-pac_quota)*C52</f>
        <v>17.3629904218459</v>
      </c>
      <c r="E52" s="84" t="n">
        <f aca="false">_xlfn.MAXIFS($CC$6:$CC$33,$B$6:$B$33,A52)</f>
        <v>0.0494722984185301</v>
      </c>
      <c r="F52" s="1" t="str">
        <f aca="false">INDEX($CD$6:$CD$33,MATCH(E52,$CC$6:$CC$33,0))</f>
        <v>Harbin-Manzhouli</v>
      </c>
      <c r="G52" s="1" t="n">
        <f aca="false">SUMIF($B$6:$B$33,A52,$CX$6:$CX$33)</f>
        <v>0</v>
      </c>
      <c r="H52" s="1" t="str">
        <f aca="false">IF(G52=0,"OK","Check")</f>
        <v>OK</v>
      </c>
      <c r="I52" s="87" t="n">
        <f aca="false">IF(A52&lt;=1922,siberia_cost/5,siberia_front*pac_quota)</f>
        <v>52</v>
      </c>
    </row>
    <row r="53" customFormat="false" ht="13.8" hidden="false" customHeight="false" outlineLevel="0" collapsed="false">
      <c r="A53" s="28" t="s">
        <v>1817</v>
      </c>
      <c r="B53" s="88" t="n">
        <f aca="false">SUM(B38:B42)</f>
        <v>965.794151124627</v>
      </c>
      <c r="I53" s="88" t="n">
        <f aca="false">SUM(I38:I42)</f>
        <v>808</v>
      </c>
    </row>
    <row r="54" customFormat="false" ht="13.8" hidden="false" customHeight="false" outlineLevel="0" collapsed="false">
      <c r="A54" s="28" t="s">
        <v>1818</v>
      </c>
      <c r="B54" s="88" t="n">
        <f aca="false">SUM(B43:B52)</f>
        <v>407.544747574753</v>
      </c>
      <c r="I54" s="88"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55" hidden="false" customHeight="false" outlineLevel="0" collapsed="false">
      <c r="A1" s="19" t="s">
        <v>1819</v>
      </c>
    </row>
    <row r="2" customFormat="false" ht="14.25" hidden="false" customHeight="false" outlineLevel="0" collapsed="false">
      <c r="A2" s="3" t="s">
        <v>1820</v>
      </c>
    </row>
    <row r="3" customFormat="false" ht="14.25" hidden="false" customHeight="false" outlineLevel="0" collapsed="false">
      <c r="A3" s="20" t="s">
        <v>1166</v>
      </c>
    </row>
    <row r="4" customFormat="false" ht="14.25" hidden="false" customHeight="false" outlineLevel="0" collapsed="false">
      <c r="B4" s="59" t="s">
        <v>1821</v>
      </c>
      <c r="C4" s="58" t="s">
        <v>41</v>
      </c>
      <c r="D4" s="58"/>
      <c r="E4" s="58"/>
      <c r="F4" s="58"/>
      <c r="G4" s="58"/>
      <c r="H4" s="58"/>
      <c r="I4" s="58"/>
      <c r="J4" s="58"/>
      <c r="K4" s="58" t="s">
        <v>950</v>
      </c>
      <c r="L4" s="58"/>
      <c r="M4" s="58"/>
      <c r="N4" s="58"/>
      <c r="O4" s="58"/>
      <c r="P4" s="58"/>
      <c r="Q4" s="58"/>
      <c r="R4" s="58"/>
      <c r="S4" s="58" t="s">
        <v>1822</v>
      </c>
      <c r="T4" s="58"/>
      <c r="U4" s="58"/>
      <c r="V4" s="58"/>
      <c r="W4" s="58"/>
      <c r="X4" s="58"/>
      <c r="Y4" s="58"/>
      <c r="Z4" s="58"/>
      <c r="AA4" s="58" t="s">
        <v>1823</v>
      </c>
      <c r="AB4" s="58"/>
      <c r="AC4" s="58"/>
      <c r="AD4" s="58"/>
      <c r="AE4" s="58"/>
      <c r="AF4" s="58"/>
      <c r="AG4" s="58"/>
      <c r="AH4" s="58"/>
      <c r="AI4" s="58" t="s">
        <v>705</v>
      </c>
      <c r="AJ4" s="58"/>
      <c r="AK4" s="58"/>
      <c r="AL4" s="58"/>
      <c r="AM4" s="58"/>
      <c r="AN4" s="58"/>
      <c r="AO4" s="58"/>
      <c r="AP4" s="58"/>
      <c r="AQ4" s="58" t="s">
        <v>749</v>
      </c>
      <c r="AR4" s="58"/>
      <c r="AS4" s="58"/>
      <c r="AT4" s="58"/>
      <c r="AU4" s="58"/>
      <c r="AV4" s="58"/>
      <c r="AW4" s="58"/>
      <c r="AX4" s="58"/>
      <c r="AY4" s="58" t="s">
        <v>1824</v>
      </c>
      <c r="AZ4" s="58"/>
      <c r="BA4" s="58"/>
      <c r="BB4" s="58"/>
      <c r="BC4" s="58"/>
      <c r="BD4" s="58"/>
      <c r="BE4" s="58"/>
      <c r="BF4" s="58"/>
      <c r="BG4" s="58" t="s">
        <v>1825</v>
      </c>
      <c r="BH4" s="58"/>
      <c r="BI4" s="58"/>
      <c r="BJ4" s="58"/>
      <c r="BK4" s="58"/>
      <c r="BL4" s="58"/>
      <c r="BM4" s="58"/>
      <c r="BN4" s="58"/>
      <c r="BO4" s="58" t="s">
        <v>1826</v>
      </c>
      <c r="BP4" s="58"/>
      <c r="BQ4" s="58"/>
      <c r="BR4" s="58"/>
      <c r="BS4" s="58"/>
      <c r="BT4" s="58"/>
      <c r="BU4" s="58"/>
      <c r="BV4" s="58"/>
      <c r="BW4" s="58" t="s">
        <v>1827</v>
      </c>
      <c r="BX4" s="58"/>
      <c r="BY4" s="58" t="s">
        <v>1828</v>
      </c>
      <c r="BZ4" s="58"/>
      <c r="CA4" s="58"/>
    </row>
    <row r="5" customFormat="false" ht="54" hidden="false" customHeight="true" outlineLevel="0" collapsed="false">
      <c r="A5" s="60" t="s">
        <v>103</v>
      </c>
      <c r="B5" s="7" t="s">
        <v>1829</v>
      </c>
      <c r="C5" s="7" t="s">
        <v>1830</v>
      </c>
      <c r="D5" s="7" t="s">
        <v>1831</v>
      </c>
      <c r="E5" s="7" t="s">
        <v>1832</v>
      </c>
      <c r="F5" s="7" t="s">
        <v>1833</v>
      </c>
      <c r="G5" s="7" t="s">
        <v>1834</v>
      </c>
      <c r="H5" s="7" t="s">
        <v>1835</v>
      </c>
      <c r="I5" s="7" t="s">
        <v>1836</v>
      </c>
      <c r="J5" s="7" t="s">
        <v>1837</v>
      </c>
      <c r="K5" s="7" t="s">
        <v>1838</v>
      </c>
      <c r="L5" s="7" t="s">
        <v>1839</v>
      </c>
      <c r="M5" s="7" t="s">
        <v>1840</v>
      </c>
      <c r="N5" s="7" t="s">
        <v>1841</v>
      </c>
      <c r="O5" s="7" t="s">
        <v>1842</v>
      </c>
      <c r="P5" s="7" t="s">
        <v>1843</v>
      </c>
      <c r="Q5" s="7" t="s">
        <v>1844</v>
      </c>
      <c r="R5" s="7" t="s">
        <v>1845</v>
      </c>
      <c r="S5" s="7" t="s">
        <v>1846</v>
      </c>
      <c r="T5" s="7" t="s">
        <v>1847</v>
      </c>
      <c r="U5" s="7" t="s">
        <v>1848</v>
      </c>
      <c r="V5" s="7" t="s">
        <v>1849</v>
      </c>
      <c r="W5" s="7" t="s">
        <v>1850</v>
      </c>
      <c r="X5" s="7" t="s">
        <v>1851</v>
      </c>
      <c r="Y5" s="7" t="s">
        <v>1852</v>
      </c>
      <c r="Z5" s="7" t="s">
        <v>1853</v>
      </c>
      <c r="AA5" s="7" t="s">
        <v>1854</v>
      </c>
      <c r="AB5" s="7" t="s">
        <v>1855</v>
      </c>
      <c r="AC5" s="7" t="s">
        <v>1856</v>
      </c>
      <c r="AD5" s="7" t="s">
        <v>1857</v>
      </c>
      <c r="AE5" s="7" t="s">
        <v>1858</v>
      </c>
      <c r="AF5" s="7" t="s">
        <v>1859</v>
      </c>
      <c r="AG5" s="7" t="s">
        <v>1860</v>
      </c>
      <c r="AH5" s="7" t="s">
        <v>1861</v>
      </c>
      <c r="AI5" s="7" t="s">
        <v>1862</v>
      </c>
      <c r="AJ5" s="7" t="s">
        <v>1863</v>
      </c>
      <c r="AK5" s="7" t="s">
        <v>1864</v>
      </c>
      <c r="AL5" s="7" t="s">
        <v>1865</v>
      </c>
      <c r="AM5" s="7" t="s">
        <v>1866</v>
      </c>
      <c r="AN5" s="7" t="s">
        <v>1867</v>
      </c>
      <c r="AO5" s="7" t="s">
        <v>1868</v>
      </c>
      <c r="AP5" s="7" t="s">
        <v>1869</v>
      </c>
      <c r="AQ5" s="7" t="s">
        <v>1870</v>
      </c>
      <c r="AR5" s="7" t="s">
        <v>1871</v>
      </c>
      <c r="AS5" s="7" t="s">
        <v>1872</v>
      </c>
      <c r="AT5" s="7" t="s">
        <v>1873</v>
      </c>
      <c r="AU5" s="7" t="s">
        <v>1874</v>
      </c>
      <c r="AV5" s="7" t="s">
        <v>1875</v>
      </c>
      <c r="AW5" s="7" t="s">
        <v>1876</v>
      </c>
      <c r="AX5" s="7" t="s">
        <v>1877</v>
      </c>
      <c r="AY5" s="7" t="s">
        <v>1878</v>
      </c>
      <c r="AZ5" s="7" t="s">
        <v>1879</v>
      </c>
      <c r="BA5" s="7" t="s">
        <v>1880</v>
      </c>
      <c r="BB5" s="7" t="s">
        <v>1881</v>
      </c>
      <c r="BC5" s="7" t="s">
        <v>1882</v>
      </c>
      <c r="BD5" s="7" t="s">
        <v>1883</v>
      </c>
      <c r="BE5" s="7" t="s">
        <v>1884</v>
      </c>
      <c r="BF5" s="7" t="s">
        <v>1885</v>
      </c>
      <c r="BG5" s="7" t="s">
        <v>1886</v>
      </c>
      <c r="BH5" s="7" t="s">
        <v>1887</v>
      </c>
      <c r="BI5" s="7" t="s">
        <v>1888</v>
      </c>
      <c r="BJ5" s="7" t="s">
        <v>1889</v>
      </c>
      <c r="BK5" s="7" t="s">
        <v>1890</v>
      </c>
      <c r="BL5" s="7" t="s">
        <v>1891</v>
      </c>
      <c r="BM5" s="7" t="s">
        <v>1892</v>
      </c>
      <c r="BN5" s="7" t="s">
        <v>1893</v>
      </c>
      <c r="BO5" s="7" t="s">
        <v>1894</v>
      </c>
      <c r="BP5" s="7" t="s">
        <v>1895</v>
      </c>
      <c r="BQ5" s="7" t="s">
        <v>1896</v>
      </c>
      <c r="BR5" s="7" t="s">
        <v>1897</v>
      </c>
      <c r="BS5" s="7" t="s">
        <v>1898</v>
      </c>
      <c r="BT5" s="7" t="s">
        <v>1899</v>
      </c>
      <c r="BU5" s="7" t="s">
        <v>1900</v>
      </c>
      <c r="BV5" s="7" t="s">
        <v>1901</v>
      </c>
      <c r="BW5" s="7" t="s">
        <v>45</v>
      </c>
      <c r="BX5" s="7" t="s">
        <v>1902</v>
      </c>
      <c r="BY5" s="7" t="s">
        <v>1903</v>
      </c>
      <c r="BZ5" s="7" t="s">
        <v>1904</v>
      </c>
      <c r="CA5" s="7" t="s">
        <v>44</v>
      </c>
    </row>
    <row r="6" customFormat="false" ht="14.25" hidden="false" customHeight="false" outlineLevel="0" collapsed="false">
      <c r="A6" s="61" t="n">
        <v>1846</v>
      </c>
      <c r="B6" s="50" t="n">
        <f aca="false">0</f>
        <v>0</v>
      </c>
      <c r="C6" s="48" t="n">
        <v>0</v>
      </c>
      <c r="D6" s="65" t="n">
        <f aca="false">Japan!B6</f>
        <v>0</v>
      </c>
      <c r="E6" s="71" t="n">
        <v>0</v>
      </c>
      <c r="F6" s="50" t="n">
        <f aca="false">IF(C6&gt;0,D6*1000000/C6,0)</f>
        <v>0</v>
      </c>
      <c r="G6" s="67" t="n">
        <f aca="false">0</f>
        <v>0</v>
      </c>
      <c r="H6" s="68" t="n">
        <f aca="false">1</f>
        <v>1</v>
      </c>
      <c r="I6" s="50" t="n">
        <f aca="false">D6*H6</f>
        <v>0</v>
      </c>
      <c r="J6" s="70" t="n">
        <f aca="false">IF(C6&gt;0,I6*1000000/C6/Economy!Q6,0)</f>
        <v>0</v>
      </c>
      <c r="K6" s="65" t="n">
        <f aca="false">Gulf!B6</f>
        <v>0</v>
      </c>
      <c r="L6" s="50" t="n">
        <f aca="false">Gulf!B6*Gulf!C6*Economy!Q6/1000000</f>
        <v>0</v>
      </c>
      <c r="M6" s="71" t="n">
        <v>0</v>
      </c>
      <c r="N6" s="50" t="n">
        <f aca="false">IF(K6&gt;0,L6*1000000/K6,0)</f>
        <v>0</v>
      </c>
      <c r="O6" s="67" t="n">
        <f aca="false">0</f>
        <v>0</v>
      </c>
      <c r="P6" s="68" t="n">
        <f aca="false">1</f>
        <v>1</v>
      </c>
      <c r="Q6" s="50" t="n">
        <f aca="false">L6*P6</f>
        <v>0</v>
      </c>
      <c r="R6" s="70" t="n">
        <f aca="false">IF(K6&gt;0,Q6*1000000/K6/Economy!Q6,0)</f>
        <v>0</v>
      </c>
      <c r="S6" s="65" t="n">
        <f aca="false">People!U6</f>
        <v>0</v>
      </c>
      <c r="T6" s="48" t="n">
        <v>0</v>
      </c>
      <c r="U6" s="71" t="n">
        <v>0</v>
      </c>
      <c r="V6" s="50" t="n">
        <f aca="false">IF(S6&gt;0,T6*1000000/S6,0)</f>
        <v>0</v>
      </c>
      <c r="W6" s="67" t="n">
        <f aca="false">0</f>
        <v>0</v>
      </c>
      <c r="X6" s="68" t="n">
        <f aca="false">1</f>
        <v>1</v>
      </c>
      <c r="Y6" s="50" t="n">
        <f aca="false">T6*X6</f>
        <v>0</v>
      </c>
      <c r="Z6" s="70" t="n">
        <f aca="false">IF(S6&gt;0,Y6*1000000/S6/Economy!Q6,0)</f>
        <v>0</v>
      </c>
      <c r="AA6" s="48" t="n">
        <v>0</v>
      </c>
      <c r="AB6" s="48" t="n">
        <v>0</v>
      </c>
      <c r="AC6" s="71" t="n">
        <v>0</v>
      </c>
      <c r="AD6" s="50" t="n">
        <f aca="false">IF(AA6&gt;0,AB6*1000000/AA6,0)</f>
        <v>0</v>
      </c>
      <c r="AE6" s="67" t="n">
        <f aca="false">0</f>
        <v>0</v>
      </c>
      <c r="AF6" s="68" t="n">
        <f aca="false">1</f>
        <v>1</v>
      </c>
      <c r="AG6" s="50" t="n">
        <f aca="false">AB6*AF6</f>
        <v>0</v>
      </c>
      <c r="AH6" s="70" t="n">
        <f aca="false">IF(AA6&gt;0,AG6*1000000/AA6/Economy!Q6,0)</f>
        <v>0</v>
      </c>
      <c r="AI6" s="48" t="n">
        <v>0</v>
      </c>
      <c r="AJ6" s="48" t="n">
        <v>0</v>
      </c>
      <c r="AK6" s="71" t="n">
        <v>0</v>
      </c>
      <c r="AL6" s="50" t="n">
        <f aca="false">IF(AI6&gt;0,AJ6*1000000/AI6,0)</f>
        <v>0</v>
      </c>
      <c r="AM6" s="67" t="n">
        <f aca="false">0</f>
        <v>0</v>
      </c>
      <c r="AN6" s="68" t="n">
        <f aca="false">1</f>
        <v>1</v>
      </c>
      <c r="AO6" s="50" t="n">
        <f aca="false">AJ6*AN6</f>
        <v>0</v>
      </c>
      <c r="AP6" s="70" t="n">
        <f aca="false">IF(AI6&gt;0,AO6*1000000/AI6/Economy!Q6,0)</f>
        <v>0</v>
      </c>
      <c r="AQ6" s="48" t="n">
        <v>0</v>
      </c>
      <c r="AR6" s="48" t="n">
        <v>0</v>
      </c>
      <c r="AS6" s="71" t="n">
        <v>0</v>
      </c>
      <c r="AT6" s="50" t="n">
        <f aca="false">IF(AQ6&gt;0,AR6*1000000/AQ6,0)</f>
        <v>0</v>
      </c>
      <c r="AU6" s="67" t="n">
        <f aca="false">0</f>
        <v>0</v>
      </c>
      <c r="AV6" s="68" t="n">
        <f aca="false">1</f>
        <v>1</v>
      </c>
      <c r="AW6" s="50" t="n">
        <f aca="false">AR6*AV6</f>
        <v>0</v>
      </c>
      <c r="AX6" s="70" t="n">
        <f aca="false">IF(AQ6&gt;0,AW6*1000000/AQ6/Economy!Q6,0)</f>
        <v>0</v>
      </c>
      <c r="AY6" s="48" t="n">
        <v>0</v>
      </c>
      <c r="AZ6" s="48" t="n">
        <v>0</v>
      </c>
      <c r="BA6" s="71" t="n">
        <v>0</v>
      </c>
      <c r="BB6" s="50" t="n">
        <f aca="false">IF(AY6&gt;0,AZ6*1000000/AY6,0)</f>
        <v>0</v>
      </c>
      <c r="BC6" s="67" t="n">
        <f aca="false">0</f>
        <v>0</v>
      </c>
      <c r="BD6" s="68" t="n">
        <f aca="false">1</f>
        <v>1</v>
      </c>
      <c r="BE6" s="50" t="n">
        <f aca="false">AZ6*BD6</f>
        <v>0</v>
      </c>
      <c r="BF6" s="70" t="n">
        <f aca="false">IF(AY6&gt;0,BE6*1000000/AY6/Economy!Q6,0)</f>
        <v>0</v>
      </c>
      <c r="BG6" s="48" t="n">
        <v>0</v>
      </c>
      <c r="BH6" s="48" t="n">
        <v>0</v>
      </c>
      <c r="BI6" s="71" t="n">
        <v>0</v>
      </c>
      <c r="BJ6" s="50" t="n">
        <f aca="false">IF(BG6&gt;0,BH6*1000000/BG6,0)</f>
        <v>0</v>
      </c>
      <c r="BK6" s="67" t="n">
        <f aca="false">0</f>
        <v>0</v>
      </c>
      <c r="BL6" s="68" t="n">
        <f aca="false">1</f>
        <v>1</v>
      </c>
      <c r="BM6" s="50" t="n">
        <f aca="false">BH6*BL6</f>
        <v>0</v>
      </c>
      <c r="BN6" s="70" t="n">
        <f aca="false">IF(BG6&gt;0,BM6*1000000/BG6/Economy!Q6,0)</f>
        <v>0</v>
      </c>
      <c r="BO6" s="48" t="n">
        <v>0</v>
      </c>
      <c r="BP6" s="48" t="n">
        <v>0</v>
      </c>
      <c r="BQ6" s="71" t="n">
        <v>0</v>
      </c>
      <c r="BR6" s="50" t="n">
        <f aca="false">IF(BO6&gt;0,BP6*1000000/BO6,0)</f>
        <v>0</v>
      </c>
      <c r="BS6" s="67" t="n">
        <f aca="false">0</f>
        <v>0</v>
      </c>
      <c r="BT6" s="68" t="n">
        <f aca="false">1</f>
        <v>1</v>
      </c>
      <c r="BU6" s="50"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50" t="n">
        <f aca="false">I6+Q6+Y6+AG6</f>
        <v>0</v>
      </c>
      <c r="BZ6" s="50" t="n">
        <f aca="false">D6+L6+T6+AB6</f>
        <v>0</v>
      </c>
      <c r="CA6" s="68" t="n">
        <f aca="false">IF(BZ6&gt;0,BY6/BZ6,0)</f>
        <v>0</v>
      </c>
    </row>
    <row r="7" customFormat="false" ht="14.25" hidden="false" customHeight="false" outlineLevel="0" collapsed="false">
      <c r="A7" s="61" t="n">
        <v>1847</v>
      </c>
      <c r="B7" s="50" t="n">
        <f aca="false">Economy!P6</f>
        <v>111</v>
      </c>
      <c r="C7" s="48" t="n">
        <v>0</v>
      </c>
      <c r="D7" s="65" t="n">
        <f aca="false">Japan!B7</f>
        <v>0</v>
      </c>
      <c r="E7" s="71" t="n">
        <v>0</v>
      </c>
      <c r="F7" s="50" t="n">
        <f aca="false">IF(C7&gt;0,D7*1000000/C7,0)</f>
        <v>0</v>
      </c>
      <c r="G7" s="67" t="n">
        <f aca="false">IF(AND(E7&gt;0,F6&gt;0,B7&gt;0),MIN(conv_cap,conv_beta*jp_uplift*E7*MAX(0,LN(B7/(F6*H6)))),0)</f>
        <v>0</v>
      </c>
      <c r="H7" s="68" t="n">
        <f aca="false">H6*(1+G7)</f>
        <v>1</v>
      </c>
      <c r="I7" s="50" t="n">
        <f aca="false">D7*H7</f>
        <v>0</v>
      </c>
      <c r="J7" s="70" t="n">
        <f aca="false">IF(C7&gt;0,I7*1000000/C7/Economy!Q7,0)</f>
        <v>0</v>
      </c>
      <c r="K7" s="65" t="n">
        <f aca="false">Gulf!B7</f>
        <v>0</v>
      </c>
      <c r="L7" s="50" t="n">
        <f aca="false">Gulf!B7*Gulf!C7*Economy!Q7/1000000</f>
        <v>0</v>
      </c>
      <c r="M7" s="71" t="n">
        <v>0</v>
      </c>
      <c r="N7" s="50" t="n">
        <f aca="false">IF(K7&gt;0,L7*1000000/K7,0)</f>
        <v>0</v>
      </c>
      <c r="O7" s="67" t="n">
        <f aca="false">IF(AND(M7&gt;0,N6&gt;0,B7&gt;0),MIN(conv_cap,conv_beta*1*M7*MAX(0,LN(B7/(N6*P6)))),0)</f>
        <v>0</v>
      </c>
      <c r="P7" s="68" t="n">
        <f aca="false">P6*(1+O7)</f>
        <v>1</v>
      </c>
      <c r="Q7" s="50" t="n">
        <f aca="false">L7*P7</f>
        <v>0</v>
      </c>
      <c r="R7" s="70" t="n">
        <f aca="false">IF(K7&gt;0,Q7*1000000/K7/Economy!Q7,0)</f>
        <v>0</v>
      </c>
      <c r="S7" s="65" t="n">
        <f aca="false">People!U7</f>
        <v>0</v>
      </c>
      <c r="T7" s="48" t="n">
        <v>0</v>
      </c>
      <c r="U7" s="71" t="n">
        <v>0</v>
      </c>
      <c r="V7" s="50" t="n">
        <f aca="false">IF(S7&gt;0,T7*1000000/S7,0)</f>
        <v>0</v>
      </c>
      <c r="W7" s="67" t="n">
        <f aca="false">IF(AND(U7&gt;0,V6&gt;0,B7&gt;0),MIN(conv_cap,conv_beta*1*U7*MAX(0,LN(B7/(V6*X6)))),0)</f>
        <v>0</v>
      </c>
      <c r="X7" s="68" t="n">
        <f aca="false">X6*(1+W7)</f>
        <v>1</v>
      </c>
      <c r="Y7" s="50" t="n">
        <f aca="false">T7*X7</f>
        <v>0</v>
      </c>
      <c r="Z7" s="70" t="n">
        <f aca="false">IF(S7&gt;0,Y7*1000000/S7/Economy!Q7,0)</f>
        <v>0</v>
      </c>
      <c r="AA7" s="48" t="n">
        <v>0</v>
      </c>
      <c r="AB7" s="48" t="n">
        <v>0</v>
      </c>
      <c r="AC7" s="71" t="n">
        <v>0</v>
      </c>
      <c r="AD7" s="50" t="n">
        <f aca="false">IF(AA7&gt;0,AB7*1000000/AA7,0)</f>
        <v>0</v>
      </c>
      <c r="AE7" s="67" t="n">
        <f aca="false">IF(AND(AC7&gt;0,AD6&gt;0,B7&gt;0),MIN(conv_cap,conv_beta*1*AC7*MAX(0,LN(B7/(AD6*AF6)))),0)</f>
        <v>0</v>
      </c>
      <c r="AF7" s="68" t="n">
        <f aca="false">AF6*(1+AE7)</f>
        <v>1</v>
      </c>
      <c r="AG7" s="50" t="n">
        <f aca="false">AB7*AF7</f>
        <v>0</v>
      </c>
      <c r="AH7" s="70" t="n">
        <f aca="false">IF(AA7&gt;0,AG7*1000000/AA7/Economy!Q7,0)</f>
        <v>0</v>
      </c>
      <c r="AI7" s="48" t="n">
        <v>0</v>
      </c>
      <c r="AJ7" s="48" t="n">
        <v>0</v>
      </c>
      <c r="AK7" s="71" t="n">
        <v>0</v>
      </c>
      <c r="AL7" s="50" t="n">
        <f aca="false">IF(AI7&gt;0,AJ7*1000000/AI7,0)</f>
        <v>0</v>
      </c>
      <c r="AM7" s="67" t="n">
        <f aca="false">IF(AND(AK7&gt;0,AL6&gt;0,B7&gt;0),MIN(conv_cap,conv_beta*1*AK7*MAX(0,LN(B7/(AL6*AN6)))),0)</f>
        <v>0</v>
      </c>
      <c r="AN7" s="68" t="n">
        <f aca="false">AN6*(1+AM7)</f>
        <v>1</v>
      </c>
      <c r="AO7" s="50" t="n">
        <f aca="false">AJ7*AN7</f>
        <v>0</v>
      </c>
      <c r="AP7" s="70" t="n">
        <f aca="false">IF(AI7&gt;0,AO7*1000000/AI7/Economy!Q7,0)</f>
        <v>0</v>
      </c>
      <c r="AQ7" s="48" t="n">
        <v>0</v>
      </c>
      <c r="AR7" s="48" t="n">
        <v>0</v>
      </c>
      <c r="AS7" s="71" t="n">
        <v>0</v>
      </c>
      <c r="AT7" s="50" t="n">
        <f aca="false">IF(AQ7&gt;0,AR7*1000000/AQ7,0)</f>
        <v>0</v>
      </c>
      <c r="AU7" s="67" t="n">
        <f aca="false">IF(AND(AS7&gt;0,AT6&gt;0,B7&gt;0),MIN(conv_cap,conv_beta*1*AS7*MAX(0,LN(B7/(AT6*AV6)))),0)</f>
        <v>0</v>
      </c>
      <c r="AV7" s="68" t="n">
        <f aca="false">AV6*(1+AU7)</f>
        <v>1</v>
      </c>
      <c r="AW7" s="50" t="n">
        <f aca="false">AR7*AV7</f>
        <v>0</v>
      </c>
      <c r="AX7" s="70" t="n">
        <f aca="false">IF(AQ7&gt;0,AW7*1000000/AQ7/Economy!Q7,0)</f>
        <v>0</v>
      </c>
      <c r="AY7" s="48" t="n">
        <v>0</v>
      </c>
      <c r="AZ7" s="48" t="n">
        <v>0</v>
      </c>
      <c r="BA7" s="71" t="n">
        <v>0</v>
      </c>
      <c r="BB7" s="50" t="n">
        <f aca="false">IF(AY7&gt;0,AZ7*1000000/AY7,0)</f>
        <v>0</v>
      </c>
      <c r="BC7" s="67" t="n">
        <f aca="false">IF(AND(BA7&gt;0,BB6&gt;0,B7&gt;0),MIN(conv_cap,conv_beta*1*BA7*MAX(0,LN(B7/(BB6*BD6)))),0)</f>
        <v>0</v>
      </c>
      <c r="BD7" s="68" t="n">
        <f aca="false">BD6*(1+BC7)</f>
        <v>1</v>
      </c>
      <c r="BE7" s="50" t="n">
        <f aca="false">AZ7*BD7</f>
        <v>0</v>
      </c>
      <c r="BF7" s="70" t="n">
        <f aca="false">IF(AY7&gt;0,BE7*1000000/AY7/Economy!Q7,0)</f>
        <v>0</v>
      </c>
      <c r="BG7" s="48" t="n">
        <v>0</v>
      </c>
      <c r="BH7" s="48" t="n">
        <v>0</v>
      </c>
      <c r="BI7" s="71" t="n">
        <v>0</v>
      </c>
      <c r="BJ7" s="50" t="n">
        <f aca="false">IF(BG7&gt;0,BH7*1000000/BG7,0)</f>
        <v>0</v>
      </c>
      <c r="BK7" s="67" t="n">
        <f aca="false">IF(AND(BI7&gt;0,BJ6&gt;0,B7&gt;0),MIN(conv_cap,conv_beta*1*BI7*MAX(0,LN(B7/(BJ6*BL6)))),0)</f>
        <v>0</v>
      </c>
      <c r="BL7" s="68" t="n">
        <f aca="false">BL6*(1+BK7)</f>
        <v>1</v>
      </c>
      <c r="BM7" s="50" t="n">
        <f aca="false">BH7*BL7</f>
        <v>0</v>
      </c>
      <c r="BN7" s="70" t="n">
        <f aca="false">IF(BG7&gt;0,BM7*1000000/BG7/Economy!Q7,0)</f>
        <v>0</v>
      </c>
      <c r="BO7" s="48" t="n">
        <v>0</v>
      </c>
      <c r="BP7" s="48" t="n">
        <v>0</v>
      </c>
      <c r="BQ7" s="71" t="n">
        <v>0</v>
      </c>
      <c r="BR7" s="50" t="n">
        <f aca="false">IF(BO7&gt;0,BP7*1000000/BO7,0)</f>
        <v>0</v>
      </c>
      <c r="BS7" s="67" t="n">
        <f aca="false">IF(AND(BQ7&gt;0,BR6&gt;0,B7&gt;0),MIN(conv_cap,conv_beta*1*BQ7*MAX(0,LN(B7/(BR6*BT6)))),0)</f>
        <v>0</v>
      </c>
      <c r="BT7" s="68" t="n">
        <f aca="false">BT6*(1+BS7)</f>
        <v>1</v>
      </c>
      <c r="BU7" s="50"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50" t="n">
        <f aca="false">I7+Q7+Y7+AG7</f>
        <v>0</v>
      </c>
      <c r="BZ7" s="50" t="n">
        <f aca="false">D7+L7+T7+AB7</f>
        <v>0</v>
      </c>
      <c r="CA7" s="68" t="n">
        <f aca="false">IF(BZ7&gt;0,BY7/BZ7,0)</f>
        <v>0</v>
      </c>
    </row>
    <row r="8" customFormat="false" ht="14.25" hidden="false" customHeight="false" outlineLevel="0" collapsed="false">
      <c r="A8" s="61" t="n">
        <v>1848</v>
      </c>
      <c r="B8" s="50" t="n">
        <f aca="false">Economy!P7</f>
        <v>115.44</v>
      </c>
      <c r="C8" s="48" t="n">
        <v>0</v>
      </c>
      <c r="D8" s="65" t="n">
        <f aca="false">Japan!B8</f>
        <v>0</v>
      </c>
      <c r="E8" s="71" t="n">
        <v>0</v>
      </c>
      <c r="F8" s="50" t="n">
        <f aca="false">IF(C8&gt;0,D8*1000000/C8,0)</f>
        <v>0</v>
      </c>
      <c r="G8" s="67" t="n">
        <f aca="false">IF(AND(E8&gt;0,F7&gt;0,B8&gt;0),MIN(conv_cap,conv_beta*jp_uplift*E8*MAX(0,LN(B8/(F7*H7)))),0)</f>
        <v>0</v>
      </c>
      <c r="H8" s="68" t="n">
        <f aca="false">H7*(1+G8)</f>
        <v>1</v>
      </c>
      <c r="I8" s="50" t="n">
        <f aca="false">D8*H8</f>
        <v>0</v>
      </c>
      <c r="J8" s="70" t="n">
        <f aca="false">IF(C8&gt;0,I8*1000000/C8/Economy!Q8,0)</f>
        <v>0</v>
      </c>
      <c r="K8" s="65" t="n">
        <f aca="false">Gulf!B8</f>
        <v>0</v>
      </c>
      <c r="L8" s="50" t="n">
        <f aca="false">Gulf!B8*Gulf!C8*Economy!Q8/1000000</f>
        <v>0</v>
      </c>
      <c r="M8" s="71" t="n">
        <v>0</v>
      </c>
      <c r="N8" s="50" t="n">
        <f aca="false">IF(K8&gt;0,L8*1000000/K8,0)</f>
        <v>0</v>
      </c>
      <c r="O8" s="67" t="n">
        <f aca="false">IF(AND(M8&gt;0,N7&gt;0,B8&gt;0),MIN(conv_cap,conv_beta*1*M8*MAX(0,LN(B8/(N7*P7)))),0)</f>
        <v>0</v>
      </c>
      <c r="P8" s="68" t="n">
        <f aca="false">P7*(1+O8)</f>
        <v>1</v>
      </c>
      <c r="Q8" s="50" t="n">
        <f aca="false">L8*P8</f>
        <v>0</v>
      </c>
      <c r="R8" s="70" t="n">
        <f aca="false">IF(K8&gt;0,Q8*1000000/K8/Economy!Q8,0)</f>
        <v>0</v>
      </c>
      <c r="S8" s="65" t="n">
        <f aca="false">People!U8</f>
        <v>0</v>
      </c>
      <c r="T8" s="48" t="n">
        <v>0</v>
      </c>
      <c r="U8" s="71" t="n">
        <v>0</v>
      </c>
      <c r="V8" s="50" t="n">
        <f aca="false">IF(S8&gt;0,T8*1000000/S8,0)</f>
        <v>0</v>
      </c>
      <c r="W8" s="67" t="n">
        <f aca="false">IF(AND(U8&gt;0,V7&gt;0,B8&gt;0),MIN(conv_cap,conv_beta*1*U8*MAX(0,LN(B8/(V7*X7)))),0)</f>
        <v>0</v>
      </c>
      <c r="X8" s="68" t="n">
        <f aca="false">X7*(1+W8)</f>
        <v>1</v>
      </c>
      <c r="Y8" s="50" t="n">
        <f aca="false">T8*X8</f>
        <v>0</v>
      </c>
      <c r="Z8" s="70" t="n">
        <f aca="false">IF(S8&gt;0,Y8*1000000/S8/Economy!Q8,0)</f>
        <v>0</v>
      </c>
      <c r="AA8" s="48" t="n">
        <v>0</v>
      </c>
      <c r="AB8" s="48" t="n">
        <v>0</v>
      </c>
      <c r="AC8" s="71" t="n">
        <v>0</v>
      </c>
      <c r="AD8" s="50" t="n">
        <f aca="false">IF(AA8&gt;0,AB8*1000000/AA8,0)</f>
        <v>0</v>
      </c>
      <c r="AE8" s="67" t="n">
        <f aca="false">IF(AND(AC8&gt;0,AD7&gt;0,B8&gt;0),MIN(conv_cap,conv_beta*1*AC8*MAX(0,LN(B8/(AD7*AF7)))),0)</f>
        <v>0</v>
      </c>
      <c r="AF8" s="68" t="n">
        <f aca="false">AF7*(1+AE8)</f>
        <v>1</v>
      </c>
      <c r="AG8" s="50" t="n">
        <f aca="false">AB8*AF8</f>
        <v>0</v>
      </c>
      <c r="AH8" s="70" t="n">
        <f aca="false">IF(AA8&gt;0,AG8*1000000/AA8/Economy!Q8,0)</f>
        <v>0</v>
      </c>
      <c r="AI8" s="48" t="n">
        <v>0</v>
      </c>
      <c r="AJ8" s="48" t="n">
        <v>0</v>
      </c>
      <c r="AK8" s="71" t="n">
        <v>0</v>
      </c>
      <c r="AL8" s="50" t="n">
        <f aca="false">IF(AI8&gt;0,AJ8*1000000/AI8,0)</f>
        <v>0</v>
      </c>
      <c r="AM8" s="67" t="n">
        <f aca="false">IF(AND(AK8&gt;0,AL7&gt;0,B8&gt;0),MIN(conv_cap,conv_beta*1*AK8*MAX(0,LN(B8/(AL7*AN7)))),0)</f>
        <v>0</v>
      </c>
      <c r="AN8" s="68" t="n">
        <f aca="false">AN7*(1+AM8)</f>
        <v>1</v>
      </c>
      <c r="AO8" s="50" t="n">
        <f aca="false">AJ8*AN8</f>
        <v>0</v>
      </c>
      <c r="AP8" s="70" t="n">
        <f aca="false">IF(AI8&gt;0,AO8*1000000/AI8/Economy!Q8,0)</f>
        <v>0</v>
      </c>
      <c r="AQ8" s="48" t="n">
        <v>0</v>
      </c>
      <c r="AR8" s="48" t="n">
        <v>0</v>
      </c>
      <c r="AS8" s="71" t="n">
        <v>0</v>
      </c>
      <c r="AT8" s="50" t="n">
        <f aca="false">IF(AQ8&gt;0,AR8*1000000/AQ8,0)</f>
        <v>0</v>
      </c>
      <c r="AU8" s="67" t="n">
        <f aca="false">IF(AND(AS8&gt;0,AT7&gt;0,B8&gt;0),MIN(conv_cap,conv_beta*1*AS8*MAX(0,LN(B8/(AT7*AV7)))),0)</f>
        <v>0</v>
      </c>
      <c r="AV8" s="68" t="n">
        <f aca="false">AV7*(1+AU8)</f>
        <v>1</v>
      </c>
      <c r="AW8" s="50" t="n">
        <f aca="false">AR8*AV8</f>
        <v>0</v>
      </c>
      <c r="AX8" s="70" t="n">
        <f aca="false">IF(AQ8&gt;0,AW8*1000000/AQ8/Economy!Q8,0)</f>
        <v>0</v>
      </c>
      <c r="AY8" s="48" t="n">
        <v>0</v>
      </c>
      <c r="AZ8" s="48" t="n">
        <v>0</v>
      </c>
      <c r="BA8" s="71" t="n">
        <v>0</v>
      </c>
      <c r="BB8" s="50" t="n">
        <f aca="false">IF(AY8&gt;0,AZ8*1000000/AY8,0)</f>
        <v>0</v>
      </c>
      <c r="BC8" s="67" t="n">
        <f aca="false">IF(AND(BA8&gt;0,BB7&gt;0,B8&gt;0),MIN(conv_cap,conv_beta*1*BA8*MAX(0,LN(B8/(BB7*BD7)))),0)</f>
        <v>0</v>
      </c>
      <c r="BD8" s="68" t="n">
        <f aca="false">BD7*(1+BC8)</f>
        <v>1</v>
      </c>
      <c r="BE8" s="50" t="n">
        <f aca="false">AZ8*BD8</f>
        <v>0</v>
      </c>
      <c r="BF8" s="70" t="n">
        <f aca="false">IF(AY8&gt;0,BE8*1000000/AY8/Economy!Q8,0)</f>
        <v>0</v>
      </c>
      <c r="BG8" s="48" t="n">
        <v>0</v>
      </c>
      <c r="BH8" s="48" t="n">
        <v>0</v>
      </c>
      <c r="BI8" s="71" t="n">
        <v>0</v>
      </c>
      <c r="BJ8" s="50" t="n">
        <f aca="false">IF(BG8&gt;0,BH8*1000000/BG8,0)</f>
        <v>0</v>
      </c>
      <c r="BK8" s="67" t="n">
        <f aca="false">IF(AND(BI8&gt;0,BJ7&gt;0,B8&gt;0),MIN(conv_cap,conv_beta*1*BI8*MAX(0,LN(B8/(BJ7*BL7)))),0)</f>
        <v>0</v>
      </c>
      <c r="BL8" s="68" t="n">
        <f aca="false">BL7*(1+BK8)</f>
        <v>1</v>
      </c>
      <c r="BM8" s="50" t="n">
        <f aca="false">BH8*BL8</f>
        <v>0</v>
      </c>
      <c r="BN8" s="70" t="n">
        <f aca="false">IF(BG8&gt;0,BM8*1000000/BG8/Economy!Q8,0)</f>
        <v>0</v>
      </c>
      <c r="BO8" s="48" t="n">
        <v>0</v>
      </c>
      <c r="BP8" s="48" t="n">
        <v>0</v>
      </c>
      <c r="BQ8" s="71" t="n">
        <v>0</v>
      </c>
      <c r="BR8" s="50" t="n">
        <f aca="false">IF(BO8&gt;0,BP8*1000000/BO8,0)</f>
        <v>0</v>
      </c>
      <c r="BS8" s="67" t="n">
        <f aca="false">IF(AND(BQ8&gt;0,BR7&gt;0,B8&gt;0),MIN(conv_cap,conv_beta*1*BQ8*MAX(0,LN(B8/(BR7*BT7)))),0)</f>
        <v>0</v>
      </c>
      <c r="BT8" s="68" t="n">
        <f aca="false">BT7*(1+BS8)</f>
        <v>1</v>
      </c>
      <c r="BU8" s="50"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50" t="n">
        <f aca="false">I8+Q8+Y8+AG8</f>
        <v>0</v>
      </c>
      <c r="BZ8" s="50" t="n">
        <f aca="false">D8+L8+T8+AB8</f>
        <v>0</v>
      </c>
      <c r="CA8" s="68" t="n">
        <f aca="false">IF(BZ8&gt;0,BY8/BZ8,0)</f>
        <v>0</v>
      </c>
    </row>
    <row r="9" customFormat="false" ht="14.25" hidden="false" customHeight="false" outlineLevel="0" collapsed="false">
      <c r="A9" s="61" t="n">
        <v>1849</v>
      </c>
      <c r="B9" s="50" t="n">
        <f aca="false">Economy!P8</f>
        <v>157.716527601029</v>
      </c>
      <c r="C9" s="48" t="n">
        <v>0</v>
      </c>
      <c r="D9" s="65" t="n">
        <f aca="false">Japan!B9</f>
        <v>0</v>
      </c>
      <c r="E9" s="71" t="n">
        <v>0</v>
      </c>
      <c r="F9" s="50" t="n">
        <f aca="false">IF(C9&gt;0,D9*1000000/C9,0)</f>
        <v>0</v>
      </c>
      <c r="G9" s="67" t="n">
        <f aca="false">IF(AND(E9&gt;0,F8&gt;0,B9&gt;0),MIN(conv_cap,conv_beta*jp_uplift*E9*MAX(0,LN(B9/(F8*H8)))),0)</f>
        <v>0</v>
      </c>
      <c r="H9" s="68" t="n">
        <f aca="false">H8*(1+G9)</f>
        <v>1</v>
      </c>
      <c r="I9" s="50" t="n">
        <f aca="false">D9*H9</f>
        <v>0</v>
      </c>
      <c r="J9" s="70" t="n">
        <f aca="false">IF(C9&gt;0,I9*1000000/C9/Economy!Q9,0)</f>
        <v>0</v>
      </c>
      <c r="K9" s="65" t="n">
        <f aca="false">Gulf!B9</f>
        <v>0</v>
      </c>
      <c r="L9" s="50" t="n">
        <f aca="false">Gulf!B9*Gulf!C9*Economy!Q9/1000000</f>
        <v>0</v>
      </c>
      <c r="M9" s="71" t="n">
        <v>0</v>
      </c>
      <c r="N9" s="50" t="n">
        <f aca="false">IF(K9&gt;0,L9*1000000/K9,0)</f>
        <v>0</v>
      </c>
      <c r="O9" s="67" t="n">
        <f aca="false">IF(AND(M9&gt;0,N8&gt;0,B9&gt;0),MIN(conv_cap,conv_beta*1*M9*MAX(0,LN(B9/(N8*P8)))),0)</f>
        <v>0</v>
      </c>
      <c r="P9" s="68" t="n">
        <f aca="false">P8*(1+O9)</f>
        <v>1</v>
      </c>
      <c r="Q9" s="50" t="n">
        <f aca="false">L9*P9</f>
        <v>0</v>
      </c>
      <c r="R9" s="70" t="n">
        <f aca="false">IF(K9&gt;0,Q9*1000000/K9/Economy!Q9,0)</f>
        <v>0</v>
      </c>
      <c r="S9" s="65" t="n">
        <f aca="false">People!U9</f>
        <v>0</v>
      </c>
      <c r="T9" s="48" t="n">
        <v>0</v>
      </c>
      <c r="U9" s="71" t="n">
        <v>0</v>
      </c>
      <c r="V9" s="50" t="n">
        <f aca="false">IF(S9&gt;0,T9*1000000/S9,0)</f>
        <v>0</v>
      </c>
      <c r="W9" s="67" t="n">
        <f aca="false">IF(AND(U9&gt;0,V8&gt;0,B9&gt;0),MIN(conv_cap,conv_beta*1*U9*MAX(0,LN(B9/(V8*X8)))),0)</f>
        <v>0</v>
      </c>
      <c r="X9" s="68" t="n">
        <f aca="false">X8*(1+W9)</f>
        <v>1</v>
      </c>
      <c r="Y9" s="50" t="n">
        <f aca="false">T9*X9</f>
        <v>0</v>
      </c>
      <c r="Z9" s="70" t="n">
        <f aca="false">IF(S9&gt;0,Y9*1000000/S9/Economy!Q9,0)</f>
        <v>0</v>
      </c>
      <c r="AA9" s="48" t="n">
        <v>0</v>
      </c>
      <c r="AB9" s="48" t="n">
        <v>0</v>
      </c>
      <c r="AC9" s="71" t="n">
        <v>0</v>
      </c>
      <c r="AD9" s="50" t="n">
        <f aca="false">IF(AA9&gt;0,AB9*1000000/AA9,0)</f>
        <v>0</v>
      </c>
      <c r="AE9" s="67" t="n">
        <f aca="false">IF(AND(AC9&gt;0,AD8&gt;0,B9&gt;0),MIN(conv_cap,conv_beta*1*AC9*MAX(0,LN(B9/(AD8*AF8)))),0)</f>
        <v>0</v>
      </c>
      <c r="AF9" s="68" t="n">
        <f aca="false">AF8*(1+AE9)</f>
        <v>1</v>
      </c>
      <c r="AG9" s="50" t="n">
        <f aca="false">AB9*AF9</f>
        <v>0</v>
      </c>
      <c r="AH9" s="70" t="n">
        <f aca="false">IF(AA9&gt;0,AG9*1000000/AA9/Economy!Q9,0)</f>
        <v>0</v>
      </c>
      <c r="AI9" s="48" t="n">
        <v>0</v>
      </c>
      <c r="AJ9" s="48" t="n">
        <v>0</v>
      </c>
      <c r="AK9" s="71" t="n">
        <v>0</v>
      </c>
      <c r="AL9" s="50" t="n">
        <f aca="false">IF(AI9&gt;0,AJ9*1000000/AI9,0)</f>
        <v>0</v>
      </c>
      <c r="AM9" s="67" t="n">
        <f aca="false">IF(AND(AK9&gt;0,AL8&gt;0,B9&gt;0),MIN(conv_cap,conv_beta*1*AK9*MAX(0,LN(B9/(AL8*AN8)))),0)</f>
        <v>0</v>
      </c>
      <c r="AN9" s="68" t="n">
        <f aca="false">AN8*(1+AM9)</f>
        <v>1</v>
      </c>
      <c r="AO9" s="50" t="n">
        <f aca="false">AJ9*AN9</f>
        <v>0</v>
      </c>
      <c r="AP9" s="70" t="n">
        <f aca="false">IF(AI9&gt;0,AO9*1000000/AI9/Economy!Q9,0)</f>
        <v>0</v>
      </c>
      <c r="AQ9" s="48" t="n">
        <v>0</v>
      </c>
      <c r="AR9" s="48" t="n">
        <v>0</v>
      </c>
      <c r="AS9" s="71" t="n">
        <v>0</v>
      </c>
      <c r="AT9" s="50" t="n">
        <f aca="false">IF(AQ9&gt;0,AR9*1000000/AQ9,0)</f>
        <v>0</v>
      </c>
      <c r="AU9" s="67" t="n">
        <f aca="false">IF(AND(AS9&gt;0,AT8&gt;0,B9&gt;0),MIN(conv_cap,conv_beta*1*AS9*MAX(0,LN(B9/(AT8*AV8)))),0)</f>
        <v>0</v>
      </c>
      <c r="AV9" s="68" t="n">
        <f aca="false">AV8*(1+AU9)</f>
        <v>1</v>
      </c>
      <c r="AW9" s="50" t="n">
        <f aca="false">AR9*AV9</f>
        <v>0</v>
      </c>
      <c r="AX9" s="70" t="n">
        <f aca="false">IF(AQ9&gt;0,AW9*1000000/AQ9/Economy!Q9,0)</f>
        <v>0</v>
      </c>
      <c r="AY9" s="48" t="n">
        <v>0</v>
      </c>
      <c r="AZ9" s="48" t="n">
        <v>0</v>
      </c>
      <c r="BA9" s="71" t="n">
        <v>0</v>
      </c>
      <c r="BB9" s="50" t="n">
        <f aca="false">IF(AY9&gt;0,AZ9*1000000/AY9,0)</f>
        <v>0</v>
      </c>
      <c r="BC9" s="67" t="n">
        <f aca="false">IF(AND(BA9&gt;0,BB8&gt;0,B9&gt;0),MIN(conv_cap,conv_beta*1*BA9*MAX(0,LN(B9/(BB8*BD8)))),0)</f>
        <v>0</v>
      </c>
      <c r="BD9" s="68" t="n">
        <f aca="false">BD8*(1+BC9)</f>
        <v>1</v>
      </c>
      <c r="BE9" s="50" t="n">
        <f aca="false">AZ9*BD9</f>
        <v>0</v>
      </c>
      <c r="BF9" s="70" t="n">
        <f aca="false">IF(AY9&gt;0,BE9*1000000/AY9/Economy!Q9,0)</f>
        <v>0</v>
      </c>
      <c r="BG9" s="48" t="n">
        <v>0</v>
      </c>
      <c r="BH9" s="48" t="n">
        <v>0</v>
      </c>
      <c r="BI9" s="71" t="n">
        <v>0</v>
      </c>
      <c r="BJ9" s="50" t="n">
        <f aca="false">IF(BG9&gt;0,BH9*1000000/BG9,0)</f>
        <v>0</v>
      </c>
      <c r="BK9" s="67" t="n">
        <f aca="false">IF(AND(BI9&gt;0,BJ8&gt;0,B9&gt;0),MIN(conv_cap,conv_beta*1*BI9*MAX(0,LN(B9/(BJ8*BL8)))),0)</f>
        <v>0</v>
      </c>
      <c r="BL9" s="68" t="n">
        <f aca="false">BL8*(1+BK9)</f>
        <v>1</v>
      </c>
      <c r="BM9" s="50" t="n">
        <f aca="false">BH9*BL9</f>
        <v>0</v>
      </c>
      <c r="BN9" s="70" t="n">
        <f aca="false">IF(BG9&gt;0,BM9*1000000/BG9/Economy!Q9,0)</f>
        <v>0</v>
      </c>
      <c r="BO9" s="48" t="n">
        <v>0</v>
      </c>
      <c r="BP9" s="48" t="n">
        <v>0</v>
      </c>
      <c r="BQ9" s="71" t="n">
        <v>0</v>
      </c>
      <c r="BR9" s="50" t="n">
        <f aca="false">IF(BO9&gt;0,BP9*1000000/BO9,0)</f>
        <v>0</v>
      </c>
      <c r="BS9" s="67" t="n">
        <f aca="false">IF(AND(BQ9&gt;0,BR8&gt;0,B9&gt;0),MIN(conv_cap,conv_beta*1*BQ9*MAX(0,LN(B9/(BR8*BT8)))),0)</f>
        <v>0</v>
      </c>
      <c r="BT9" s="68" t="n">
        <f aca="false">BT8*(1+BS9)</f>
        <v>1</v>
      </c>
      <c r="BU9" s="50"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50" t="n">
        <f aca="false">I9+Q9+Y9+AG9</f>
        <v>0</v>
      </c>
      <c r="BZ9" s="50" t="n">
        <f aca="false">D9+L9+T9+AB9</f>
        <v>0</v>
      </c>
      <c r="CA9" s="68" t="n">
        <f aca="false">IF(BZ9&gt;0,BY9/BZ9,0)</f>
        <v>0</v>
      </c>
    </row>
    <row r="10" customFormat="false" ht="14.25" hidden="false" customHeight="false" outlineLevel="0" collapsed="false">
      <c r="A10" s="61" t="n">
        <v>1850</v>
      </c>
      <c r="B10" s="50" t="n">
        <f aca="false">Economy!P9</f>
        <v>330.572418312253</v>
      </c>
      <c r="C10" s="48" t="n">
        <v>0</v>
      </c>
      <c r="D10" s="65" t="n">
        <f aca="false">Japan!B10</f>
        <v>0</v>
      </c>
      <c r="E10" s="71" t="n">
        <v>0</v>
      </c>
      <c r="F10" s="50" t="n">
        <f aca="false">IF(C10&gt;0,D10*1000000/C10,0)</f>
        <v>0</v>
      </c>
      <c r="G10" s="67" t="n">
        <f aca="false">IF(AND(E10&gt;0,F9&gt;0,B10&gt;0),MIN(conv_cap,conv_beta*jp_uplift*E10*MAX(0,LN(B10/(F9*H9)))),0)</f>
        <v>0</v>
      </c>
      <c r="H10" s="68" t="n">
        <f aca="false">H9*(1+G10)</f>
        <v>1</v>
      </c>
      <c r="I10" s="50" t="n">
        <f aca="false">D10*H10</f>
        <v>0</v>
      </c>
      <c r="J10" s="70" t="n">
        <f aca="false">IF(C10&gt;0,I10*1000000/C10/Economy!Q10,0)</f>
        <v>0</v>
      </c>
      <c r="K10" s="65" t="n">
        <f aca="false">Gulf!B10</f>
        <v>0</v>
      </c>
      <c r="L10" s="50" t="n">
        <f aca="false">Gulf!B10*Gulf!C10*Economy!Q10/1000000</f>
        <v>0</v>
      </c>
      <c r="M10" s="71" t="n">
        <v>0</v>
      </c>
      <c r="N10" s="50" t="n">
        <f aca="false">IF(K10&gt;0,L10*1000000/K10,0)</f>
        <v>0</v>
      </c>
      <c r="O10" s="67" t="n">
        <f aca="false">IF(AND(M10&gt;0,N9&gt;0,B10&gt;0),MIN(conv_cap,conv_beta*1*M10*MAX(0,LN(B10/(N9*P9)))),0)</f>
        <v>0</v>
      </c>
      <c r="P10" s="68" t="n">
        <f aca="false">P9*(1+O10)</f>
        <v>1</v>
      </c>
      <c r="Q10" s="50" t="n">
        <f aca="false">L10*P10</f>
        <v>0</v>
      </c>
      <c r="R10" s="70" t="n">
        <f aca="false">IF(K10&gt;0,Q10*1000000/K10/Economy!Q10,0)</f>
        <v>0</v>
      </c>
      <c r="S10" s="65" t="n">
        <f aca="false">People!U10</f>
        <v>0</v>
      </c>
      <c r="T10" s="48" t="n">
        <v>0</v>
      </c>
      <c r="U10" s="71" t="n">
        <v>0</v>
      </c>
      <c r="V10" s="50" t="n">
        <f aca="false">IF(S10&gt;0,T10*1000000/S10,0)</f>
        <v>0</v>
      </c>
      <c r="W10" s="67" t="n">
        <f aca="false">IF(AND(U10&gt;0,V9&gt;0,B10&gt;0),MIN(conv_cap,conv_beta*1*U10*MAX(0,LN(B10/(V9*X9)))),0)</f>
        <v>0</v>
      </c>
      <c r="X10" s="68" t="n">
        <f aca="false">X9*(1+W10)</f>
        <v>1</v>
      </c>
      <c r="Y10" s="50" t="n">
        <f aca="false">T10*X10</f>
        <v>0</v>
      </c>
      <c r="Z10" s="70" t="n">
        <f aca="false">IF(S10&gt;0,Y10*1000000/S10/Economy!Q10,0)</f>
        <v>0</v>
      </c>
      <c r="AA10" s="48" t="n">
        <v>0</v>
      </c>
      <c r="AB10" s="48" t="n">
        <v>0</v>
      </c>
      <c r="AC10" s="71" t="n">
        <v>0</v>
      </c>
      <c r="AD10" s="50" t="n">
        <f aca="false">IF(AA10&gt;0,AB10*1000000/AA10,0)</f>
        <v>0</v>
      </c>
      <c r="AE10" s="67" t="n">
        <f aca="false">IF(AND(AC10&gt;0,AD9&gt;0,B10&gt;0),MIN(conv_cap,conv_beta*1*AC10*MAX(0,LN(B10/(AD9*AF9)))),0)</f>
        <v>0</v>
      </c>
      <c r="AF10" s="68" t="n">
        <f aca="false">AF9*(1+AE10)</f>
        <v>1</v>
      </c>
      <c r="AG10" s="50" t="n">
        <f aca="false">AB10*AF10</f>
        <v>0</v>
      </c>
      <c r="AH10" s="70" t="n">
        <f aca="false">IF(AA10&gt;0,AG10*1000000/AA10/Economy!Q10,0)</f>
        <v>0</v>
      </c>
      <c r="AI10" s="48" t="n">
        <v>0</v>
      </c>
      <c r="AJ10" s="48" t="n">
        <v>0</v>
      </c>
      <c r="AK10" s="71" t="n">
        <v>0</v>
      </c>
      <c r="AL10" s="50" t="n">
        <f aca="false">IF(AI10&gt;0,AJ10*1000000/AI10,0)</f>
        <v>0</v>
      </c>
      <c r="AM10" s="67" t="n">
        <f aca="false">IF(AND(AK10&gt;0,AL9&gt;0,B10&gt;0),MIN(conv_cap,conv_beta*1*AK10*MAX(0,LN(B10/(AL9*AN9)))),0)</f>
        <v>0</v>
      </c>
      <c r="AN10" s="68" t="n">
        <f aca="false">AN9*(1+AM10)</f>
        <v>1</v>
      </c>
      <c r="AO10" s="50" t="n">
        <f aca="false">AJ10*AN10</f>
        <v>0</v>
      </c>
      <c r="AP10" s="70" t="n">
        <f aca="false">IF(AI10&gt;0,AO10*1000000/AI10/Economy!Q10,0)</f>
        <v>0</v>
      </c>
      <c r="AQ10" s="48" t="n">
        <v>0</v>
      </c>
      <c r="AR10" s="48" t="n">
        <v>0</v>
      </c>
      <c r="AS10" s="71" t="n">
        <v>0</v>
      </c>
      <c r="AT10" s="50" t="n">
        <f aca="false">IF(AQ10&gt;0,AR10*1000000/AQ10,0)</f>
        <v>0</v>
      </c>
      <c r="AU10" s="67" t="n">
        <f aca="false">IF(AND(AS10&gt;0,AT9&gt;0,B10&gt;0),MIN(conv_cap,conv_beta*1*AS10*MAX(0,LN(B10/(AT9*AV9)))),0)</f>
        <v>0</v>
      </c>
      <c r="AV10" s="68" t="n">
        <f aca="false">AV9*(1+AU10)</f>
        <v>1</v>
      </c>
      <c r="AW10" s="50" t="n">
        <f aca="false">AR10*AV10</f>
        <v>0</v>
      </c>
      <c r="AX10" s="70" t="n">
        <f aca="false">IF(AQ10&gt;0,AW10*1000000/AQ10/Economy!Q10,0)</f>
        <v>0</v>
      </c>
      <c r="AY10" s="48" t="n">
        <v>0</v>
      </c>
      <c r="AZ10" s="48" t="n">
        <v>0</v>
      </c>
      <c r="BA10" s="71" t="n">
        <v>0</v>
      </c>
      <c r="BB10" s="50" t="n">
        <f aca="false">IF(AY10&gt;0,AZ10*1000000/AY10,0)</f>
        <v>0</v>
      </c>
      <c r="BC10" s="67" t="n">
        <f aca="false">IF(AND(BA10&gt;0,BB9&gt;0,B10&gt;0),MIN(conv_cap,conv_beta*1*BA10*MAX(0,LN(B10/(BB9*BD9)))),0)</f>
        <v>0</v>
      </c>
      <c r="BD10" s="68" t="n">
        <f aca="false">BD9*(1+BC10)</f>
        <v>1</v>
      </c>
      <c r="BE10" s="50" t="n">
        <f aca="false">AZ10*BD10</f>
        <v>0</v>
      </c>
      <c r="BF10" s="70" t="n">
        <f aca="false">IF(AY10&gt;0,BE10*1000000/AY10/Economy!Q10,0)</f>
        <v>0</v>
      </c>
      <c r="BG10" s="48" t="n">
        <v>0</v>
      </c>
      <c r="BH10" s="48" t="n">
        <v>0</v>
      </c>
      <c r="BI10" s="71" t="n">
        <v>0</v>
      </c>
      <c r="BJ10" s="50" t="n">
        <f aca="false">IF(BG10&gt;0,BH10*1000000/BG10,0)</f>
        <v>0</v>
      </c>
      <c r="BK10" s="67" t="n">
        <f aca="false">IF(AND(BI10&gt;0,BJ9&gt;0,B10&gt;0),MIN(conv_cap,conv_beta*1*BI10*MAX(0,LN(B10/(BJ9*BL9)))),0)</f>
        <v>0</v>
      </c>
      <c r="BL10" s="68" t="n">
        <f aca="false">BL9*(1+BK10)</f>
        <v>1</v>
      </c>
      <c r="BM10" s="50" t="n">
        <f aca="false">BH10*BL10</f>
        <v>0</v>
      </c>
      <c r="BN10" s="70" t="n">
        <f aca="false">IF(BG10&gt;0,BM10*1000000/BG10/Economy!Q10,0)</f>
        <v>0</v>
      </c>
      <c r="BO10" s="48" t="n">
        <v>0</v>
      </c>
      <c r="BP10" s="48" t="n">
        <v>0</v>
      </c>
      <c r="BQ10" s="71" t="n">
        <v>0</v>
      </c>
      <c r="BR10" s="50" t="n">
        <f aca="false">IF(BO10&gt;0,BP10*1000000/BO10,0)</f>
        <v>0</v>
      </c>
      <c r="BS10" s="67" t="n">
        <f aca="false">IF(AND(BQ10&gt;0,BR9&gt;0,B10&gt;0),MIN(conv_cap,conv_beta*1*BQ10*MAX(0,LN(B10/(BR9*BT9)))),0)</f>
        <v>0</v>
      </c>
      <c r="BT10" s="68" t="n">
        <f aca="false">BT9*(1+BS10)</f>
        <v>1</v>
      </c>
      <c r="BU10" s="50"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50" t="n">
        <f aca="false">I10+Q10+Y10+AG10</f>
        <v>0</v>
      </c>
      <c r="BZ10" s="50" t="n">
        <f aca="false">D10+L10+T10+AB10</f>
        <v>0</v>
      </c>
      <c r="CA10" s="68" t="n">
        <f aca="false">IF(BZ10&gt;0,BY10/BZ10,0)</f>
        <v>0</v>
      </c>
    </row>
    <row r="11" customFormat="false" ht="14.25" hidden="false" customHeight="false" outlineLevel="0" collapsed="false">
      <c r="A11" s="61" t="n">
        <v>1851</v>
      </c>
      <c r="B11" s="50" t="n">
        <f aca="false">Economy!P10</f>
        <v>306.926524711895</v>
      </c>
      <c r="C11" s="48" t="n">
        <v>0</v>
      </c>
      <c r="D11" s="65" t="n">
        <f aca="false">Japan!B11</f>
        <v>0</v>
      </c>
      <c r="E11" s="71" t="n">
        <v>0</v>
      </c>
      <c r="F11" s="50" t="n">
        <f aca="false">IF(C11&gt;0,D11*1000000/C11,0)</f>
        <v>0</v>
      </c>
      <c r="G11" s="67" t="n">
        <f aca="false">IF(AND(E11&gt;0,F10&gt;0,B11&gt;0),MIN(conv_cap,conv_beta*jp_uplift*E11*MAX(0,LN(B11/(F10*H10)))),0)</f>
        <v>0</v>
      </c>
      <c r="H11" s="68" t="n">
        <f aca="false">H10*(1+G11)</f>
        <v>1</v>
      </c>
      <c r="I11" s="50" t="n">
        <f aca="false">D11*H11</f>
        <v>0</v>
      </c>
      <c r="J11" s="70" t="n">
        <f aca="false">IF(C11&gt;0,I11*1000000/C11/Economy!Q11,0)</f>
        <v>0</v>
      </c>
      <c r="K11" s="65" t="n">
        <f aca="false">Gulf!B11</f>
        <v>0</v>
      </c>
      <c r="L11" s="50" t="n">
        <f aca="false">Gulf!B11*Gulf!C11*Economy!Q11/1000000</f>
        <v>0</v>
      </c>
      <c r="M11" s="71" t="n">
        <v>0</v>
      </c>
      <c r="N11" s="50" t="n">
        <f aca="false">IF(K11&gt;0,L11*1000000/K11,0)</f>
        <v>0</v>
      </c>
      <c r="O11" s="67" t="n">
        <f aca="false">IF(AND(M11&gt;0,N10&gt;0,B11&gt;0),MIN(conv_cap,conv_beta*1*M11*MAX(0,LN(B11/(N10*P10)))),0)</f>
        <v>0</v>
      </c>
      <c r="P11" s="68" t="n">
        <f aca="false">P10*(1+O11)</f>
        <v>1</v>
      </c>
      <c r="Q11" s="50" t="n">
        <f aca="false">L11*P11</f>
        <v>0</v>
      </c>
      <c r="R11" s="70" t="n">
        <f aca="false">IF(K11&gt;0,Q11*1000000/K11/Economy!Q11,0)</f>
        <v>0</v>
      </c>
      <c r="S11" s="65" t="n">
        <f aca="false">People!U11</f>
        <v>0</v>
      </c>
      <c r="T11" s="48" t="n">
        <v>0</v>
      </c>
      <c r="U11" s="71" t="n">
        <v>0</v>
      </c>
      <c r="V11" s="50" t="n">
        <f aca="false">IF(S11&gt;0,T11*1000000/S11,0)</f>
        <v>0</v>
      </c>
      <c r="W11" s="67" t="n">
        <f aca="false">IF(AND(U11&gt;0,V10&gt;0,B11&gt;0),MIN(conv_cap,conv_beta*1*U11*MAX(0,LN(B11/(V10*X10)))),0)</f>
        <v>0</v>
      </c>
      <c r="X11" s="68" t="n">
        <f aca="false">X10*(1+W11)</f>
        <v>1</v>
      </c>
      <c r="Y11" s="50" t="n">
        <f aca="false">T11*X11</f>
        <v>0</v>
      </c>
      <c r="Z11" s="70" t="n">
        <f aca="false">IF(S11&gt;0,Y11*1000000/S11/Economy!Q11,0)</f>
        <v>0</v>
      </c>
      <c r="AA11" s="48" t="n">
        <v>0</v>
      </c>
      <c r="AB11" s="48" t="n">
        <v>0</v>
      </c>
      <c r="AC11" s="71" t="n">
        <v>0</v>
      </c>
      <c r="AD11" s="50" t="n">
        <f aca="false">IF(AA11&gt;0,AB11*1000000/AA11,0)</f>
        <v>0</v>
      </c>
      <c r="AE11" s="67" t="n">
        <f aca="false">IF(AND(AC11&gt;0,AD10&gt;0,B11&gt;0),MIN(conv_cap,conv_beta*1*AC11*MAX(0,LN(B11/(AD10*AF10)))),0)</f>
        <v>0</v>
      </c>
      <c r="AF11" s="68" t="n">
        <f aca="false">AF10*(1+AE11)</f>
        <v>1</v>
      </c>
      <c r="AG11" s="50" t="n">
        <f aca="false">AB11*AF11</f>
        <v>0</v>
      </c>
      <c r="AH11" s="70" t="n">
        <f aca="false">IF(AA11&gt;0,AG11*1000000/AA11/Economy!Q11,0)</f>
        <v>0</v>
      </c>
      <c r="AI11" s="48" t="n">
        <v>0</v>
      </c>
      <c r="AJ11" s="48" t="n">
        <v>0</v>
      </c>
      <c r="AK11" s="71" t="n">
        <v>0</v>
      </c>
      <c r="AL11" s="50" t="n">
        <f aca="false">IF(AI11&gt;0,AJ11*1000000/AI11,0)</f>
        <v>0</v>
      </c>
      <c r="AM11" s="67" t="n">
        <f aca="false">IF(AND(AK11&gt;0,AL10&gt;0,B11&gt;0),MIN(conv_cap,conv_beta*1*AK11*MAX(0,LN(B11/(AL10*AN10)))),0)</f>
        <v>0</v>
      </c>
      <c r="AN11" s="68" t="n">
        <f aca="false">AN10*(1+AM11)</f>
        <v>1</v>
      </c>
      <c r="AO11" s="50" t="n">
        <f aca="false">AJ11*AN11</f>
        <v>0</v>
      </c>
      <c r="AP11" s="70" t="n">
        <f aca="false">IF(AI11&gt;0,AO11*1000000/AI11/Economy!Q11,0)</f>
        <v>0</v>
      </c>
      <c r="AQ11" s="48" t="n">
        <v>0</v>
      </c>
      <c r="AR11" s="48" t="n">
        <v>0</v>
      </c>
      <c r="AS11" s="71" t="n">
        <v>0</v>
      </c>
      <c r="AT11" s="50" t="n">
        <f aca="false">IF(AQ11&gt;0,AR11*1000000/AQ11,0)</f>
        <v>0</v>
      </c>
      <c r="AU11" s="67" t="n">
        <f aca="false">IF(AND(AS11&gt;0,AT10&gt;0,B11&gt;0),MIN(conv_cap,conv_beta*1*AS11*MAX(0,LN(B11/(AT10*AV10)))),0)</f>
        <v>0</v>
      </c>
      <c r="AV11" s="68" t="n">
        <f aca="false">AV10*(1+AU11)</f>
        <v>1</v>
      </c>
      <c r="AW11" s="50" t="n">
        <f aca="false">AR11*AV11</f>
        <v>0</v>
      </c>
      <c r="AX11" s="70" t="n">
        <f aca="false">IF(AQ11&gt;0,AW11*1000000/AQ11/Economy!Q11,0)</f>
        <v>0</v>
      </c>
      <c r="AY11" s="48" t="n">
        <v>0</v>
      </c>
      <c r="AZ11" s="48" t="n">
        <v>0</v>
      </c>
      <c r="BA11" s="71" t="n">
        <v>0</v>
      </c>
      <c r="BB11" s="50" t="n">
        <f aca="false">IF(AY11&gt;0,AZ11*1000000/AY11,0)</f>
        <v>0</v>
      </c>
      <c r="BC11" s="67" t="n">
        <f aca="false">IF(AND(BA11&gt;0,BB10&gt;0,B11&gt;0),MIN(conv_cap,conv_beta*1*BA11*MAX(0,LN(B11/(BB10*BD10)))),0)</f>
        <v>0</v>
      </c>
      <c r="BD11" s="68" t="n">
        <f aca="false">BD10*(1+BC11)</f>
        <v>1</v>
      </c>
      <c r="BE11" s="50" t="n">
        <f aca="false">AZ11*BD11</f>
        <v>0</v>
      </c>
      <c r="BF11" s="70" t="n">
        <f aca="false">IF(AY11&gt;0,BE11*1000000/AY11/Economy!Q11,0)</f>
        <v>0</v>
      </c>
      <c r="BG11" s="48" t="n">
        <v>0</v>
      </c>
      <c r="BH11" s="48" t="n">
        <v>0</v>
      </c>
      <c r="BI11" s="71" t="n">
        <v>0</v>
      </c>
      <c r="BJ11" s="50" t="n">
        <f aca="false">IF(BG11&gt;0,BH11*1000000/BG11,0)</f>
        <v>0</v>
      </c>
      <c r="BK11" s="67" t="n">
        <f aca="false">IF(AND(BI11&gt;0,BJ10&gt;0,B11&gt;0),MIN(conv_cap,conv_beta*1*BI11*MAX(0,LN(B11/(BJ10*BL10)))),0)</f>
        <v>0</v>
      </c>
      <c r="BL11" s="68" t="n">
        <f aca="false">BL10*(1+BK11)</f>
        <v>1</v>
      </c>
      <c r="BM11" s="50" t="n">
        <f aca="false">BH11*BL11</f>
        <v>0</v>
      </c>
      <c r="BN11" s="70" t="n">
        <f aca="false">IF(BG11&gt;0,BM11*1000000/BG11/Economy!Q11,0)</f>
        <v>0</v>
      </c>
      <c r="BO11" s="48" t="n">
        <v>0</v>
      </c>
      <c r="BP11" s="48" t="n">
        <v>0</v>
      </c>
      <c r="BQ11" s="71" t="n">
        <v>0</v>
      </c>
      <c r="BR11" s="50" t="n">
        <f aca="false">IF(BO11&gt;0,BP11*1000000/BO11,0)</f>
        <v>0</v>
      </c>
      <c r="BS11" s="67" t="n">
        <f aca="false">IF(AND(BQ11&gt;0,BR10&gt;0,B11&gt;0),MIN(conv_cap,conv_beta*1*BQ11*MAX(0,LN(B11/(BR10*BT10)))),0)</f>
        <v>0</v>
      </c>
      <c r="BT11" s="68" t="n">
        <f aca="false">BT10*(1+BS11)</f>
        <v>1</v>
      </c>
      <c r="BU11" s="50"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50" t="n">
        <f aca="false">I11+Q11+Y11+AG11</f>
        <v>0</v>
      </c>
      <c r="BZ11" s="50" t="n">
        <f aca="false">D11+L11+T11+AB11</f>
        <v>0</v>
      </c>
      <c r="CA11" s="68" t="n">
        <f aca="false">IF(BZ11&gt;0,BY11/BZ11,0)</f>
        <v>0</v>
      </c>
    </row>
    <row r="12" customFormat="false" ht="14.25" hidden="false" customHeight="false" outlineLevel="0" collapsed="false">
      <c r="A12" s="61" t="n">
        <v>1852</v>
      </c>
      <c r="B12" s="50" t="n">
        <f aca="false">Economy!P11</f>
        <v>369.867516776589</v>
      </c>
      <c r="C12" s="48" t="n">
        <v>0</v>
      </c>
      <c r="D12" s="65" t="n">
        <f aca="false">Japan!B12</f>
        <v>0</v>
      </c>
      <c r="E12" s="71" t="n">
        <v>0</v>
      </c>
      <c r="F12" s="50" t="n">
        <f aca="false">IF(C12&gt;0,D12*1000000/C12,0)</f>
        <v>0</v>
      </c>
      <c r="G12" s="67" t="n">
        <f aca="false">IF(AND(E12&gt;0,F11&gt;0,B12&gt;0),MIN(conv_cap,conv_beta*jp_uplift*E12*MAX(0,LN(B12/(F11*H11)))),0)</f>
        <v>0</v>
      </c>
      <c r="H12" s="68" t="n">
        <f aca="false">H11*(1+G12)</f>
        <v>1</v>
      </c>
      <c r="I12" s="50" t="n">
        <f aca="false">D12*H12</f>
        <v>0</v>
      </c>
      <c r="J12" s="70" t="n">
        <f aca="false">IF(C12&gt;0,I12*1000000/C12/Economy!Q12,0)</f>
        <v>0</v>
      </c>
      <c r="K12" s="65" t="n">
        <f aca="false">Gulf!B12</f>
        <v>0</v>
      </c>
      <c r="L12" s="50" t="n">
        <f aca="false">Gulf!B12*Gulf!C12*Economy!Q12/1000000</f>
        <v>0</v>
      </c>
      <c r="M12" s="71" t="n">
        <v>0</v>
      </c>
      <c r="N12" s="50" t="n">
        <f aca="false">IF(K12&gt;0,L12*1000000/K12,0)</f>
        <v>0</v>
      </c>
      <c r="O12" s="67" t="n">
        <f aca="false">IF(AND(M12&gt;0,N11&gt;0,B12&gt;0),MIN(conv_cap,conv_beta*1*M12*MAX(0,LN(B12/(N11*P11)))),0)</f>
        <v>0</v>
      </c>
      <c r="P12" s="68" t="n">
        <f aca="false">P11*(1+O12)</f>
        <v>1</v>
      </c>
      <c r="Q12" s="50" t="n">
        <f aca="false">L12*P12</f>
        <v>0</v>
      </c>
      <c r="R12" s="70" t="n">
        <f aca="false">IF(K12&gt;0,Q12*1000000/K12/Economy!Q12,0)</f>
        <v>0</v>
      </c>
      <c r="S12" s="65" t="n">
        <f aca="false">People!U12</f>
        <v>0</v>
      </c>
      <c r="T12" s="48" t="n">
        <v>0</v>
      </c>
      <c r="U12" s="71" t="n">
        <v>0</v>
      </c>
      <c r="V12" s="50" t="n">
        <f aca="false">IF(S12&gt;0,T12*1000000/S12,0)</f>
        <v>0</v>
      </c>
      <c r="W12" s="67" t="n">
        <f aca="false">IF(AND(U12&gt;0,V11&gt;0,B12&gt;0),MIN(conv_cap,conv_beta*1*U12*MAX(0,LN(B12/(V11*X11)))),0)</f>
        <v>0</v>
      </c>
      <c r="X12" s="68" t="n">
        <f aca="false">X11*(1+W12)</f>
        <v>1</v>
      </c>
      <c r="Y12" s="50" t="n">
        <f aca="false">T12*X12</f>
        <v>0</v>
      </c>
      <c r="Z12" s="70" t="n">
        <f aca="false">IF(S12&gt;0,Y12*1000000/S12/Economy!Q12,0)</f>
        <v>0</v>
      </c>
      <c r="AA12" s="48" t="n">
        <v>0</v>
      </c>
      <c r="AB12" s="48" t="n">
        <v>0</v>
      </c>
      <c r="AC12" s="71" t="n">
        <v>0</v>
      </c>
      <c r="AD12" s="50" t="n">
        <f aca="false">IF(AA12&gt;0,AB12*1000000/AA12,0)</f>
        <v>0</v>
      </c>
      <c r="AE12" s="67" t="n">
        <f aca="false">IF(AND(AC12&gt;0,AD11&gt;0,B12&gt;0),MIN(conv_cap,conv_beta*1*AC12*MAX(0,LN(B12/(AD11*AF11)))),0)</f>
        <v>0</v>
      </c>
      <c r="AF12" s="68" t="n">
        <f aca="false">AF11*(1+AE12)</f>
        <v>1</v>
      </c>
      <c r="AG12" s="50" t="n">
        <f aca="false">AB12*AF12</f>
        <v>0</v>
      </c>
      <c r="AH12" s="70" t="n">
        <f aca="false">IF(AA12&gt;0,AG12*1000000/AA12/Economy!Q12,0)</f>
        <v>0</v>
      </c>
      <c r="AI12" s="48" t="n">
        <v>0</v>
      </c>
      <c r="AJ12" s="48" t="n">
        <v>0</v>
      </c>
      <c r="AK12" s="71" t="n">
        <v>0</v>
      </c>
      <c r="AL12" s="50" t="n">
        <f aca="false">IF(AI12&gt;0,AJ12*1000000/AI12,0)</f>
        <v>0</v>
      </c>
      <c r="AM12" s="67" t="n">
        <f aca="false">IF(AND(AK12&gt;0,AL11&gt;0,B12&gt;0),MIN(conv_cap,conv_beta*1*AK12*MAX(0,LN(B12/(AL11*AN11)))),0)</f>
        <v>0</v>
      </c>
      <c r="AN12" s="68" t="n">
        <f aca="false">AN11*(1+AM12)</f>
        <v>1</v>
      </c>
      <c r="AO12" s="50" t="n">
        <f aca="false">AJ12*AN12</f>
        <v>0</v>
      </c>
      <c r="AP12" s="70" t="n">
        <f aca="false">IF(AI12&gt;0,AO12*1000000/AI12/Economy!Q12,0)</f>
        <v>0</v>
      </c>
      <c r="AQ12" s="48" t="n">
        <v>0</v>
      </c>
      <c r="AR12" s="48" t="n">
        <v>0</v>
      </c>
      <c r="AS12" s="71" t="n">
        <v>0</v>
      </c>
      <c r="AT12" s="50" t="n">
        <f aca="false">IF(AQ12&gt;0,AR12*1000000/AQ12,0)</f>
        <v>0</v>
      </c>
      <c r="AU12" s="67" t="n">
        <f aca="false">IF(AND(AS12&gt;0,AT11&gt;0,B12&gt;0),MIN(conv_cap,conv_beta*1*AS12*MAX(0,LN(B12/(AT11*AV11)))),0)</f>
        <v>0</v>
      </c>
      <c r="AV12" s="68" t="n">
        <f aca="false">AV11*(1+AU12)</f>
        <v>1</v>
      </c>
      <c r="AW12" s="50" t="n">
        <f aca="false">AR12*AV12</f>
        <v>0</v>
      </c>
      <c r="AX12" s="70" t="n">
        <f aca="false">IF(AQ12&gt;0,AW12*1000000/AQ12/Economy!Q12,0)</f>
        <v>0</v>
      </c>
      <c r="AY12" s="48" t="n">
        <v>0</v>
      </c>
      <c r="AZ12" s="48" t="n">
        <v>0</v>
      </c>
      <c r="BA12" s="71" t="n">
        <v>0</v>
      </c>
      <c r="BB12" s="50" t="n">
        <f aca="false">IF(AY12&gt;0,AZ12*1000000/AY12,0)</f>
        <v>0</v>
      </c>
      <c r="BC12" s="67" t="n">
        <f aca="false">IF(AND(BA12&gt;0,BB11&gt;0,B12&gt;0),MIN(conv_cap,conv_beta*1*BA12*MAX(0,LN(B12/(BB11*BD11)))),0)</f>
        <v>0</v>
      </c>
      <c r="BD12" s="68" t="n">
        <f aca="false">BD11*(1+BC12)</f>
        <v>1</v>
      </c>
      <c r="BE12" s="50" t="n">
        <f aca="false">AZ12*BD12</f>
        <v>0</v>
      </c>
      <c r="BF12" s="70" t="n">
        <f aca="false">IF(AY12&gt;0,BE12*1000000/AY12/Economy!Q12,0)</f>
        <v>0</v>
      </c>
      <c r="BG12" s="48" t="n">
        <v>0</v>
      </c>
      <c r="BH12" s="48" t="n">
        <v>0</v>
      </c>
      <c r="BI12" s="71" t="n">
        <v>0</v>
      </c>
      <c r="BJ12" s="50" t="n">
        <f aca="false">IF(BG12&gt;0,BH12*1000000/BG12,0)</f>
        <v>0</v>
      </c>
      <c r="BK12" s="67" t="n">
        <f aca="false">IF(AND(BI12&gt;0,BJ11&gt;0,B12&gt;0),MIN(conv_cap,conv_beta*1*BI12*MAX(0,LN(B12/(BJ11*BL11)))),0)</f>
        <v>0</v>
      </c>
      <c r="BL12" s="68" t="n">
        <f aca="false">BL11*(1+BK12)</f>
        <v>1</v>
      </c>
      <c r="BM12" s="50" t="n">
        <f aca="false">BH12*BL12</f>
        <v>0</v>
      </c>
      <c r="BN12" s="70" t="n">
        <f aca="false">IF(BG12&gt;0,BM12*1000000/BG12/Economy!Q12,0)</f>
        <v>0</v>
      </c>
      <c r="BO12" s="48" t="n">
        <v>0</v>
      </c>
      <c r="BP12" s="48" t="n">
        <v>0</v>
      </c>
      <c r="BQ12" s="71" t="n">
        <v>0</v>
      </c>
      <c r="BR12" s="50" t="n">
        <f aca="false">IF(BO12&gt;0,BP12*1000000/BO12,0)</f>
        <v>0</v>
      </c>
      <c r="BS12" s="67" t="n">
        <f aca="false">IF(AND(BQ12&gt;0,BR11&gt;0,B12&gt;0),MIN(conv_cap,conv_beta*1*BQ12*MAX(0,LN(B12/(BR11*BT11)))),0)</f>
        <v>0</v>
      </c>
      <c r="BT12" s="68" t="n">
        <f aca="false">BT11*(1+BS12)</f>
        <v>1</v>
      </c>
      <c r="BU12" s="50"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50" t="n">
        <f aca="false">I12+Q12+Y12+AG12</f>
        <v>0</v>
      </c>
      <c r="BZ12" s="50" t="n">
        <f aca="false">D12+L12+T12+AB12</f>
        <v>0</v>
      </c>
      <c r="CA12" s="68" t="n">
        <f aca="false">IF(BZ12&gt;0,BY12/BZ12,0)</f>
        <v>0</v>
      </c>
    </row>
    <row r="13" customFormat="false" ht="14.25" hidden="false" customHeight="false" outlineLevel="0" collapsed="false">
      <c r="A13" s="61" t="n">
        <v>1853</v>
      </c>
      <c r="B13" s="50" t="n">
        <f aca="false">Economy!P12</f>
        <v>363.084973961981</v>
      </c>
      <c r="C13" s="48" t="n">
        <v>0</v>
      </c>
      <c r="D13" s="65" t="n">
        <f aca="false">Japan!B13</f>
        <v>0</v>
      </c>
      <c r="E13" s="71" t="n">
        <v>0</v>
      </c>
      <c r="F13" s="50" t="n">
        <f aca="false">IF(C13&gt;0,D13*1000000/C13,0)</f>
        <v>0</v>
      </c>
      <c r="G13" s="67" t="n">
        <f aca="false">IF(AND(E13&gt;0,F12&gt;0,B13&gt;0),MIN(conv_cap,conv_beta*jp_uplift*E13*MAX(0,LN(B13/(F12*H12)))),0)</f>
        <v>0</v>
      </c>
      <c r="H13" s="68" t="n">
        <f aca="false">H12*(1+G13)</f>
        <v>1</v>
      </c>
      <c r="I13" s="50" t="n">
        <f aca="false">D13*H13</f>
        <v>0</v>
      </c>
      <c r="J13" s="70" t="n">
        <f aca="false">IF(C13&gt;0,I13*1000000/C13/Economy!Q13,0)</f>
        <v>0</v>
      </c>
      <c r="K13" s="65" t="n">
        <f aca="false">Gulf!B13</f>
        <v>0</v>
      </c>
      <c r="L13" s="50" t="n">
        <f aca="false">Gulf!B13*Gulf!C13*Economy!Q13/1000000</f>
        <v>0</v>
      </c>
      <c r="M13" s="71" t="n">
        <v>0</v>
      </c>
      <c r="N13" s="50" t="n">
        <f aca="false">IF(K13&gt;0,L13*1000000/K13,0)</f>
        <v>0</v>
      </c>
      <c r="O13" s="67" t="n">
        <f aca="false">IF(AND(M13&gt;0,N12&gt;0,B13&gt;0),MIN(conv_cap,conv_beta*1*M13*MAX(0,LN(B13/(N12*P12)))),0)</f>
        <v>0</v>
      </c>
      <c r="P13" s="68" t="n">
        <f aca="false">P12*(1+O13)</f>
        <v>1</v>
      </c>
      <c r="Q13" s="50" t="n">
        <f aca="false">L13*P13</f>
        <v>0</v>
      </c>
      <c r="R13" s="70" t="n">
        <f aca="false">IF(K13&gt;0,Q13*1000000/K13/Economy!Q13,0)</f>
        <v>0</v>
      </c>
      <c r="S13" s="65" t="n">
        <f aca="false">People!U13</f>
        <v>0</v>
      </c>
      <c r="T13" s="48" t="n">
        <v>0</v>
      </c>
      <c r="U13" s="71" t="n">
        <v>0</v>
      </c>
      <c r="V13" s="50" t="n">
        <f aca="false">IF(S13&gt;0,T13*1000000/S13,0)</f>
        <v>0</v>
      </c>
      <c r="W13" s="67" t="n">
        <f aca="false">IF(AND(U13&gt;0,V12&gt;0,B13&gt;0),MIN(conv_cap,conv_beta*1*U13*MAX(0,LN(B13/(V12*X12)))),0)</f>
        <v>0</v>
      </c>
      <c r="X13" s="68" t="n">
        <f aca="false">X12*(1+W13)</f>
        <v>1</v>
      </c>
      <c r="Y13" s="50" t="n">
        <f aca="false">T13*X13</f>
        <v>0</v>
      </c>
      <c r="Z13" s="70" t="n">
        <f aca="false">IF(S13&gt;0,Y13*1000000/S13/Economy!Q13,0)</f>
        <v>0</v>
      </c>
      <c r="AA13" s="48" t="n">
        <v>0</v>
      </c>
      <c r="AB13" s="48" t="n">
        <v>0</v>
      </c>
      <c r="AC13" s="71" t="n">
        <v>0</v>
      </c>
      <c r="AD13" s="50" t="n">
        <f aca="false">IF(AA13&gt;0,AB13*1000000/AA13,0)</f>
        <v>0</v>
      </c>
      <c r="AE13" s="67" t="n">
        <f aca="false">IF(AND(AC13&gt;0,AD12&gt;0,B13&gt;0),MIN(conv_cap,conv_beta*1*AC13*MAX(0,LN(B13/(AD12*AF12)))),0)</f>
        <v>0</v>
      </c>
      <c r="AF13" s="68" t="n">
        <f aca="false">AF12*(1+AE13)</f>
        <v>1</v>
      </c>
      <c r="AG13" s="50" t="n">
        <f aca="false">AB13*AF13</f>
        <v>0</v>
      </c>
      <c r="AH13" s="70" t="n">
        <f aca="false">IF(AA13&gt;0,AG13*1000000/AA13/Economy!Q13,0)</f>
        <v>0</v>
      </c>
      <c r="AI13" s="48" t="n">
        <v>0</v>
      </c>
      <c r="AJ13" s="48" t="n">
        <v>0</v>
      </c>
      <c r="AK13" s="71" t="n">
        <v>0</v>
      </c>
      <c r="AL13" s="50" t="n">
        <f aca="false">IF(AI13&gt;0,AJ13*1000000/AI13,0)</f>
        <v>0</v>
      </c>
      <c r="AM13" s="67" t="n">
        <f aca="false">IF(AND(AK13&gt;0,AL12&gt;0,B13&gt;0),MIN(conv_cap,conv_beta*1*AK13*MAX(0,LN(B13/(AL12*AN12)))),0)</f>
        <v>0</v>
      </c>
      <c r="AN13" s="68" t="n">
        <f aca="false">AN12*(1+AM13)</f>
        <v>1</v>
      </c>
      <c r="AO13" s="50" t="n">
        <f aca="false">AJ13*AN13</f>
        <v>0</v>
      </c>
      <c r="AP13" s="70" t="n">
        <f aca="false">IF(AI13&gt;0,AO13*1000000/AI13/Economy!Q13,0)</f>
        <v>0</v>
      </c>
      <c r="AQ13" s="48" t="n">
        <v>0</v>
      </c>
      <c r="AR13" s="48" t="n">
        <v>0</v>
      </c>
      <c r="AS13" s="71" t="n">
        <v>0</v>
      </c>
      <c r="AT13" s="50" t="n">
        <f aca="false">IF(AQ13&gt;0,AR13*1000000/AQ13,0)</f>
        <v>0</v>
      </c>
      <c r="AU13" s="67" t="n">
        <f aca="false">IF(AND(AS13&gt;0,AT12&gt;0,B13&gt;0),MIN(conv_cap,conv_beta*1*AS13*MAX(0,LN(B13/(AT12*AV12)))),0)</f>
        <v>0</v>
      </c>
      <c r="AV13" s="68" t="n">
        <f aca="false">AV12*(1+AU13)</f>
        <v>1</v>
      </c>
      <c r="AW13" s="50" t="n">
        <f aca="false">AR13*AV13</f>
        <v>0</v>
      </c>
      <c r="AX13" s="70" t="n">
        <f aca="false">IF(AQ13&gt;0,AW13*1000000/AQ13/Economy!Q13,0)</f>
        <v>0</v>
      </c>
      <c r="AY13" s="48" t="n">
        <v>0</v>
      </c>
      <c r="AZ13" s="48" t="n">
        <v>0</v>
      </c>
      <c r="BA13" s="71" t="n">
        <v>0</v>
      </c>
      <c r="BB13" s="50" t="n">
        <f aca="false">IF(AY13&gt;0,AZ13*1000000/AY13,0)</f>
        <v>0</v>
      </c>
      <c r="BC13" s="67" t="n">
        <f aca="false">IF(AND(BA13&gt;0,BB12&gt;0,B13&gt;0),MIN(conv_cap,conv_beta*1*BA13*MAX(0,LN(B13/(BB12*BD12)))),0)</f>
        <v>0</v>
      </c>
      <c r="BD13" s="68" t="n">
        <f aca="false">BD12*(1+BC13)</f>
        <v>1</v>
      </c>
      <c r="BE13" s="50" t="n">
        <f aca="false">AZ13*BD13</f>
        <v>0</v>
      </c>
      <c r="BF13" s="70" t="n">
        <f aca="false">IF(AY13&gt;0,BE13*1000000/AY13/Economy!Q13,0)</f>
        <v>0</v>
      </c>
      <c r="BG13" s="48" t="n">
        <v>0</v>
      </c>
      <c r="BH13" s="48" t="n">
        <v>0</v>
      </c>
      <c r="BI13" s="71" t="n">
        <v>0</v>
      </c>
      <c r="BJ13" s="50" t="n">
        <f aca="false">IF(BG13&gt;0,BH13*1000000/BG13,0)</f>
        <v>0</v>
      </c>
      <c r="BK13" s="67" t="n">
        <f aca="false">IF(AND(BI13&gt;0,BJ12&gt;0,B13&gt;0),MIN(conv_cap,conv_beta*1*BI13*MAX(0,LN(B13/(BJ12*BL12)))),0)</f>
        <v>0</v>
      </c>
      <c r="BL13" s="68" t="n">
        <f aca="false">BL12*(1+BK13)</f>
        <v>1</v>
      </c>
      <c r="BM13" s="50" t="n">
        <f aca="false">BH13*BL13</f>
        <v>0</v>
      </c>
      <c r="BN13" s="70" t="n">
        <f aca="false">IF(BG13&gt;0,BM13*1000000/BG13/Economy!Q13,0)</f>
        <v>0</v>
      </c>
      <c r="BO13" s="48" t="n">
        <v>0</v>
      </c>
      <c r="BP13" s="48" t="n">
        <v>0</v>
      </c>
      <c r="BQ13" s="71" t="n">
        <v>0</v>
      </c>
      <c r="BR13" s="50" t="n">
        <f aca="false">IF(BO13&gt;0,BP13*1000000/BO13,0)</f>
        <v>0</v>
      </c>
      <c r="BS13" s="67" t="n">
        <f aca="false">IF(AND(BQ13&gt;0,BR12&gt;0,B13&gt;0),MIN(conv_cap,conv_beta*1*BQ13*MAX(0,LN(B13/(BR12*BT12)))),0)</f>
        <v>0</v>
      </c>
      <c r="BT13" s="68" t="n">
        <f aca="false">BT12*(1+BS13)</f>
        <v>1</v>
      </c>
      <c r="BU13" s="50"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50" t="n">
        <f aca="false">I13+Q13+Y13+AG13</f>
        <v>0</v>
      </c>
      <c r="BZ13" s="50" t="n">
        <f aca="false">D13+L13+T13+AB13</f>
        <v>0</v>
      </c>
      <c r="CA13" s="68" t="n">
        <f aca="false">IF(BZ13&gt;0,BY13/BZ13,0)</f>
        <v>0</v>
      </c>
    </row>
    <row r="14" customFormat="false" ht="14.25" hidden="false" customHeight="false" outlineLevel="0" collapsed="false">
      <c r="A14" s="61" t="n">
        <v>1854</v>
      </c>
      <c r="B14" s="50" t="n">
        <f aca="false">Economy!P13</f>
        <v>322.153704157406</v>
      </c>
      <c r="C14" s="48" t="n">
        <v>0</v>
      </c>
      <c r="D14" s="65" t="n">
        <f aca="false">Japan!B14</f>
        <v>0</v>
      </c>
      <c r="E14" s="71" t="n">
        <v>0</v>
      </c>
      <c r="F14" s="50" t="n">
        <f aca="false">IF(C14&gt;0,D14*1000000/C14,0)</f>
        <v>0</v>
      </c>
      <c r="G14" s="67" t="n">
        <f aca="false">IF(AND(E14&gt;0,F13&gt;0,B14&gt;0),MIN(conv_cap,conv_beta*jp_uplift*E14*MAX(0,LN(B14/(F13*H13)))),0)</f>
        <v>0</v>
      </c>
      <c r="H14" s="68" t="n">
        <f aca="false">H13*(1+G14)</f>
        <v>1</v>
      </c>
      <c r="I14" s="50" t="n">
        <f aca="false">D14*H14</f>
        <v>0</v>
      </c>
      <c r="J14" s="70" t="n">
        <f aca="false">IF(C14&gt;0,I14*1000000/C14/Economy!Q14,0)</f>
        <v>0</v>
      </c>
      <c r="K14" s="65" t="n">
        <f aca="false">Gulf!B14</f>
        <v>0</v>
      </c>
      <c r="L14" s="50" t="n">
        <f aca="false">Gulf!B14*Gulf!C14*Economy!Q14/1000000</f>
        <v>0</v>
      </c>
      <c r="M14" s="71" t="n">
        <v>0</v>
      </c>
      <c r="N14" s="50" t="n">
        <f aca="false">IF(K14&gt;0,L14*1000000/K14,0)</f>
        <v>0</v>
      </c>
      <c r="O14" s="67" t="n">
        <f aca="false">IF(AND(M14&gt;0,N13&gt;0,B14&gt;0),MIN(conv_cap,conv_beta*1*M14*MAX(0,LN(B14/(N13*P13)))),0)</f>
        <v>0</v>
      </c>
      <c r="P14" s="68" t="n">
        <f aca="false">P13*(1+O14)</f>
        <v>1</v>
      </c>
      <c r="Q14" s="50" t="n">
        <f aca="false">L14*P14</f>
        <v>0</v>
      </c>
      <c r="R14" s="70" t="n">
        <f aca="false">IF(K14&gt;0,Q14*1000000/K14/Economy!Q14,0)</f>
        <v>0</v>
      </c>
      <c r="S14" s="65" t="n">
        <f aca="false">People!U14</f>
        <v>0</v>
      </c>
      <c r="T14" s="48" t="n">
        <v>0</v>
      </c>
      <c r="U14" s="71" t="n">
        <v>0</v>
      </c>
      <c r="V14" s="50" t="n">
        <f aca="false">IF(S14&gt;0,T14*1000000/S14,0)</f>
        <v>0</v>
      </c>
      <c r="W14" s="67" t="n">
        <f aca="false">IF(AND(U14&gt;0,V13&gt;0,B14&gt;0),MIN(conv_cap,conv_beta*1*U14*MAX(0,LN(B14/(V13*X13)))),0)</f>
        <v>0</v>
      </c>
      <c r="X14" s="68" t="n">
        <f aca="false">X13*(1+W14)</f>
        <v>1</v>
      </c>
      <c r="Y14" s="50" t="n">
        <f aca="false">T14*X14</f>
        <v>0</v>
      </c>
      <c r="Z14" s="70" t="n">
        <f aca="false">IF(S14&gt;0,Y14*1000000/S14/Economy!Q14,0)</f>
        <v>0</v>
      </c>
      <c r="AA14" s="48" t="n">
        <v>0</v>
      </c>
      <c r="AB14" s="48" t="n">
        <v>0</v>
      </c>
      <c r="AC14" s="71" t="n">
        <v>0</v>
      </c>
      <c r="AD14" s="50" t="n">
        <f aca="false">IF(AA14&gt;0,AB14*1000000/AA14,0)</f>
        <v>0</v>
      </c>
      <c r="AE14" s="67" t="n">
        <f aca="false">IF(AND(AC14&gt;0,AD13&gt;0,B14&gt;0),MIN(conv_cap,conv_beta*1*AC14*MAX(0,LN(B14/(AD13*AF13)))),0)</f>
        <v>0</v>
      </c>
      <c r="AF14" s="68" t="n">
        <f aca="false">AF13*(1+AE14)</f>
        <v>1</v>
      </c>
      <c r="AG14" s="50" t="n">
        <f aca="false">AB14*AF14</f>
        <v>0</v>
      </c>
      <c r="AH14" s="70" t="n">
        <f aca="false">IF(AA14&gt;0,AG14*1000000/AA14/Economy!Q14,0)</f>
        <v>0</v>
      </c>
      <c r="AI14" s="48" t="n">
        <v>0</v>
      </c>
      <c r="AJ14" s="48" t="n">
        <v>0</v>
      </c>
      <c r="AK14" s="71" t="n">
        <v>0</v>
      </c>
      <c r="AL14" s="50" t="n">
        <f aca="false">IF(AI14&gt;0,AJ14*1000000/AI14,0)</f>
        <v>0</v>
      </c>
      <c r="AM14" s="67" t="n">
        <f aca="false">IF(AND(AK14&gt;0,AL13&gt;0,B14&gt;0),MIN(conv_cap,conv_beta*1*AK14*MAX(0,LN(B14/(AL13*AN13)))),0)</f>
        <v>0</v>
      </c>
      <c r="AN14" s="68" t="n">
        <f aca="false">AN13*(1+AM14)</f>
        <v>1</v>
      </c>
      <c r="AO14" s="50" t="n">
        <f aca="false">AJ14*AN14</f>
        <v>0</v>
      </c>
      <c r="AP14" s="70" t="n">
        <f aca="false">IF(AI14&gt;0,AO14*1000000/AI14/Economy!Q14,0)</f>
        <v>0</v>
      </c>
      <c r="AQ14" s="48" t="n">
        <v>0</v>
      </c>
      <c r="AR14" s="48" t="n">
        <v>0</v>
      </c>
      <c r="AS14" s="71" t="n">
        <v>0</v>
      </c>
      <c r="AT14" s="50" t="n">
        <f aca="false">IF(AQ14&gt;0,AR14*1000000/AQ14,0)</f>
        <v>0</v>
      </c>
      <c r="AU14" s="67" t="n">
        <f aca="false">IF(AND(AS14&gt;0,AT13&gt;0,B14&gt;0),MIN(conv_cap,conv_beta*1*AS14*MAX(0,LN(B14/(AT13*AV13)))),0)</f>
        <v>0</v>
      </c>
      <c r="AV14" s="68" t="n">
        <f aca="false">AV13*(1+AU14)</f>
        <v>1</v>
      </c>
      <c r="AW14" s="50" t="n">
        <f aca="false">AR14*AV14</f>
        <v>0</v>
      </c>
      <c r="AX14" s="70" t="n">
        <f aca="false">IF(AQ14&gt;0,AW14*1000000/AQ14/Economy!Q14,0)</f>
        <v>0</v>
      </c>
      <c r="AY14" s="48" t="n">
        <v>0</v>
      </c>
      <c r="AZ14" s="48" t="n">
        <v>0</v>
      </c>
      <c r="BA14" s="71" t="n">
        <v>0</v>
      </c>
      <c r="BB14" s="50" t="n">
        <f aca="false">IF(AY14&gt;0,AZ14*1000000/AY14,0)</f>
        <v>0</v>
      </c>
      <c r="BC14" s="67" t="n">
        <f aca="false">IF(AND(BA14&gt;0,BB13&gt;0,B14&gt;0),MIN(conv_cap,conv_beta*1*BA14*MAX(0,LN(B14/(BB13*BD13)))),0)</f>
        <v>0</v>
      </c>
      <c r="BD14" s="68" t="n">
        <f aca="false">BD13*(1+BC14)</f>
        <v>1</v>
      </c>
      <c r="BE14" s="50" t="n">
        <f aca="false">AZ14*BD14</f>
        <v>0</v>
      </c>
      <c r="BF14" s="70" t="n">
        <f aca="false">IF(AY14&gt;0,BE14*1000000/AY14/Economy!Q14,0)</f>
        <v>0</v>
      </c>
      <c r="BG14" s="48" t="n">
        <v>0</v>
      </c>
      <c r="BH14" s="48" t="n">
        <v>0</v>
      </c>
      <c r="BI14" s="71" t="n">
        <v>0</v>
      </c>
      <c r="BJ14" s="50" t="n">
        <f aca="false">IF(BG14&gt;0,BH14*1000000/BG14,0)</f>
        <v>0</v>
      </c>
      <c r="BK14" s="67" t="n">
        <f aca="false">IF(AND(BI14&gt;0,BJ13&gt;0,B14&gt;0),MIN(conv_cap,conv_beta*1*BI14*MAX(0,LN(B14/(BJ13*BL13)))),0)</f>
        <v>0</v>
      </c>
      <c r="BL14" s="68" t="n">
        <f aca="false">BL13*(1+BK14)</f>
        <v>1</v>
      </c>
      <c r="BM14" s="50" t="n">
        <f aca="false">BH14*BL14</f>
        <v>0</v>
      </c>
      <c r="BN14" s="70" t="n">
        <f aca="false">IF(BG14&gt;0,BM14*1000000/BG14/Economy!Q14,0)</f>
        <v>0</v>
      </c>
      <c r="BO14" s="48" t="n">
        <v>0</v>
      </c>
      <c r="BP14" s="48" t="n">
        <v>0</v>
      </c>
      <c r="BQ14" s="71" t="n">
        <v>0</v>
      </c>
      <c r="BR14" s="50" t="n">
        <f aca="false">IF(BO14&gt;0,BP14*1000000/BO14,0)</f>
        <v>0</v>
      </c>
      <c r="BS14" s="67" t="n">
        <f aca="false">IF(AND(BQ14&gt;0,BR13&gt;0,B14&gt;0),MIN(conv_cap,conv_beta*1*BQ14*MAX(0,LN(B14/(BR13*BT13)))),0)</f>
        <v>0</v>
      </c>
      <c r="BT14" s="68" t="n">
        <f aca="false">BT13*(1+BS14)</f>
        <v>1</v>
      </c>
      <c r="BU14" s="50"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50" t="n">
        <f aca="false">I14+Q14+Y14+AG14</f>
        <v>0</v>
      </c>
      <c r="BZ14" s="50" t="n">
        <f aca="false">D14+L14+T14+AB14</f>
        <v>0</v>
      </c>
      <c r="CA14" s="68" t="n">
        <f aca="false">IF(BZ14&gt;0,BY14/BZ14,0)</f>
        <v>0</v>
      </c>
    </row>
    <row r="15" customFormat="false" ht="14.25" hidden="false" customHeight="false" outlineLevel="0" collapsed="false">
      <c r="A15" s="61" t="n">
        <v>1855</v>
      </c>
      <c r="B15" s="50" t="n">
        <f aca="false">Economy!P14</f>
        <v>319.362583690581</v>
      </c>
      <c r="C15" s="48" t="n">
        <v>0</v>
      </c>
      <c r="D15" s="65" t="n">
        <f aca="false">Japan!B15</f>
        <v>0</v>
      </c>
      <c r="E15" s="71" t="n">
        <v>0</v>
      </c>
      <c r="F15" s="50" t="n">
        <f aca="false">IF(C15&gt;0,D15*1000000/C15,0)</f>
        <v>0</v>
      </c>
      <c r="G15" s="67" t="n">
        <f aca="false">IF(AND(E15&gt;0,F14&gt;0,B15&gt;0),MIN(conv_cap,conv_beta*jp_uplift*E15*MAX(0,LN(B15/(F14*H14)))),0)</f>
        <v>0</v>
      </c>
      <c r="H15" s="68" t="n">
        <f aca="false">H14*(1+G15)</f>
        <v>1</v>
      </c>
      <c r="I15" s="50" t="n">
        <f aca="false">D15*H15</f>
        <v>0</v>
      </c>
      <c r="J15" s="70" t="n">
        <f aca="false">IF(C15&gt;0,I15*1000000/C15/Economy!Q15,0)</f>
        <v>0</v>
      </c>
      <c r="K15" s="65" t="n">
        <f aca="false">Gulf!B15</f>
        <v>0</v>
      </c>
      <c r="L15" s="50" t="n">
        <f aca="false">Gulf!B15*Gulf!C15*Economy!Q15/1000000</f>
        <v>0</v>
      </c>
      <c r="M15" s="71" t="n">
        <v>0</v>
      </c>
      <c r="N15" s="50" t="n">
        <f aca="false">IF(K15&gt;0,L15*1000000/K15,0)</f>
        <v>0</v>
      </c>
      <c r="O15" s="67" t="n">
        <f aca="false">IF(AND(M15&gt;0,N14&gt;0,B15&gt;0),MIN(conv_cap,conv_beta*1*M15*MAX(0,LN(B15/(N14*P14)))),0)</f>
        <v>0</v>
      </c>
      <c r="P15" s="68" t="n">
        <f aca="false">P14*(1+O15)</f>
        <v>1</v>
      </c>
      <c r="Q15" s="50" t="n">
        <f aca="false">L15*P15</f>
        <v>0</v>
      </c>
      <c r="R15" s="70" t="n">
        <f aca="false">IF(K15&gt;0,Q15*1000000/K15/Economy!Q15,0)</f>
        <v>0</v>
      </c>
      <c r="S15" s="65" t="n">
        <f aca="false">People!U15</f>
        <v>0</v>
      </c>
      <c r="T15" s="48" t="n">
        <v>0</v>
      </c>
      <c r="U15" s="71" t="n">
        <v>0</v>
      </c>
      <c r="V15" s="50" t="n">
        <f aca="false">IF(S15&gt;0,T15*1000000/S15,0)</f>
        <v>0</v>
      </c>
      <c r="W15" s="67" t="n">
        <f aca="false">IF(AND(U15&gt;0,V14&gt;0,B15&gt;0),MIN(conv_cap,conv_beta*1*U15*MAX(0,LN(B15/(V14*X14)))),0)</f>
        <v>0</v>
      </c>
      <c r="X15" s="68" t="n">
        <f aca="false">X14*(1+W15)</f>
        <v>1</v>
      </c>
      <c r="Y15" s="50" t="n">
        <f aca="false">T15*X15</f>
        <v>0</v>
      </c>
      <c r="Z15" s="70" t="n">
        <f aca="false">IF(S15&gt;0,Y15*1000000/S15/Economy!Q15,0)</f>
        <v>0</v>
      </c>
      <c r="AA15" s="48" t="n">
        <v>0</v>
      </c>
      <c r="AB15" s="48" t="n">
        <v>0</v>
      </c>
      <c r="AC15" s="71" t="n">
        <v>0</v>
      </c>
      <c r="AD15" s="50" t="n">
        <f aca="false">IF(AA15&gt;0,AB15*1000000/AA15,0)</f>
        <v>0</v>
      </c>
      <c r="AE15" s="67" t="n">
        <f aca="false">IF(AND(AC15&gt;0,AD14&gt;0,B15&gt;0),MIN(conv_cap,conv_beta*1*AC15*MAX(0,LN(B15/(AD14*AF14)))),0)</f>
        <v>0</v>
      </c>
      <c r="AF15" s="68" t="n">
        <f aca="false">AF14*(1+AE15)</f>
        <v>1</v>
      </c>
      <c r="AG15" s="50" t="n">
        <f aca="false">AB15*AF15</f>
        <v>0</v>
      </c>
      <c r="AH15" s="70" t="n">
        <f aca="false">IF(AA15&gt;0,AG15*1000000/AA15/Economy!Q15,0)</f>
        <v>0</v>
      </c>
      <c r="AI15" s="48" t="n">
        <v>0</v>
      </c>
      <c r="AJ15" s="48" t="n">
        <v>0</v>
      </c>
      <c r="AK15" s="71" t="n">
        <v>0</v>
      </c>
      <c r="AL15" s="50" t="n">
        <f aca="false">IF(AI15&gt;0,AJ15*1000000/AI15,0)</f>
        <v>0</v>
      </c>
      <c r="AM15" s="67" t="n">
        <f aca="false">IF(AND(AK15&gt;0,AL14&gt;0,B15&gt;0),MIN(conv_cap,conv_beta*1*AK15*MAX(0,LN(B15/(AL14*AN14)))),0)</f>
        <v>0</v>
      </c>
      <c r="AN15" s="68" t="n">
        <f aca="false">AN14*(1+AM15)</f>
        <v>1</v>
      </c>
      <c r="AO15" s="50" t="n">
        <f aca="false">AJ15*AN15</f>
        <v>0</v>
      </c>
      <c r="AP15" s="70" t="n">
        <f aca="false">IF(AI15&gt;0,AO15*1000000/AI15/Economy!Q15,0)</f>
        <v>0</v>
      </c>
      <c r="AQ15" s="48" t="n">
        <v>0</v>
      </c>
      <c r="AR15" s="48" t="n">
        <v>0</v>
      </c>
      <c r="AS15" s="71" t="n">
        <v>0</v>
      </c>
      <c r="AT15" s="50" t="n">
        <f aca="false">IF(AQ15&gt;0,AR15*1000000/AQ15,0)</f>
        <v>0</v>
      </c>
      <c r="AU15" s="67" t="n">
        <f aca="false">IF(AND(AS15&gt;0,AT14&gt;0,B15&gt;0),MIN(conv_cap,conv_beta*1*AS15*MAX(0,LN(B15/(AT14*AV14)))),0)</f>
        <v>0</v>
      </c>
      <c r="AV15" s="68" t="n">
        <f aca="false">AV14*(1+AU15)</f>
        <v>1</v>
      </c>
      <c r="AW15" s="50" t="n">
        <f aca="false">AR15*AV15</f>
        <v>0</v>
      </c>
      <c r="AX15" s="70" t="n">
        <f aca="false">IF(AQ15&gt;0,AW15*1000000/AQ15/Economy!Q15,0)</f>
        <v>0</v>
      </c>
      <c r="AY15" s="48" t="n">
        <v>0</v>
      </c>
      <c r="AZ15" s="48" t="n">
        <v>0</v>
      </c>
      <c r="BA15" s="71" t="n">
        <v>0</v>
      </c>
      <c r="BB15" s="50" t="n">
        <f aca="false">IF(AY15&gt;0,AZ15*1000000/AY15,0)</f>
        <v>0</v>
      </c>
      <c r="BC15" s="67" t="n">
        <f aca="false">IF(AND(BA15&gt;0,BB14&gt;0,B15&gt;0),MIN(conv_cap,conv_beta*1*BA15*MAX(0,LN(B15/(BB14*BD14)))),0)</f>
        <v>0</v>
      </c>
      <c r="BD15" s="68" t="n">
        <f aca="false">BD14*(1+BC15)</f>
        <v>1</v>
      </c>
      <c r="BE15" s="50" t="n">
        <f aca="false">AZ15*BD15</f>
        <v>0</v>
      </c>
      <c r="BF15" s="70" t="n">
        <f aca="false">IF(AY15&gt;0,BE15*1000000/AY15/Economy!Q15,0)</f>
        <v>0</v>
      </c>
      <c r="BG15" s="48" t="n">
        <v>0</v>
      </c>
      <c r="BH15" s="48" t="n">
        <v>0</v>
      </c>
      <c r="BI15" s="71" t="n">
        <v>0</v>
      </c>
      <c r="BJ15" s="50" t="n">
        <f aca="false">IF(BG15&gt;0,BH15*1000000/BG15,0)</f>
        <v>0</v>
      </c>
      <c r="BK15" s="67" t="n">
        <f aca="false">IF(AND(BI15&gt;0,BJ14&gt;0,B15&gt;0),MIN(conv_cap,conv_beta*1*BI15*MAX(0,LN(B15/(BJ14*BL14)))),0)</f>
        <v>0</v>
      </c>
      <c r="BL15" s="68" t="n">
        <f aca="false">BL14*(1+BK15)</f>
        <v>1</v>
      </c>
      <c r="BM15" s="50" t="n">
        <f aca="false">BH15*BL15</f>
        <v>0</v>
      </c>
      <c r="BN15" s="70" t="n">
        <f aca="false">IF(BG15&gt;0,BM15*1000000/BG15/Economy!Q15,0)</f>
        <v>0</v>
      </c>
      <c r="BO15" s="48" t="n">
        <v>0</v>
      </c>
      <c r="BP15" s="48" t="n">
        <v>0</v>
      </c>
      <c r="BQ15" s="71" t="n">
        <v>0</v>
      </c>
      <c r="BR15" s="50" t="n">
        <f aca="false">IF(BO15&gt;0,BP15*1000000/BO15,0)</f>
        <v>0</v>
      </c>
      <c r="BS15" s="67" t="n">
        <f aca="false">IF(AND(BQ15&gt;0,BR14&gt;0,B15&gt;0),MIN(conv_cap,conv_beta*1*BQ15*MAX(0,LN(B15/(BR14*BT14)))),0)</f>
        <v>0</v>
      </c>
      <c r="BT15" s="68" t="n">
        <f aca="false">BT14*(1+BS15)</f>
        <v>1</v>
      </c>
      <c r="BU15" s="50"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50" t="n">
        <f aca="false">I15+Q15+Y15+AG15</f>
        <v>0</v>
      </c>
      <c r="BZ15" s="50" t="n">
        <f aca="false">D15+L15+T15+AB15</f>
        <v>0</v>
      </c>
      <c r="CA15" s="68" t="n">
        <f aca="false">IF(BZ15&gt;0,BY15/BZ15,0)</f>
        <v>0</v>
      </c>
    </row>
    <row r="16" customFormat="false" ht="14.25" hidden="false" customHeight="false" outlineLevel="0" collapsed="false">
      <c r="A16" s="61" t="n">
        <v>1856</v>
      </c>
      <c r="B16" s="50" t="n">
        <f aca="false">Economy!P15</f>
        <v>292.279972957727</v>
      </c>
      <c r="C16" s="48" t="n">
        <v>0</v>
      </c>
      <c r="D16" s="65" t="n">
        <f aca="false">Japan!B16</f>
        <v>0</v>
      </c>
      <c r="E16" s="71" t="n">
        <v>0</v>
      </c>
      <c r="F16" s="50" t="n">
        <f aca="false">IF(C16&gt;0,D16*1000000/C16,0)</f>
        <v>0</v>
      </c>
      <c r="G16" s="67" t="n">
        <f aca="false">IF(AND(E16&gt;0,F15&gt;0,B16&gt;0),MIN(conv_cap,conv_beta*jp_uplift*E16*MAX(0,LN(B16/(F15*H15)))),0)</f>
        <v>0</v>
      </c>
      <c r="H16" s="68" t="n">
        <f aca="false">H15*(1+G16)</f>
        <v>1</v>
      </c>
      <c r="I16" s="50" t="n">
        <f aca="false">D16*H16</f>
        <v>0</v>
      </c>
      <c r="J16" s="70" t="n">
        <f aca="false">IF(C16&gt;0,I16*1000000/C16/Economy!Q16,0)</f>
        <v>0</v>
      </c>
      <c r="K16" s="65" t="n">
        <f aca="false">Gulf!B16</f>
        <v>0</v>
      </c>
      <c r="L16" s="50" t="n">
        <f aca="false">Gulf!B16*Gulf!C16*Economy!Q16/1000000</f>
        <v>0</v>
      </c>
      <c r="M16" s="71" t="n">
        <v>0</v>
      </c>
      <c r="N16" s="50" t="n">
        <f aca="false">IF(K16&gt;0,L16*1000000/K16,0)</f>
        <v>0</v>
      </c>
      <c r="O16" s="67" t="n">
        <f aca="false">IF(AND(M16&gt;0,N15&gt;0,B16&gt;0),MIN(conv_cap,conv_beta*1*M16*MAX(0,LN(B16/(N15*P15)))),0)</f>
        <v>0</v>
      </c>
      <c r="P16" s="68" t="n">
        <f aca="false">P15*(1+O16)</f>
        <v>1</v>
      </c>
      <c r="Q16" s="50" t="n">
        <f aca="false">L16*P16</f>
        <v>0</v>
      </c>
      <c r="R16" s="70" t="n">
        <f aca="false">IF(K16&gt;0,Q16*1000000/K16/Economy!Q16,0)</f>
        <v>0</v>
      </c>
      <c r="S16" s="65" t="n">
        <f aca="false">People!U16</f>
        <v>0</v>
      </c>
      <c r="T16" s="48" t="n">
        <v>0</v>
      </c>
      <c r="U16" s="71" t="n">
        <v>0</v>
      </c>
      <c r="V16" s="50" t="n">
        <f aca="false">IF(S16&gt;0,T16*1000000/S16,0)</f>
        <v>0</v>
      </c>
      <c r="W16" s="67" t="n">
        <f aca="false">IF(AND(U16&gt;0,V15&gt;0,B16&gt;0),MIN(conv_cap,conv_beta*1*U16*MAX(0,LN(B16/(V15*X15)))),0)</f>
        <v>0</v>
      </c>
      <c r="X16" s="68" t="n">
        <f aca="false">X15*(1+W16)</f>
        <v>1</v>
      </c>
      <c r="Y16" s="50" t="n">
        <f aca="false">T16*X16</f>
        <v>0</v>
      </c>
      <c r="Z16" s="70" t="n">
        <f aca="false">IF(S16&gt;0,Y16*1000000/S16/Economy!Q16,0)</f>
        <v>0</v>
      </c>
      <c r="AA16" s="48" t="n">
        <v>0</v>
      </c>
      <c r="AB16" s="48" t="n">
        <v>0</v>
      </c>
      <c r="AC16" s="71" t="n">
        <v>0</v>
      </c>
      <c r="AD16" s="50" t="n">
        <f aca="false">IF(AA16&gt;0,AB16*1000000/AA16,0)</f>
        <v>0</v>
      </c>
      <c r="AE16" s="67" t="n">
        <f aca="false">IF(AND(AC16&gt;0,AD15&gt;0,B16&gt;0),MIN(conv_cap,conv_beta*1*AC16*MAX(0,LN(B16/(AD15*AF15)))),0)</f>
        <v>0</v>
      </c>
      <c r="AF16" s="68" t="n">
        <f aca="false">AF15*(1+AE16)</f>
        <v>1</v>
      </c>
      <c r="AG16" s="50" t="n">
        <f aca="false">AB16*AF16</f>
        <v>0</v>
      </c>
      <c r="AH16" s="70" t="n">
        <f aca="false">IF(AA16&gt;0,AG16*1000000/AA16/Economy!Q16,0)</f>
        <v>0</v>
      </c>
      <c r="AI16" s="48" t="n">
        <v>0</v>
      </c>
      <c r="AJ16" s="48" t="n">
        <v>0</v>
      </c>
      <c r="AK16" s="71" t="n">
        <v>0</v>
      </c>
      <c r="AL16" s="50" t="n">
        <f aca="false">IF(AI16&gt;0,AJ16*1000000/AI16,0)</f>
        <v>0</v>
      </c>
      <c r="AM16" s="67" t="n">
        <f aca="false">IF(AND(AK16&gt;0,AL15&gt;0,B16&gt;0),MIN(conv_cap,conv_beta*1*AK16*MAX(0,LN(B16/(AL15*AN15)))),0)</f>
        <v>0</v>
      </c>
      <c r="AN16" s="68" t="n">
        <f aca="false">AN15*(1+AM16)</f>
        <v>1</v>
      </c>
      <c r="AO16" s="50" t="n">
        <f aca="false">AJ16*AN16</f>
        <v>0</v>
      </c>
      <c r="AP16" s="70" t="n">
        <f aca="false">IF(AI16&gt;0,AO16*1000000/AI16/Economy!Q16,0)</f>
        <v>0</v>
      </c>
      <c r="AQ16" s="48" t="n">
        <v>0</v>
      </c>
      <c r="AR16" s="48" t="n">
        <v>0</v>
      </c>
      <c r="AS16" s="71" t="n">
        <v>0</v>
      </c>
      <c r="AT16" s="50" t="n">
        <f aca="false">IF(AQ16&gt;0,AR16*1000000/AQ16,0)</f>
        <v>0</v>
      </c>
      <c r="AU16" s="67" t="n">
        <f aca="false">IF(AND(AS16&gt;0,AT15&gt;0,B16&gt;0),MIN(conv_cap,conv_beta*1*AS16*MAX(0,LN(B16/(AT15*AV15)))),0)</f>
        <v>0</v>
      </c>
      <c r="AV16" s="68" t="n">
        <f aca="false">AV15*(1+AU16)</f>
        <v>1</v>
      </c>
      <c r="AW16" s="50" t="n">
        <f aca="false">AR16*AV16</f>
        <v>0</v>
      </c>
      <c r="AX16" s="70" t="n">
        <f aca="false">IF(AQ16&gt;0,AW16*1000000/AQ16/Economy!Q16,0)</f>
        <v>0</v>
      </c>
      <c r="AY16" s="48" t="n">
        <v>0</v>
      </c>
      <c r="AZ16" s="48" t="n">
        <v>0</v>
      </c>
      <c r="BA16" s="71" t="n">
        <v>0</v>
      </c>
      <c r="BB16" s="50" t="n">
        <f aca="false">IF(AY16&gt;0,AZ16*1000000/AY16,0)</f>
        <v>0</v>
      </c>
      <c r="BC16" s="67" t="n">
        <f aca="false">IF(AND(BA16&gt;0,BB15&gt;0,B16&gt;0),MIN(conv_cap,conv_beta*1*BA16*MAX(0,LN(B16/(BB15*BD15)))),0)</f>
        <v>0</v>
      </c>
      <c r="BD16" s="68" t="n">
        <f aca="false">BD15*(1+BC16)</f>
        <v>1</v>
      </c>
      <c r="BE16" s="50" t="n">
        <f aca="false">AZ16*BD16</f>
        <v>0</v>
      </c>
      <c r="BF16" s="70" t="n">
        <f aca="false">IF(AY16&gt;0,BE16*1000000/AY16/Economy!Q16,0)</f>
        <v>0</v>
      </c>
      <c r="BG16" s="48" t="n">
        <v>0</v>
      </c>
      <c r="BH16" s="48" t="n">
        <v>0</v>
      </c>
      <c r="BI16" s="71" t="n">
        <v>0</v>
      </c>
      <c r="BJ16" s="50" t="n">
        <f aca="false">IF(BG16&gt;0,BH16*1000000/BG16,0)</f>
        <v>0</v>
      </c>
      <c r="BK16" s="67" t="n">
        <f aca="false">IF(AND(BI16&gt;0,BJ15&gt;0,B16&gt;0),MIN(conv_cap,conv_beta*1*BI16*MAX(0,LN(B16/(BJ15*BL15)))),0)</f>
        <v>0</v>
      </c>
      <c r="BL16" s="68" t="n">
        <f aca="false">BL15*(1+BK16)</f>
        <v>1</v>
      </c>
      <c r="BM16" s="50" t="n">
        <f aca="false">BH16*BL16</f>
        <v>0</v>
      </c>
      <c r="BN16" s="70" t="n">
        <f aca="false">IF(BG16&gt;0,BM16*1000000/BG16/Economy!Q16,0)</f>
        <v>0</v>
      </c>
      <c r="BO16" s="48" t="n">
        <v>0</v>
      </c>
      <c r="BP16" s="48" t="n">
        <v>0</v>
      </c>
      <c r="BQ16" s="71" t="n">
        <v>0</v>
      </c>
      <c r="BR16" s="50" t="n">
        <f aca="false">IF(BO16&gt;0,BP16*1000000/BO16,0)</f>
        <v>0</v>
      </c>
      <c r="BS16" s="67" t="n">
        <f aca="false">IF(AND(BQ16&gt;0,BR15&gt;0,B16&gt;0),MIN(conv_cap,conv_beta*1*BQ16*MAX(0,LN(B16/(BR15*BT15)))),0)</f>
        <v>0</v>
      </c>
      <c r="BT16" s="68" t="n">
        <f aca="false">BT15*(1+BS16)</f>
        <v>1</v>
      </c>
      <c r="BU16" s="50"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50" t="n">
        <f aca="false">I16+Q16+Y16+AG16</f>
        <v>0</v>
      </c>
      <c r="BZ16" s="50" t="n">
        <f aca="false">D16+L16+T16+AB16</f>
        <v>0</v>
      </c>
      <c r="CA16" s="68" t="n">
        <f aca="false">IF(BZ16&gt;0,BY16/BZ16,0)</f>
        <v>0</v>
      </c>
    </row>
    <row r="17" customFormat="false" ht="14.25" hidden="false" customHeight="false" outlineLevel="0" collapsed="false">
      <c r="A17" s="61" t="n">
        <v>1857</v>
      </c>
      <c r="B17" s="50" t="n">
        <f aca="false">Economy!P16</f>
        <v>284.964698783844</v>
      </c>
      <c r="C17" s="48" t="n">
        <v>0</v>
      </c>
      <c r="D17" s="65" t="n">
        <f aca="false">Japan!B17</f>
        <v>0</v>
      </c>
      <c r="E17" s="71" t="n">
        <v>0</v>
      </c>
      <c r="F17" s="50" t="n">
        <f aca="false">IF(C17&gt;0,D17*1000000/C17,0)</f>
        <v>0</v>
      </c>
      <c r="G17" s="67" t="n">
        <f aca="false">IF(AND(E17&gt;0,F16&gt;0,B17&gt;0),MIN(conv_cap,conv_beta*jp_uplift*E17*MAX(0,LN(B17/(F16*H16)))),0)</f>
        <v>0</v>
      </c>
      <c r="H17" s="68" t="n">
        <f aca="false">H16*(1+G17)</f>
        <v>1</v>
      </c>
      <c r="I17" s="50" t="n">
        <f aca="false">D17*H17</f>
        <v>0</v>
      </c>
      <c r="J17" s="70" t="n">
        <f aca="false">IF(C17&gt;0,I17*1000000/C17/Economy!Q17,0)</f>
        <v>0</v>
      </c>
      <c r="K17" s="65" t="n">
        <f aca="false">Gulf!B17</f>
        <v>0</v>
      </c>
      <c r="L17" s="50" t="n">
        <f aca="false">Gulf!B17*Gulf!C17*Economy!Q17/1000000</f>
        <v>0</v>
      </c>
      <c r="M17" s="71" t="n">
        <v>0</v>
      </c>
      <c r="N17" s="50" t="n">
        <f aca="false">IF(K17&gt;0,L17*1000000/K17,0)</f>
        <v>0</v>
      </c>
      <c r="O17" s="67" t="n">
        <f aca="false">IF(AND(M17&gt;0,N16&gt;0,B17&gt;0),MIN(conv_cap,conv_beta*1*M17*MAX(0,LN(B17/(N16*P16)))),0)</f>
        <v>0</v>
      </c>
      <c r="P17" s="68" t="n">
        <f aca="false">P16*(1+O17)</f>
        <v>1</v>
      </c>
      <c r="Q17" s="50" t="n">
        <f aca="false">L17*P17</f>
        <v>0</v>
      </c>
      <c r="R17" s="70" t="n">
        <f aca="false">IF(K17&gt;0,Q17*1000000/K17/Economy!Q17,0)</f>
        <v>0</v>
      </c>
      <c r="S17" s="65" t="n">
        <f aca="false">People!U17</f>
        <v>0</v>
      </c>
      <c r="T17" s="48" t="n">
        <v>0</v>
      </c>
      <c r="U17" s="71" t="n">
        <v>0</v>
      </c>
      <c r="V17" s="50" t="n">
        <f aca="false">IF(S17&gt;0,T17*1000000/S17,0)</f>
        <v>0</v>
      </c>
      <c r="W17" s="67" t="n">
        <f aca="false">IF(AND(U17&gt;0,V16&gt;0,B17&gt;0),MIN(conv_cap,conv_beta*1*U17*MAX(0,LN(B17/(V16*X16)))),0)</f>
        <v>0</v>
      </c>
      <c r="X17" s="68" t="n">
        <f aca="false">X16*(1+W17)</f>
        <v>1</v>
      </c>
      <c r="Y17" s="50" t="n">
        <f aca="false">T17*X17</f>
        <v>0</v>
      </c>
      <c r="Z17" s="70" t="n">
        <f aca="false">IF(S17&gt;0,Y17*1000000/S17/Economy!Q17,0)</f>
        <v>0</v>
      </c>
      <c r="AA17" s="48" t="n">
        <v>0</v>
      </c>
      <c r="AB17" s="48" t="n">
        <v>0</v>
      </c>
      <c r="AC17" s="71" t="n">
        <v>0</v>
      </c>
      <c r="AD17" s="50" t="n">
        <f aca="false">IF(AA17&gt;0,AB17*1000000/AA17,0)</f>
        <v>0</v>
      </c>
      <c r="AE17" s="67" t="n">
        <f aca="false">IF(AND(AC17&gt;0,AD16&gt;0,B17&gt;0),MIN(conv_cap,conv_beta*1*AC17*MAX(0,LN(B17/(AD16*AF16)))),0)</f>
        <v>0</v>
      </c>
      <c r="AF17" s="68" t="n">
        <f aca="false">AF16*(1+AE17)</f>
        <v>1</v>
      </c>
      <c r="AG17" s="50" t="n">
        <f aca="false">AB17*AF17</f>
        <v>0</v>
      </c>
      <c r="AH17" s="70" t="n">
        <f aca="false">IF(AA17&gt;0,AG17*1000000/AA17/Economy!Q17,0)</f>
        <v>0</v>
      </c>
      <c r="AI17" s="48" t="n">
        <v>0</v>
      </c>
      <c r="AJ17" s="48" t="n">
        <v>0</v>
      </c>
      <c r="AK17" s="71" t="n">
        <v>0</v>
      </c>
      <c r="AL17" s="50" t="n">
        <f aca="false">IF(AI17&gt;0,AJ17*1000000/AI17,0)</f>
        <v>0</v>
      </c>
      <c r="AM17" s="67" t="n">
        <f aca="false">IF(AND(AK17&gt;0,AL16&gt;0,B17&gt;0),MIN(conv_cap,conv_beta*1*AK17*MAX(0,LN(B17/(AL16*AN16)))),0)</f>
        <v>0</v>
      </c>
      <c r="AN17" s="68" t="n">
        <f aca="false">AN16*(1+AM17)</f>
        <v>1</v>
      </c>
      <c r="AO17" s="50" t="n">
        <f aca="false">AJ17*AN17</f>
        <v>0</v>
      </c>
      <c r="AP17" s="70" t="n">
        <f aca="false">IF(AI17&gt;0,AO17*1000000/AI17/Economy!Q17,0)</f>
        <v>0</v>
      </c>
      <c r="AQ17" s="48" t="n">
        <v>0</v>
      </c>
      <c r="AR17" s="48" t="n">
        <v>0</v>
      </c>
      <c r="AS17" s="71" t="n">
        <v>0</v>
      </c>
      <c r="AT17" s="50" t="n">
        <f aca="false">IF(AQ17&gt;0,AR17*1000000/AQ17,0)</f>
        <v>0</v>
      </c>
      <c r="AU17" s="67" t="n">
        <f aca="false">IF(AND(AS17&gt;0,AT16&gt;0,B17&gt;0),MIN(conv_cap,conv_beta*1*AS17*MAX(0,LN(B17/(AT16*AV16)))),0)</f>
        <v>0</v>
      </c>
      <c r="AV17" s="68" t="n">
        <f aca="false">AV16*(1+AU17)</f>
        <v>1</v>
      </c>
      <c r="AW17" s="50" t="n">
        <f aca="false">AR17*AV17</f>
        <v>0</v>
      </c>
      <c r="AX17" s="70" t="n">
        <f aca="false">IF(AQ17&gt;0,AW17*1000000/AQ17/Economy!Q17,0)</f>
        <v>0</v>
      </c>
      <c r="AY17" s="48" t="n">
        <v>0</v>
      </c>
      <c r="AZ17" s="48" t="n">
        <v>0</v>
      </c>
      <c r="BA17" s="71" t="n">
        <v>0</v>
      </c>
      <c r="BB17" s="50" t="n">
        <f aca="false">IF(AY17&gt;0,AZ17*1000000/AY17,0)</f>
        <v>0</v>
      </c>
      <c r="BC17" s="67" t="n">
        <f aca="false">IF(AND(BA17&gt;0,BB16&gt;0,B17&gt;0),MIN(conv_cap,conv_beta*1*BA17*MAX(0,LN(B17/(BB16*BD16)))),0)</f>
        <v>0</v>
      </c>
      <c r="BD17" s="68" t="n">
        <f aca="false">BD16*(1+BC17)</f>
        <v>1</v>
      </c>
      <c r="BE17" s="50" t="n">
        <f aca="false">AZ17*BD17</f>
        <v>0</v>
      </c>
      <c r="BF17" s="70" t="n">
        <f aca="false">IF(AY17&gt;0,BE17*1000000/AY17/Economy!Q17,0)</f>
        <v>0</v>
      </c>
      <c r="BG17" s="48" t="n">
        <v>0</v>
      </c>
      <c r="BH17" s="48" t="n">
        <v>0</v>
      </c>
      <c r="BI17" s="71" t="n">
        <v>0</v>
      </c>
      <c r="BJ17" s="50" t="n">
        <f aca="false">IF(BG17&gt;0,BH17*1000000/BG17,0)</f>
        <v>0</v>
      </c>
      <c r="BK17" s="67" t="n">
        <f aca="false">IF(AND(BI17&gt;0,BJ16&gt;0,B17&gt;0),MIN(conv_cap,conv_beta*1*BI17*MAX(0,LN(B17/(BJ16*BL16)))),0)</f>
        <v>0</v>
      </c>
      <c r="BL17" s="68" t="n">
        <f aca="false">BL16*(1+BK17)</f>
        <v>1</v>
      </c>
      <c r="BM17" s="50" t="n">
        <f aca="false">BH17*BL17</f>
        <v>0</v>
      </c>
      <c r="BN17" s="70" t="n">
        <f aca="false">IF(BG17&gt;0,BM17*1000000/BG17/Economy!Q17,0)</f>
        <v>0</v>
      </c>
      <c r="BO17" s="48" t="n">
        <v>0</v>
      </c>
      <c r="BP17" s="48" t="n">
        <v>0</v>
      </c>
      <c r="BQ17" s="71" t="n">
        <v>0</v>
      </c>
      <c r="BR17" s="50" t="n">
        <f aca="false">IF(BO17&gt;0,BP17*1000000/BO17,0)</f>
        <v>0</v>
      </c>
      <c r="BS17" s="67" t="n">
        <f aca="false">IF(AND(BQ17&gt;0,BR16&gt;0,B17&gt;0),MIN(conv_cap,conv_beta*1*BQ17*MAX(0,LN(B17/(BR16*BT16)))),0)</f>
        <v>0</v>
      </c>
      <c r="BT17" s="68" t="n">
        <f aca="false">BT16*(1+BS17)</f>
        <v>1</v>
      </c>
      <c r="BU17" s="50"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50" t="n">
        <f aca="false">I17+Q17+Y17+AG17</f>
        <v>0</v>
      </c>
      <c r="BZ17" s="50" t="n">
        <f aca="false">D17+L17+T17+AB17</f>
        <v>0</v>
      </c>
      <c r="CA17" s="68" t="n">
        <f aca="false">IF(BZ17&gt;0,BY17/BZ17,0)</f>
        <v>0</v>
      </c>
    </row>
    <row r="18" customFormat="false" ht="14.25" hidden="false" customHeight="false" outlineLevel="0" collapsed="false">
      <c r="A18" s="61" t="n">
        <v>1858</v>
      </c>
      <c r="B18" s="50" t="n">
        <f aca="false">Economy!P17</f>
        <v>253.319021289595</v>
      </c>
      <c r="C18" s="48" t="n">
        <v>0</v>
      </c>
      <c r="D18" s="65" t="n">
        <f aca="false">Japan!B18</f>
        <v>0</v>
      </c>
      <c r="E18" s="71" t="n">
        <v>0.1</v>
      </c>
      <c r="F18" s="50" t="n">
        <f aca="false">IF(C18&gt;0,D18*1000000/C18,0)</f>
        <v>0</v>
      </c>
      <c r="G18" s="67" t="n">
        <f aca="false">IF(AND(E18&gt;0,F17&gt;0,B18&gt;0),MIN(conv_cap,conv_beta*jp_uplift*E18*MAX(0,LN(B18/(F17*H17)))),0)</f>
        <v>0</v>
      </c>
      <c r="H18" s="68" t="n">
        <f aca="false">H17*(1+G18)</f>
        <v>1</v>
      </c>
      <c r="I18" s="50" t="n">
        <f aca="false">D18*H18</f>
        <v>0</v>
      </c>
      <c r="J18" s="70" t="n">
        <f aca="false">IF(C18&gt;0,I18*1000000/C18/Economy!Q18,0)</f>
        <v>0</v>
      </c>
      <c r="K18" s="65" t="n">
        <f aca="false">Gulf!B18</f>
        <v>0</v>
      </c>
      <c r="L18" s="50" t="n">
        <f aca="false">Gulf!B18*Gulf!C18*Economy!Q18/1000000</f>
        <v>0</v>
      </c>
      <c r="M18" s="71" t="n">
        <v>0</v>
      </c>
      <c r="N18" s="50" t="n">
        <f aca="false">IF(K18&gt;0,L18*1000000/K18,0)</f>
        <v>0</v>
      </c>
      <c r="O18" s="67" t="n">
        <f aca="false">IF(AND(M18&gt;0,N17&gt;0,B18&gt;0),MIN(conv_cap,conv_beta*1*M18*MAX(0,LN(B18/(N17*P17)))),0)</f>
        <v>0</v>
      </c>
      <c r="P18" s="68" t="n">
        <f aca="false">P17*(1+O18)</f>
        <v>1</v>
      </c>
      <c r="Q18" s="50" t="n">
        <f aca="false">L18*P18</f>
        <v>0</v>
      </c>
      <c r="R18" s="70" t="n">
        <f aca="false">IF(K18&gt;0,Q18*1000000/K18/Economy!Q18,0)</f>
        <v>0</v>
      </c>
      <c r="S18" s="65" t="n">
        <f aca="false">People!U18</f>
        <v>0</v>
      </c>
      <c r="T18" s="48" t="n">
        <v>0</v>
      </c>
      <c r="U18" s="71" t="n">
        <v>0</v>
      </c>
      <c r="V18" s="50" t="n">
        <f aca="false">IF(S18&gt;0,T18*1000000/S18,0)</f>
        <v>0</v>
      </c>
      <c r="W18" s="67" t="n">
        <f aca="false">IF(AND(U18&gt;0,V17&gt;0,B18&gt;0),MIN(conv_cap,conv_beta*1*U18*MAX(0,LN(B18/(V17*X17)))),0)</f>
        <v>0</v>
      </c>
      <c r="X18" s="68" t="n">
        <f aca="false">X17*(1+W18)</f>
        <v>1</v>
      </c>
      <c r="Y18" s="50" t="n">
        <f aca="false">T18*X18</f>
        <v>0</v>
      </c>
      <c r="Z18" s="70" t="n">
        <f aca="false">IF(S18&gt;0,Y18*1000000/S18/Economy!Q18,0)</f>
        <v>0</v>
      </c>
      <c r="AA18" s="48" t="n">
        <v>0</v>
      </c>
      <c r="AB18" s="48" t="n">
        <v>0</v>
      </c>
      <c r="AC18" s="71" t="n">
        <v>0</v>
      </c>
      <c r="AD18" s="50" t="n">
        <f aca="false">IF(AA18&gt;0,AB18*1000000/AA18,0)</f>
        <v>0</v>
      </c>
      <c r="AE18" s="67" t="n">
        <f aca="false">IF(AND(AC18&gt;0,AD17&gt;0,B18&gt;0),MIN(conv_cap,conv_beta*1*AC18*MAX(0,LN(B18/(AD17*AF17)))),0)</f>
        <v>0</v>
      </c>
      <c r="AF18" s="68" t="n">
        <f aca="false">AF17*(1+AE18)</f>
        <v>1</v>
      </c>
      <c r="AG18" s="50" t="n">
        <f aca="false">AB18*AF18</f>
        <v>0</v>
      </c>
      <c r="AH18" s="70" t="n">
        <f aca="false">IF(AA18&gt;0,AG18*1000000/AA18/Economy!Q18,0)</f>
        <v>0</v>
      </c>
      <c r="AI18" s="48" t="n">
        <v>0</v>
      </c>
      <c r="AJ18" s="48" t="n">
        <v>0</v>
      </c>
      <c r="AK18" s="71" t="n">
        <v>0</v>
      </c>
      <c r="AL18" s="50" t="n">
        <f aca="false">IF(AI18&gt;0,AJ18*1000000/AI18,0)</f>
        <v>0</v>
      </c>
      <c r="AM18" s="67" t="n">
        <f aca="false">IF(AND(AK18&gt;0,AL17&gt;0,B18&gt;0),MIN(conv_cap,conv_beta*1*AK18*MAX(0,LN(B18/(AL17*AN17)))),0)</f>
        <v>0</v>
      </c>
      <c r="AN18" s="68" t="n">
        <f aca="false">AN17*(1+AM18)</f>
        <v>1</v>
      </c>
      <c r="AO18" s="50" t="n">
        <f aca="false">AJ18*AN18</f>
        <v>0</v>
      </c>
      <c r="AP18" s="70" t="n">
        <f aca="false">IF(AI18&gt;0,AO18*1000000/AI18/Economy!Q18,0)</f>
        <v>0</v>
      </c>
      <c r="AQ18" s="48" t="n">
        <v>0</v>
      </c>
      <c r="AR18" s="48" t="n">
        <v>0</v>
      </c>
      <c r="AS18" s="71" t="n">
        <v>0</v>
      </c>
      <c r="AT18" s="50" t="n">
        <f aca="false">IF(AQ18&gt;0,AR18*1000000/AQ18,0)</f>
        <v>0</v>
      </c>
      <c r="AU18" s="67" t="n">
        <f aca="false">IF(AND(AS18&gt;0,AT17&gt;0,B18&gt;0),MIN(conv_cap,conv_beta*1*AS18*MAX(0,LN(B18/(AT17*AV17)))),0)</f>
        <v>0</v>
      </c>
      <c r="AV18" s="68" t="n">
        <f aca="false">AV17*(1+AU18)</f>
        <v>1</v>
      </c>
      <c r="AW18" s="50" t="n">
        <f aca="false">AR18*AV18</f>
        <v>0</v>
      </c>
      <c r="AX18" s="70" t="n">
        <f aca="false">IF(AQ18&gt;0,AW18*1000000/AQ18/Economy!Q18,0)</f>
        <v>0</v>
      </c>
      <c r="AY18" s="48" t="n">
        <v>0</v>
      </c>
      <c r="AZ18" s="48" t="n">
        <v>0</v>
      </c>
      <c r="BA18" s="71" t="n">
        <v>0</v>
      </c>
      <c r="BB18" s="50" t="n">
        <f aca="false">IF(AY18&gt;0,AZ18*1000000/AY18,0)</f>
        <v>0</v>
      </c>
      <c r="BC18" s="67" t="n">
        <f aca="false">IF(AND(BA18&gt;0,BB17&gt;0,B18&gt;0),MIN(conv_cap,conv_beta*1*BA18*MAX(0,LN(B18/(BB17*BD17)))),0)</f>
        <v>0</v>
      </c>
      <c r="BD18" s="68" t="n">
        <f aca="false">BD17*(1+BC18)</f>
        <v>1</v>
      </c>
      <c r="BE18" s="50" t="n">
        <f aca="false">AZ18*BD18</f>
        <v>0</v>
      </c>
      <c r="BF18" s="70" t="n">
        <f aca="false">IF(AY18&gt;0,BE18*1000000/AY18/Economy!Q18,0)</f>
        <v>0</v>
      </c>
      <c r="BG18" s="48" t="n">
        <v>0</v>
      </c>
      <c r="BH18" s="48" t="n">
        <v>0</v>
      </c>
      <c r="BI18" s="71" t="n">
        <v>0</v>
      </c>
      <c r="BJ18" s="50" t="n">
        <f aca="false">IF(BG18&gt;0,BH18*1000000/BG18,0)</f>
        <v>0</v>
      </c>
      <c r="BK18" s="67" t="n">
        <f aca="false">IF(AND(BI18&gt;0,BJ17&gt;0,B18&gt;0),MIN(conv_cap,conv_beta*1*BI18*MAX(0,LN(B18/(BJ17*BL17)))),0)</f>
        <v>0</v>
      </c>
      <c r="BL18" s="68" t="n">
        <f aca="false">BL17*(1+BK18)</f>
        <v>1</v>
      </c>
      <c r="BM18" s="50" t="n">
        <f aca="false">BH18*BL18</f>
        <v>0</v>
      </c>
      <c r="BN18" s="70" t="n">
        <f aca="false">IF(BG18&gt;0,BM18*1000000/BG18/Economy!Q18,0)</f>
        <v>0</v>
      </c>
      <c r="BO18" s="48" t="n">
        <v>0</v>
      </c>
      <c r="BP18" s="48" t="n">
        <v>0</v>
      </c>
      <c r="BQ18" s="71" t="n">
        <v>0</v>
      </c>
      <c r="BR18" s="50" t="n">
        <f aca="false">IF(BO18&gt;0,BP18*1000000/BO18,0)</f>
        <v>0</v>
      </c>
      <c r="BS18" s="67" t="n">
        <f aca="false">IF(AND(BQ18&gt;0,BR17&gt;0,B18&gt;0),MIN(conv_cap,conv_beta*1*BQ18*MAX(0,LN(B18/(BR17*BT17)))),0)</f>
        <v>0</v>
      </c>
      <c r="BT18" s="68" t="n">
        <f aca="false">BT17*(1+BS18)</f>
        <v>1</v>
      </c>
      <c r="BU18" s="50"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50" t="n">
        <f aca="false">I18+Q18+Y18+AG18</f>
        <v>0</v>
      </c>
      <c r="BZ18" s="50" t="n">
        <f aca="false">D18+L18+T18+AB18</f>
        <v>0</v>
      </c>
      <c r="CA18" s="68" t="n">
        <f aca="false">IF(BZ18&gt;0,BY18/BZ18,0)</f>
        <v>0</v>
      </c>
    </row>
    <row r="19" customFormat="false" ht="14.25" hidden="false" customHeight="false" outlineLevel="0" collapsed="false">
      <c r="A19" s="61" t="n">
        <v>1859</v>
      </c>
      <c r="B19" s="50" t="n">
        <f aca="false">Economy!P18</f>
        <v>259.045620806403</v>
      </c>
      <c r="C19" s="48" t="n">
        <v>0</v>
      </c>
      <c r="D19" s="65" t="n">
        <f aca="false">Japan!B19</f>
        <v>0</v>
      </c>
      <c r="E19" s="71" t="n">
        <v>0.12</v>
      </c>
      <c r="F19" s="50" t="n">
        <f aca="false">IF(C19&gt;0,D19*1000000/C19,0)</f>
        <v>0</v>
      </c>
      <c r="G19" s="67" t="n">
        <f aca="false">IF(AND(E19&gt;0,F18&gt;0,B19&gt;0),MIN(conv_cap,conv_beta*jp_uplift*E19*MAX(0,LN(B19/(F18*H18)))),0)</f>
        <v>0</v>
      </c>
      <c r="H19" s="68" t="n">
        <f aca="false">H18*(1+G19)</f>
        <v>1</v>
      </c>
      <c r="I19" s="50" t="n">
        <f aca="false">D19*H19</f>
        <v>0</v>
      </c>
      <c r="J19" s="70" t="n">
        <f aca="false">IF(C19&gt;0,I19*1000000/C19/Economy!Q19,0)</f>
        <v>0</v>
      </c>
      <c r="K19" s="65" t="n">
        <f aca="false">Gulf!B19</f>
        <v>0</v>
      </c>
      <c r="L19" s="50" t="n">
        <f aca="false">Gulf!B19*Gulf!C19*Economy!Q19/1000000</f>
        <v>0</v>
      </c>
      <c r="M19" s="71" t="n">
        <v>0</v>
      </c>
      <c r="N19" s="50" t="n">
        <f aca="false">IF(K19&gt;0,L19*1000000/K19,0)</f>
        <v>0</v>
      </c>
      <c r="O19" s="67" t="n">
        <f aca="false">IF(AND(M19&gt;0,N18&gt;0,B19&gt;0),MIN(conv_cap,conv_beta*1*M19*MAX(0,LN(B19/(N18*P18)))),0)</f>
        <v>0</v>
      </c>
      <c r="P19" s="68" t="n">
        <f aca="false">P18*(1+O19)</f>
        <v>1</v>
      </c>
      <c r="Q19" s="50" t="n">
        <f aca="false">L19*P19</f>
        <v>0</v>
      </c>
      <c r="R19" s="70" t="n">
        <f aca="false">IF(K19&gt;0,Q19*1000000/K19/Economy!Q19,0)</f>
        <v>0</v>
      </c>
      <c r="S19" s="65" t="n">
        <f aca="false">People!U19</f>
        <v>0</v>
      </c>
      <c r="T19" s="48" t="n">
        <v>0</v>
      </c>
      <c r="U19" s="71" t="n">
        <v>0</v>
      </c>
      <c r="V19" s="50" t="n">
        <f aca="false">IF(S19&gt;0,T19*1000000/S19,0)</f>
        <v>0</v>
      </c>
      <c r="W19" s="67" t="n">
        <f aca="false">IF(AND(U19&gt;0,V18&gt;0,B19&gt;0),MIN(conv_cap,conv_beta*1*U19*MAX(0,LN(B19/(V18*X18)))),0)</f>
        <v>0</v>
      </c>
      <c r="X19" s="68" t="n">
        <f aca="false">X18*(1+W19)</f>
        <v>1</v>
      </c>
      <c r="Y19" s="50" t="n">
        <f aca="false">T19*X19</f>
        <v>0</v>
      </c>
      <c r="Z19" s="70" t="n">
        <f aca="false">IF(S19&gt;0,Y19*1000000/S19/Economy!Q19,0)</f>
        <v>0</v>
      </c>
      <c r="AA19" s="48" t="n">
        <v>0</v>
      </c>
      <c r="AB19" s="48" t="n">
        <v>0</v>
      </c>
      <c r="AC19" s="71" t="n">
        <v>0</v>
      </c>
      <c r="AD19" s="50" t="n">
        <f aca="false">IF(AA19&gt;0,AB19*1000000/AA19,0)</f>
        <v>0</v>
      </c>
      <c r="AE19" s="67" t="n">
        <f aca="false">IF(AND(AC19&gt;0,AD18&gt;0,B19&gt;0),MIN(conv_cap,conv_beta*1*AC19*MAX(0,LN(B19/(AD18*AF18)))),0)</f>
        <v>0</v>
      </c>
      <c r="AF19" s="68" t="n">
        <f aca="false">AF18*(1+AE19)</f>
        <v>1</v>
      </c>
      <c r="AG19" s="50" t="n">
        <f aca="false">AB19*AF19</f>
        <v>0</v>
      </c>
      <c r="AH19" s="70" t="n">
        <f aca="false">IF(AA19&gt;0,AG19*1000000/AA19/Economy!Q19,0)</f>
        <v>0</v>
      </c>
      <c r="AI19" s="48" t="n">
        <v>0</v>
      </c>
      <c r="AJ19" s="48" t="n">
        <v>0</v>
      </c>
      <c r="AK19" s="71" t="n">
        <v>0</v>
      </c>
      <c r="AL19" s="50" t="n">
        <f aca="false">IF(AI19&gt;0,AJ19*1000000/AI19,0)</f>
        <v>0</v>
      </c>
      <c r="AM19" s="67" t="n">
        <f aca="false">IF(AND(AK19&gt;0,AL18&gt;0,B19&gt;0),MIN(conv_cap,conv_beta*1*AK19*MAX(0,LN(B19/(AL18*AN18)))),0)</f>
        <v>0</v>
      </c>
      <c r="AN19" s="68" t="n">
        <f aca="false">AN18*(1+AM19)</f>
        <v>1</v>
      </c>
      <c r="AO19" s="50" t="n">
        <f aca="false">AJ19*AN19</f>
        <v>0</v>
      </c>
      <c r="AP19" s="70" t="n">
        <f aca="false">IF(AI19&gt;0,AO19*1000000/AI19/Economy!Q19,0)</f>
        <v>0</v>
      </c>
      <c r="AQ19" s="48" t="n">
        <v>0</v>
      </c>
      <c r="AR19" s="48" t="n">
        <v>0</v>
      </c>
      <c r="AS19" s="71" t="n">
        <v>0</v>
      </c>
      <c r="AT19" s="50" t="n">
        <f aca="false">IF(AQ19&gt;0,AR19*1000000/AQ19,0)</f>
        <v>0</v>
      </c>
      <c r="AU19" s="67" t="n">
        <f aca="false">IF(AND(AS19&gt;0,AT18&gt;0,B19&gt;0),MIN(conv_cap,conv_beta*1*AS19*MAX(0,LN(B19/(AT18*AV18)))),0)</f>
        <v>0</v>
      </c>
      <c r="AV19" s="68" t="n">
        <f aca="false">AV18*(1+AU19)</f>
        <v>1</v>
      </c>
      <c r="AW19" s="50" t="n">
        <f aca="false">AR19*AV19</f>
        <v>0</v>
      </c>
      <c r="AX19" s="70" t="n">
        <f aca="false">IF(AQ19&gt;0,AW19*1000000/AQ19/Economy!Q19,0)</f>
        <v>0</v>
      </c>
      <c r="AY19" s="48" t="n">
        <v>0</v>
      </c>
      <c r="AZ19" s="48" t="n">
        <v>0</v>
      </c>
      <c r="BA19" s="71" t="n">
        <v>0</v>
      </c>
      <c r="BB19" s="50" t="n">
        <f aca="false">IF(AY19&gt;0,AZ19*1000000/AY19,0)</f>
        <v>0</v>
      </c>
      <c r="BC19" s="67" t="n">
        <f aca="false">IF(AND(BA19&gt;0,BB18&gt;0,B19&gt;0),MIN(conv_cap,conv_beta*1*BA19*MAX(0,LN(B19/(BB18*BD18)))),0)</f>
        <v>0</v>
      </c>
      <c r="BD19" s="68" t="n">
        <f aca="false">BD18*(1+BC19)</f>
        <v>1</v>
      </c>
      <c r="BE19" s="50" t="n">
        <f aca="false">AZ19*BD19</f>
        <v>0</v>
      </c>
      <c r="BF19" s="70" t="n">
        <f aca="false">IF(AY19&gt;0,BE19*1000000/AY19/Economy!Q19,0)</f>
        <v>0</v>
      </c>
      <c r="BG19" s="48" t="n">
        <v>0</v>
      </c>
      <c r="BH19" s="48" t="n">
        <v>0</v>
      </c>
      <c r="BI19" s="71" t="n">
        <v>0</v>
      </c>
      <c r="BJ19" s="50" t="n">
        <f aca="false">IF(BG19&gt;0,BH19*1000000/BG19,0)</f>
        <v>0</v>
      </c>
      <c r="BK19" s="67" t="n">
        <f aca="false">IF(AND(BI19&gt;0,BJ18&gt;0,B19&gt;0),MIN(conv_cap,conv_beta*1*BI19*MAX(0,LN(B19/(BJ18*BL18)))),0)</f>
        <v>0</v>
      </c>
      <c r="BL19" s="68" t="n">
        <f aca="false">BL18*(1+BK19)</f>
        <v>1</v>
      </c>
      <c r="BM19" s="50" t="n">
        <f aca="false">BH19*BL19</f>
        <v>0</v>
      </c>
      <c r="BN19" s="70" t="n">
        <f aca="false">IF(BG19&gt;0,BM19*1000000/BG19/Economy!Q19,0)</f>
        <v>0</v>
      </c>
      <c r="BO19" s="48" t="n">
        <v>0</v>
      </c>
      <c r="BP19" s="48" t="n">
        <v>0</v>
      </c>
      <c r="BQ19" s="71" t="n">
        <v>0</v>
      </c>
      <c r="BR19" s="50" t="n">
        <f aca="false">IF(BO19&gt;0,BP19*1000000/BO19,0)</f>
        <v>0</v>
      </c>
      <c r="BS19" s="67" t="n">
        <f aca="false">IF(AND(BQ19&gt;0,BR18&gt;0,B19&gt;0),MIN(conv_cap,conv_beta*1*BQ19*MAX(0,LN(B19/(BR18*BT18)))),0)</f>
        <v>0</v>
      </c>
      <c r="BT19" s="68" t="n">
        <f aca="false">BT18*(1+BS19)</f>
        <v>1</v>
      </c>
      <c r="BU19" s="50"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50" t="n">
        <f aca="false">I19+Q19+Y19+AG19</f>
        <v>0</v>
      </c>
      <c r="BZ19" s="50" t="n">
        <f aca="false">D19+L19+T19+AB19</f>
        <v>0</v>
      </c>
      <c r="CA19" s="68" t="n">
        <f aca="false">IF(BZ19&gt;0,BY19/BZ19,0)</f>
        <v>0</v>
      </c>
    </row>
    <row r="20" customFormat="false" ht="14.25" hidden="false" customHeight="false" outlineLevel="0" collapsed="false">
      <c r="A20" s="61" t="n">
        <v>1860</v>
      </c>
      <c r="B20" s="50" t="n">
        <f aca="false">Economy!P19</f>
        <v>261.159608084389</v>
      </c>
      <c r="C20" s="48" t="n">
        <v>0</v>
      </c>
      <c r="D20" s="65" t="n">
        <f aca="false">Japan!B20</f>
        <v>0</v>
      </c>
      <c r="E20" s="71" t="n">
        <v>0.14</v>
      </c>
      <c r="F20" s="50" t="n">
        <f aca="false">IF(C20&gt;0,D20*1000000/C20,0)</f>
        <v>0</v>
      </c>
      <c r="G20" s="67" t="n">
        <f aca="false">IF(AND(E20&gt;0,F19&gt;0,B20&gt;0),MIN(conv_cap,conv_beta*jp_uplift*E20*MAX(0,LN(B20/(F19*H19)))),0)</f>
        <v>0</v>
      </c>
      <c r="H20" s="68" t="n">
        <f aca="false">H19*(1+G20)</f>
        <v>1</v>
      </c>
      <c r="I20" s="50" t="n">
        <f aca="false">D20*H20</f>
        <v>0</v>
      </c>
      <c r="J20" s="70" t="n">
        <f aca="false">IF(C20&gt;0,I20*1000000/C20/Economy!Q20,0)</f>
        <v>0</v>
      </c>
      <c r="K20" s="65" t="n">
        <f aca="false">Gulf!B20</f>
        <v>0</v>
      </c>
      <c r="L20" s="50" t="n">
        <f aca="false">Gulf!B20*Gulf!C20*Economy!Q20/1000000</f>
        <v>0</v>
      </c>
      <c r="M20" s="71" t="n">
        <v>0</v>
      </c>
      <c r="N20" s="50" t="n">
        <f aca="false">IF(K20&gt;0,L20*1000000/K20,0)</f>
        <v>0</v>
      </c>
      <c r="O20" s="67" t="n">
        <f aca="false">IF(AND(M20&gt;0,N19&gt;0,B20&gt;0),MIN(conv_cap,conv_beta*1*M20*MAX(0,LN(B20/(N19*P19)))),0)</f>
        <v>0</v>
      </c>
      <c r="P20" s="68" t="n">
        <f aca="false">P19*(1+O20)</f>
        <v>1</v>
      </c>
      <c r="Q20" s="50" t="n">
        <f aca="false">L20*P20</f>
        <v>0</v>
      </c>
      <c r="R20" s="70" t="n">
        <f aca="false">IF(K20&gt;0,Q20*1000000/K20/Economy!Q20,0)</f>
        <v>0</v>
      </c>
      <c r="S20" s="65" t="n">
        <f aca="false">People!U20</f>
        <v>0</v>
      </c>
      <c r="T20" s="48" t="n">
        <v>0</v>
      </c>
      <c r="U20" s="71" t="n">
        <v>0</v>
      </c>
      <c r="V20" s="50" t="n">
        <f aca="false">IF(S20&gt;0,T20*1000000/S20,0)</f>
        <v>0</v>
      </c>
      <c r="W20" s="67" t="n">
        <f aca="false">IF(AND(U20&gt;0,V19&gt;0,B20&gt;0),MIN(conv_cap,conv_beta*1*U20*MAX(0,LN(B20/(V19*X19)))),0)</f>
        <v>0</v>
      </c>
      <c r="X20" s="68" t="n">
        <f aca="false">X19*(1+W20)</f>
        <v>1</v>
      </c>
      <c r="Y20" s="50" t="n">
        <f aca="false">T20*X20</f>
        <v>0</v>
      </c>
      <c r="Z20" s="70" t="n">
        <f aca="false">IF(S20&gt;0,Y20*1000000/S20/Economy!Q20,0)</f>
        <v>0</v>
      </c>
      <c r="AA20" s="48" t="n">
        <v>0</v>
      </c>
      <c r="AB20" s="48" t="n">
        <v>0</v>
      </c>
      <c r="AC20" s="71" t="n">
        <v>0</v>
      </c>
      <c r="AD20" s="50" t="n">
        <f aca="false">IF(AA20&gt;0,AB20*1000000/AA20,0)</f>
        <v>0</v>
      </c>
      <c r="AE20" s="67" t="n">
        <f aca="false">IF(AND(AC20&gt;0,AD19&gt;0,B20&gt;0),MIN(conv_cap,conv_beta*1*AC20*MAX(0,LN(B20/(AD19*AF19)))),0)</f>
        <v>0</v>
      </c>
      <c r="AF20" s="68" t="n">
        <f aca="false">AF19*(1+AE20)</f>
        <v>1</v>
      </c>
      <c r="AG20" s="50" t="n">
        <f aca="false">AB20*AF20</f>
        <v>0</v>
      </c>
      <c r="AH20" s="70" t="n">
        <f aca="false">IF(AA20&gt;0,AG20*1000000/AA20/Economy!Q20,0)</f>
        <v>0</v>
      </c>
      <c r="AI20" s="48" t="n">
        <v>0</v>
      </c>
      <c r="AJ20" s="48" t="n">
        <v>0</v>
      </c>
      <c r="AK20" s="71" t="n">
        <v>0</v>
      </c>
      <c r="AL20" s="50" t="n">
        <f aca="false">IF(AI20&gt;0,AJ20*1000000/AI20,0)</f>
        <v>0</v>
      </c>
      <c r="AM20" s="67" t="n">
        <f aca="false">IF(AND(AK20&gt;0,AL19&gt;0,B20&gt;0),MIN(conv_cap,conv_beta*1*AK20*MAX(0,LN(B20/(AL19*AN19)))),0)</f>
        <v>0</v>
      </c>
      <c r="AN20" s="68" t="n">
        <f aca="false">AN19*(1+AM20)</f>
        <v>1</v>
      </c>
      <c r="AO20" s="50" t="n">
        <f aca="false">AJ20*AN20</f>
        <v>0</v>
      </c>
      <c r="AP20" s="70" t="n">
        <f aca="false">IF(AI20&gt;0,AO20*1000000/AI20/Economy!Q20,0)</f>
        <v>0</v>
      </c>
      <c r="AQ20" s="48" t="n">
        <v>0</v>
      </c>
      <c r="AR20" s="48" t="n">
        <v>0</v>
      </c>
      <c r="AS20" s="71" t="n">
        <v>0</v>
      </c>
      <c r="AT20" s="50" t="n">
        <f aca="false">IF(AQ20&gt;0,AR20*1000000/AQ20,0)</f>
        <v>0</v>
      </c>
      <c r="AU20" s="67" t="n">
        <f aca="false">IF(AND(AS20&gt;0,AT19&gt;0,B20&gt;0),MIN(conv_cap,conv_beta*1*AS20*MAX(0,LN(B20/(AT19*AV19)))),0)</f>
        <v>0</v>
      </c>
      <c r="AV20" s="68" t="n">
        <f aca="false">AV19*(1+AU20)</f>
        <v>1</v>
      </c>
      <c r="AW20" s="50" t="n">
        <f aca="false">AR20*AV20</f>
        <v>0</v>
      </c>
      <c r="AX20" s="70" t="n">
        <f aca="false">IF(AQ20&gt;0,AW20*1000000/AQ20/Economy!Q20,0)</f>
        <v>0</v>
      </c>
      <c r="AY20" s="48" t="n">
        <v>0</v>
      </c>
      <c r="AZ20" s="48" t="n">
        <v>0</v>
      </c>
      <c r="BA20" s="71" t="n">
        <v>0</v>
      </c>
      <c r="BB20" s="50" t="n">
        <f aca="false">IF(AY20&gt;0,AZ20*1000000/AY20,0)</f>
        <v>0</v>
      </c>
      <c r="BC20" s="67" t="n">
        <f aca="false">IF(AND(BA20&gt;0,BB19&gt;0,B20&gt;0),MIN(conv_cap,conv_beta*1*BA20*MAX(0,LN(B20/(BB19*BD19)))),0)</f>
        <v>0</v>
      </c>
      <c r="BD20" s="68" t="n">
        <f aca="false">BD19*(1+BC20)</f>
        <v>1</v>
      </c>
      <c r="BE20" s="50" t="n">
        <f aca="false">AZ20*BD20</f>
        <v>0</v>
      </c>
      <c r="BF20" s="70" t="n">
        <f aca="false">IF(AY20&gt;0,BE20*1000000/AY20/Economy!Q20,0)</f>
        <v>0</v>
      </c>
      <c r="BG20" s="48" t="n">
        <v>0</v>
      </c>
      <c r="BH20" s="48" t="n">
        <v>0</v>
      </c>
      <c r="BI20" s="71" t="n">
        <v>0</v>
      </c>
      <c r="BJ20" s="50" t="n">
        <f aca="false">IF(BG20&gt;0,BH20*1000000/BG20,0)</f>
        <v>0</v>
      </c>
      <c r="BK20" s="67" t="n">
        <f aca="false">IF(AND(BI20&gt;0,BJ19&gt;0,B20&gt;0),MIN(conv_cap,conv_beta*1*BI20*MAX(0,LN(B20/(BJ19*BL19)))),0)</f>
        <v>0</v>
      </c>
      <c r="BL20" s="68" t="n">
        <f aca="false">BL19*(1+BK20)</f>
        <v>1</v>
      </c>
      <c r="BM20" s="50" t="n">
        <f aca="false">BH20*BL20</f>
        <v>0</v>
      </c>
      <c r="BN20" s="70" t="n">
        <f aca="false">IF(BG20&gt;0,BM20*1000000/BG20/Economy!Q20,0)</f>
        <v>0</v>
      </c>
      <c r="BO20" s="48" t="n">
        <v>0</v>
      </c>
      <c r="BP20" s="48" t="n">
        <v>0</v>
      </c>
      <c r="BQ20" s="71" t="n">
        <v>0</v>
      </c>
      <c r="BR20" s="50" t="n">
        <f aca="false">IF(BO20&gt;0,BP20*1000000/BO20,0)</f>
        <v>0</v>
      </c>
      <c r="BS20" s="67" t="n">
        <f aca="false">IF(AND(BQ20&gt;0,BR19&gt;0,B20&gt;0),MIN(conv_cap,conv_beta*1*BQ20*MAX(0,LN(B20/(BR19*BT19)))),0)</f>
        <v>0</v>
      </c>
      <c r="BT20" s="68" t="n">
        <f aca="false">BT19*(1+BS20)</f>
        <v>1</v>
      </c>
      <c r="BU20" s="50"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50" t="n">
        <f aca="false">I20+Q20+Y20+AG20</f>
        <v>0</v>
      </c>
      <c r="BZ20" s="50" t="n">
        <f aca="false">D20+L20+T20+AB20</f>
        <v>0</v>
      </c>
      <c r="CA20" s="68" t="n">
        <f aca="false">IF(BZ20&gt;0,BY20/BZ20,0)</f>
        <v>0</v>
      </c>
    </row>
    <row r="21" customFormat="false" ht="14.25" hidden="false" customHeight="false" outlineLevel="0" collapsed="false">
      <c r="A21" s="64" t="n">
        <v>1861</v>
      </c>
      <c r="B21" s="50" t="n">
        <f aca="false">Economy!P20</f>
        <v>260.485320943013</v>
      </c>
      <c r="C21" s="48" t="n">
        <v>0</v>
      </c>
      <c r="D21" s="65" t="n">
        <f aca="false">Japan!B21</f>
        <v>0</v>
      </c>
      <c r="E21" s="71" t="n">
        <v>0.16</v>
      </c>
      <c r="F21" s="50" t="n">
        <f aca="false">IF(C21&gt;0,D21*1000000/C21,0)</f>
        <v>0</v>
      </c>
      <c r="G21" s="67" t="n">
        <f aca="false">IF(AND(E21&gt;0,F20&gt;0,B21&gt;0),MIN(conv_cap,conv_beta*jp_uplift*E21*MAX(0,LN(B21/(F20*H20)))),0)</f>
        <v>0</v>
      </c>
      <c r="H21" s="68" t="n">
        <f aca="false">H20*(1+G21)</f>
        <v>1</v>
      </c>
      <c r="I21" s="50" t="n">
        <f aca="false">D21*H21</f>
        <v>0</v>
      </c>
      <c r="J21" s="70" t="n">
        <f aca="false">IF(C21&gt;0,I21*1000000/C21/Economy!Q21,0)</f>
        <v>0</v>
      </c>
      <c r="K21" s="65" t="n">
        <f aca="false">Gulf!B21</f>
        <v>0</v>
      </c>
      <c r="L21" s="50" t="n">
        <f aca="false">Gulf!B21*Gulf!C21*Economy!Q21/1000000</f>
        <v>0</v>
      </c>
      <c r="M21" s="71" t="n">
        <v>0</v>
      </c>
      <c r="N21" s="50" t="n">
        <f aca="false">IF(K21&gt;0,L21*1000000/K21,0)</f>
        <v>0</v>
      </c>
      <c r="O21" s="67" t="n">
        <f aca="false">IF(AND(M21&gt;0,N20&gt;0,B21&gt;0),MIN(conv_cap,conv_beta*1*M21*MAX(0,LN(B21/(N20*P20)))),0)</f>
        <v>0</v>
      </c>
      <c r="P21" s="68" t="n">
        <f aca="false">P20*(1+O21)</f>
        <v>1</v>
      </c>
      <c r="Q21" s="50" t="n">
        <f aca="false">L21*P21</f>
        <v>0</v>
      </c>
      <c r="R21" s="70" t="n">
        <f aca="false">IF(K21&gt;0,Q21*1000000/K21/Economy!Q21,0)</f>
        <v>0</v>
      </c>
      <c r="S21" s="65" t="n">
        <f aca="false">People!U21</f>
        <v>0</v>
      </c>
      <c r="T21" s="48" t="n">
        <v>0</v>
      </c>
      <c r="U21" s="71" t="n">
        <v>0</v>
      </c>
      <c r="V21" s="50" t="n">
        <f aca="false">IF(S21&gt;0,T21*1000000/S21,0)</f>
        <v>0</v>
      </c>
      <c r="W21" s="67" t="n">
        <f aca="false">IF(AND(U21&gt;0,V20&gt;0,B21&gt;0),MIN(conv_cap,conv_beta*1*U21*MAX(0,LN(B21/(V20*X20)))),0)</f>
        <v>0</v>
      </c>
      <c r="X21" s="68" t="n">
        <f aca="false">X20*(1+W21)</f>
        <v>1</v>
      </c>
      <c r="Y21" s="50" t="n">
        <f aca="false">T21*X21</f>
        <v>0</v>
      </c>
      <c r="Z21" s="70" t="n">
        <f aca="false">IF(S21&gt;0,Y21*1000000/S21/Economy!Q21,0)</f>
        <v>0</v>
      </c>
      <c r="AA21" s="48" t="n">
        <v>0</v>
      </c>
      <c r="AB21" s="48" t="n">
        <v>0</v>
      </c>
      <c r="AC21" s="71" t="n">
        <v>0</v>
      </c>
      <c r="AD21" s="50" t="n">
        <f aca="false">IF(AA21&gt;0,AB21*1000000/AA21,0)</f>
        <v>0</v>
      </c>
      <c r="AE21" s="67" t="n">
        <f aca="false">IF(AND(AC21&gt;0,AD20&gt;0,B21&gt;0),MIN(conv_cap,conv_beta*1*AC21*MAX(0,LN(B21/(AD20*AF20)))),0)</f>
        <v>0</v>
      </c>
      <c r="AF21" s="68" t="n">
        <f aca="false">AF20*(1+AE21)</f>
        <v>1</v>
      </c>
      <c r="AG21" s="50" t="n">
        <f aca="false">AB21*AF21</f>
        <v>0</v>
      </c>
      <c r="AH21" s="70" t="n">
        <f aca="false">IF(AA21&gt;0,AG21*1000000/AA21/Economy!Q21,0)</f>
        <v>0</v>
      </c>
      <c r="AI21" s="48" t="n">
        <v>0</v>
      </c>
      <c r="AJ21" s="48" t="n">
        <v>0</v>
      </c>
      <c r="AK21" s="71" t="n">
        <v>0</v>
      </c>
      <c r="AL21" s="50" t="n">
        <f aca="false">IF(AI21&gt;0,AJ21*1000000/AI21,0)</f>
        <v>0</v>
      </c>
      <c r="AM21" s="67" t="n">
        <f aca="false">IF(AND(AK21&gt;0,AL20&gt;0,B21&gt;0),MIN(conv_cap,conv_beta*1*AK21*MAX(0,LN(B21/(AL20*AN20)))),0)</f>
        <v>0</v>
      </c>
      <c r="AN21" s="68" t="n">
        <f aca="false">AN20*(1+AM21)</f>
        <v>1</v>
      </c>
      <c r="AO21" s="50" t="n">
        <f aca="false">AJ21*AN21</f>
        <v>0</v>
      </c>
      <c r="AP21" s="70" t="n">
        <f aca="false">IF(AI21&gt;0,AO21*1000000/AI21/Economy!Q21,0)</f>
        <v>0</v>
      </c>
      <c r="AQ21" s="48" t="n">
        <v>0</v>
      </c>
      <c r="AR21" s="48" t="n">
        <v>0</v>
      </c>
      <c r="AS21" s="71" t="n">
        <v>0</v>
      </c>
      <c r="AT21" s="50" t="n">
        <f aca="false">IF(AQ21&gt;0,AR21*1000000/AQ21,0)</f>
        <v>0</v>
      </c>
      <c r="AU21" s="67" t="n">
        <f aca="false">IF(AND(AS21&gt;0,AT20&gt;0,B21&gt;0),MIN(conv_cap,conv_beta*1*AS21*MAX(0,LN(B21/(AT20*AV20)))),0)</f>
        <v>0</v>
      </c>
      <c r="AV21" s="68" t="n">
        <f aca="false">AV20*(1+AU21)</f>
        <v>1</v>
      </c>
      <c r="AW21" s="50" t="n">
        <f aca="false">AR21*AV21</f>
        <v>0</v>
      </c>
      <c r="AX21" s="70" t="n">
        <f aca="false">IF(AQ21&gt;0,AW21*1000000/AQ21/Economy!Q21,0)</f>
        <v>0</v>
      </c>
      <c r="AY21" s="48" t="n">
        <v>0</v>
      </c>
      <c r="AZ21" s="48" t="n">
        <v>0</v>
      </c>
      <c r="BA21" s="71" t="n">
        <v>0</v>
      </c>
      <c r="BB21" s="50" t="n">
        <f aca="false">IF(AY21&gt;0,AZ21*1000000/AY21,0)</f>
        <v>0</v>
      </c>
      <c r="BC21" s="67" t="n">
        <f aca="false">IF(AND(BA21&gt;0,BB20&gt;0,B21&gt;0),MIN(conv_cap,conv_beta*1*BA21*MAX(0,LN(B21/(BB20*BD20)))),0)</f>
        <v>0</v>
      </c>
      <c r="BD21" s="68" t="n">
        <f aca="false">BD20*(1+BC21)</f>
        <v>1</v>
      </c>
      <c r="BE21" s="50" t="n">
        <f aca="false">AZ21*BD21</f>
        <v>0</v>
      </c>
      <c r="BF21" s="70" t="n">
        <f aca="false">IF(AY21&gt;0,BE21*1000000/AY21/Economy!Q21,0)</f>
        <v>0</v>
      </c>
      <c r="BG21" s="48" t="n">
        <v>0</v>
      </c>
      <c r="BH21" s="48" t="n">
        <v>0</v>
      </c>
      <c r="BI21" s="71" t="n">
        <v>0</v>
      </c>
      <c r="BJ21" s="50" t="n">
        <f aca="false">IF(BG21&gt;0,BH21*1000000/BG21,0)</f>
        <v>0</v>
      </c>
      <c r="BK21" s="67" t="n">
        <f aca="false">IF(AND(BI21&gt;0,BJ20&gt;0,B21&gt;0),MIN(conv_cap,conv_beta*1*BI21*MAX(0,LN(B21/(BJ20*BL20)))),0)</f>
        <v>0</v>
      </c>
      <c r="BL21" s="68" t="n">
        <f aca="false">BL20*(1+BK21)</f>
        <v>1</v>
      </c>
      <c r="BM21" s="50" t="n">
        <f aca="false">BH21*BL21</f>
        <v>0</v>
      </c>
      <c r="BN21" s="70" t="n">
        <f aca="false">IF(BG21&gt;0,BM21*1000000/BG21/Economy!Q21,0)</f>
        <v>0</v>
      </c>
      <c r="BO21" s="48" t="n">
        <v>0</v>
      </c>
      <c r="BP21" s="48" t="n">
        <v>0</v>
      </c>
      <c r="BQ21" s="71" t="n">
        <v>0</v>
      </c>
      <c r="BR21" s="50" t="n">
        <f aca="false">IF(BO21&gt;0,BP21*1000000/BO21,0)</f>
        <v>0</v>
      </c>
      <c r="BS21" s="67" t="n">
        <f aca="false">IF(AND(BQ21&gt;0,BR20&gt;0,B21&gt;0),MIN(conv_cap,conv_beta*1*BQ21*MAX(0,LN(B21/(BR20*BT20)))),0)</f>
        <v>0</v>
      </c>
      <c r="BT21" s="68" t="n">
        <f aca="false">BT20*(1+BS21)</f>
        <v>1</v>
      </c>
      <c r="BU21" s="50"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50" t="n">
        <f aca="false">I21+Q21+Y21+AG21</f>
        <v>0</v>
      </c>
      <c r="BZ21" s="50" t="n">
        <f aca="false">D21+L21+T21+AB21</f>
        <v>0</v>
      </c>
      <c r="CA21" s="68" t="n">
        <f aca="false">IF(BZ21&gt;0,BY21/BZ21,0)</f>
        <v>0</v>
      </c>
    </row>
    <row r="22" customFormat="false" ht="14.25" hidden="false" customHeight="false" outlineLevel="0" collapsed="false">
      <c r="A22" s="64" t="n">
        <v>1862</v>
      </c>
      <c r="B22" s="50" t="n">
        <f aca="false">Economy!P21</f>
        <v>253.823494227813</v>
      </c>
      <c r="C22" s="48" t="n">
        <v>0</v>
      </c>
      <c r="D22" s="65" t="n">
        <f aca="false">Japan!B22</f>
        <v>0</v>
      </c>
      <c r="E22" s="71" t="n">
        <v>0.18</v>
      </c>
      <c r="F22" s="50" t="n">
        <f aca="false">IF(C22&gt;0,D22*1000000/C22,0)</f>
        <v>0</v>
      </c>
      <c r="G22" s="67" t="n">
        <f aca="false">IF(AND(E22&gt;0,F21&gt;0,B22&gt;0),MIN(conv_cap,conv_beta*jp_uplift*E22*MAX(0,LN(B22/(F21*H21)))),0)</f>
        <v>0</v>
      </c>
      <c r="H22" s="68" t="n">
        <f aca="false">H21*(1+G22)</f>
        <v>1</v>
      </c>
      <c r="I22" s="50" t="n">
        <f aca="false">D22*H22</f>
        <v>0</v>
      </c>
      <c r="J22" s="70" t="n">
        <f aca="false">IF(C22&gt;0,I22*1000000/C22/Economy!Q22,0)</f>
        <v>0</v>
      </c>
      <c r="K22" s="65" t="n">
        <f aca="false">Gulf!B22</f>
        <v>0</v>
      </c>
      <c r="L22" s="50" t="n">
        <f aca="false">Gulf!B22*Gulf!C22*Economy!Q22/1000000</f>
        <v>0</v>
      </c>
      <c r="M22" s="71" t="n">
        <v>0</v>
      </c>
      <c r="N22" s="50" t="n">
        <f aca="false">IF(K22&gt;0,L22*1000000/K22,0)</f>
        <v>0</v>
      </c>
      <c r="O22" s="67" t="n">
        <f aca="false">IF(AND(M22&gt;0,N21&gt;0,B22&gt;0),MIN(conv_cap,conv_beta*1*M22*MAX(0,LN(B22/(N21*P21)))),0)</f>
        <v>0</v>
      </c>
      <c r="P22" s="68" t="n">
        <f aca="false">P21*(1+O22)</f>
        <v>1</v>
      </c>
      <c r="Q22" s="50" t="n">
        <f aca="false">L22*P22</f>
        <v>0</v>
      </c>
      <c r="R22" s="70" t="n">
        <f aca="false">IF(K22&gt;0,Q22*1000000/K22/Economy!Q22,0)</f>
        <v>0</v>
      </c>
      <c r="S22" s="65" t="n">
        <f aca="false">People!U22</f>
        <v>0</v>
      </c>
      <c r="T22" s="48" t="n">
        <v>0</v>
      </c>
      <c r="U22" s="71" t="n">
        <v>0</v>
      </c>
      <c r="V22" s="50" t="n">
        <f aca="false">IF(S22&gt;0,T22*1000000/S22,0)</f>
        <v>0</v>
      </c>
      <c r="W22" s="67" t="n">
        <f aca="false">IF(AND(U22&gt;0,V21&gt;0,B22&gt;0),MIN(conv_cap,conv_beta*1*U22*MAX(0,LN(B22/(V21*X21)))),0)</f>
        <v>0</v>
      </c>
      <c r="X22" s="68" t="n">
        <f aca="false">X21*(1+W22)</f>
        <v>1</v>
      </c>
      <c r="Y22" s="50" t="n">
        <f aca="false">T22*X22</f>
        <v>0</v>
      </c>
      <c r="Z22" s="70" t="n">
        <f aca="false">IF(S22&gt;0,Y22*1000000/S22/Economy!Q22,0)</f>
        <v>0</v>
      </c>
      <c r="AA22" s="48" t="n">
        <v>0</v>
      </c>
      <c r="AB22" s="48" t="n">
        <v>0</v>
      </c>
      <c r="AC22" s="71" t="n">
        <v>0</v>
      </c>
      <c r="AD22" s="50" t="n">
        <f aca="false">IF(AA22&gt;0,AB22*1000000/AA22,0)</f>
        <v>0</v>
      </c>
      <c r="AE22" s="67" t="n">
        <f aca="false">IF(AND(AC22&gt;0,AD21&gt;0,B22&gt;0),MIN(conv_cap,conv_beta*1*AC22*MAX(0,LN(B22/(AD21*AF21)))),0)</f>
        <v>0</v>
      </c>
      <c r="AF22" s="68" t="n">
        <f aca="false">AF21*(1+AE22)</f>
        <v>1</v>
      </c>
      <c r="AG22" s="50" t="n">
        <f aca="false">AB22*AF22</f>
        <v>0</v>
      </c>
      <c r="AH22" s="70" t="n">
        <f aca="false">IF(AA22&gt;0,AG22*1000000/AA22/Economy!Q22,0)</f>
        <v>0</v>
      </c>
      <c r="AI22" s="48" t="n">
        <v>350000000</v>
      </c>
      <c r="AJ22" s="48" t="n">
        <v>3300</v>
      </c>
      <c r="AK22" s="71" t="n">
        <v>0.05</v>
      </c>
      <c r="AL22" s="50" t="n">
        <f aca="false">IF(AI22&gt;0,AJ22*1000000/AI22,0)</f>
        <v>9.42857142857143</v>
      </c>
      <c r="AM22" s="67" t="n">
        <f aca="false">IF(AND(AK22&gt;0,AL21&gt;0,B22&gt;0),MIN(conv_cap,conv_beta*1*AK22*MAX(0,LN(B22/(AL21*AN21)))),0)</f>
        <v>0</v>
      </c>
      <c r="AN22" s="68" t="n">
        <f aca="false">AN21*(1+AM22)</f>
        <v>1</v>
      </c>
      <c r="AO22" s="50" t="n">
        <f aca="false">AJ22*AN22</f>
        <v>3300</v>
      </c>
      <c r="AP22" s="70" t="n">
        <f aca="false">IF(AI22&gt;0,AO22*1000000/AI22/Economy!Q22,0)</f>
        <v>0.0654761904761905</v>
      </c>
      <c r="AQ22" s="48" t="n">
        <v>0</v>
      </c>
      <c r="AR22" s="48" t="n">
        <v>0</v>
      </c>
      <c r="AS22" s="71" t="n">
        <v>0</v>
      </c>
      <c r="AT22" s="50" t="n">
        <f aca="false">IF(AQ22&gt;0,AR22*1000000/AQ22,0)</f>
        <v>0</v>
      </c>
      <c r="AU22" s="67" t="n">
        <f aca="false">IF(AND(AS22&gt;0,AT21&gt;0,B22&gt;0),MIN(conv_cap,conv_beta*1*AS22*MAX(0,LN(B22/(AT21*AV21)))),0)</f>
        <v>0</v>
      </c>
      <c r="AV22" s="68" t="n">
        <f aca="false">AV21*(1+AU22)</f>
        <v>1</v>
      </c>
      <c r="AW22" s="50" t="n">
        <f aca="false">AR22*AV22</f>
        <v>0</v>
      </c>
      <c r="AX22" s="70" t="n">
        <f aca="false">IF(AQ22&gt;0,AW22*1000000/AQ22/Economy!Q22,0)</f>
        <v>0</v>
      </c>
      <c r="AY22" s="48" t="n">
        <v>0</v>
      </c>
      <c r="AZ22" s="48" t="n">
        <v>0</v>
      </c>
      <c r="BA22" s="71" t="n">
        <v>0</v>
      </c>
      <c r="BB22" s="50" t="n">
        <f aca="false">IF(AY22&gt;0,AZ22*1000000/AY22,0)</f>
        <v>0</v>
      </c>
      <c r="BC22" s="67" t="n">
        <f aca="false">IF(AND(BA22&gt;0,BB21&gt;0,B22&gt;0),MIN(conv_cap,conv_beta*1*BA22*MAX(0,LN(B22/(BB21*BD21)))),0)</f>
        <v>0</v>
      </c>
      <c r="BD22" s="68" t="n">
        <f aca="false">BD21*(1+BC22)</f>
        <v>1</v>
      </c>
      <c r="BE22" s="50" t="n">
        <f aca="false">AZ22*BD22</f>
        <v>0</v>
      </c>
      <c r="BF22" s="70" t="n">
        <f aca="false">IF(AY22&gt;0,BE22*1000000/AY22/Economy!Q22,0)</f>
        <v>0</v>
      </c>
      <c r="BG22" s="48" t="n">
        <v>0</v>
      </c>
      <c r="BH22" s="48" t="n">
        <v>0</v>
      </c>
      <c r="BI22" s="71" t="n">
        <v>0</v>
      </c>
      <c r="BJ22" s="50" t="n">
        <f aca="false">IF(BG22&gt;0,BH22*1000000/BG22,0)</f>
        <v>0</v>
      </c>
      <c r="BK22" s="67" t="n">
        <f aca="false">IF(AND(BI22&gt;0,BJ21&gt;0,B22&gt;0),MIN(conv_cap,conv_beta*1*BI22*MAX(0,LN(B22/(BJ21*BL21)))),0)</f>
        <v>0</v>
      </c>
      <c r="BL22" s="68" t="n">
        <f aca="false">BL21*(1+BK22)</f>
        <v>1</v>
      </c>
      <c r="BM22" s="50" t="n">
        <f aca="false">BH22*BL22</f>
        <v>0</v>
      </c>
      <c r="BN22" s="70" t="n">
        <f aca="false">IF(BG22&gt;0,BM22*1000000/BG22/Economy!Q22,0)</f>
        <v>0</v>
      </c>
      <c r="BO22" s="48" t="n">
        <v>0</v>
      </c>
      <c r="BP22" s="48" t="n">
        <v>0</v>
      </c>
      <c r="BQ22" s="71" t="n">
        <v>0</v>
      </c>
      <c r="BR22" s="50" t="n">
        <f aca="false">IF(BO22&gt;0,BP22*1000000/BO22,0)</f>
        <v>0</v>
      </c>
      <c r="BS22" s="67" t="n">
        <f aca="false">IF(AND(BQ22&gt;0,BR21&gt;0,B22&gt;0),MIN(conv_cap,conv_beta*1*BQ22*MAX(0,LN(B22/(BR21*BT21)))),0)</f>
        <v>0</v>
      </c>
      <c r="BT22" s="68" t="n">
        <f aca="false">BT21*(1+BS22)</f>
        <v>1</v>
      </c>
      <c r="BU22" s="50"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50" t="n">
        <f aca="false">I22+Q22+Y22+AG22</f>
        <v>0</v>
      </c>
      <c r="BZ22" s="50" t="n">
        <f aca="false">D22+L22+T22+AB22</f>
        <v>0</v>
      </c>
      <c r="CA22" s="68" t="n">
        <f aca="false">IF(BZ22&gt;0,BY22/BZ22,0)</f>
        <v>0</v>
      </c>
    </row>
    <row r="23" customFormat="false" ht="14.25" hidden="false" customHeight="false" outlineLevel="0" collapsed="false">
      <c r="A23" s="64" t="n">
        <v>1863</v>
      </c>
      <c r="B23" s="50" t="n">
        <f aca="false">Economy!P22</f>
        <v>246.928391564174</v>
      </c>
      <c r="C23" s="48" t="n">
        <v>0</v>
      </c>
      <c r="D23" s="65" t="n">
        <f aca="false">Japan!B23</f>
        <v>0</v>
      </c>
      <c r="E23" s="71" t="n">
        <v>0.2</v>
      </c>
      <c r="F23" s="50" t="n">
        <f aca="false">IF(C23&gt;0,D23*1000000/C23,0)</f>
        <v>0</v>
      </c>
      <c r="G23" s="67" t="n">
        <f aca="false">IF(AND(E23&gt;0,F22&gt;0,B23&gt;0),MIN(conv_cap,conv_beta*jp_uplift*E23*MAX(0,LN(B23/(F22*H22)))),0)</f>
        <v>0</v>
      </c>
      <c r="H23" s="68" t="n">
        <f aca="false">H22*(1+G23)</f>
        <v>1</v>
      </c>
      <c r="I23" s="50" t="n">
        <f aca="false">D23*H23</f>
        <v>0</v>
      </c>
      <c r="J23" s="70" t="n">
        <f aca="false">IF(C23&gt;0,I23*1000000/C23/Economy!Q23,0)</f>
        <v>0</v>
      </c>
      <c r="K23" s="65" t="n">
        <f aca="false">Gulf!B23</f>
        <v>0</v>
      </c>
      <c r="L23" s="50" t="n">
        <f aca="false">Gulf!B23*Gulf!C23*Economy!Q23/1000000</f>
        <v>0</v>
      </c>
      <c r="M23" s="71" t="n">
        <v>0</v>
      </c>
      <c r="N23" s="50" t="n">
        <f aca="false">IF(K23&gt;0,L23*1000000/K23,0)</f>
        <v>0</v>
      </c>
      <c r="O23" s="67" t="n">
        <f aca="false">IF(AND(M23&gt;0,N22&gt;0,B23&gt;0),MIN(conv_cap,conv_beta*1*M23*MAX(0,LN(B23/(N22*P22)))),0)</f>
        <v>0</v>
      </c>
      <c r="P23" s="68" t="n">
        <f aca="false">P22*(1+O23)</f>
        <v>1</v>
      </c>
      <c r="Q23" s="50" t="n">
        <f aca="false">L23*P23</f>
        <v>0</v>
      </c>
      <c r="R23" s="70" t="n">
        <f aca="false">IF(K23&gt;0,Q23*1000000/K23/Economy!Q23,0)</f>
        <v>0</v>
      </c>
      <c r="S23" s="65" t="n">
        <f aca="false">People!U23</f>
        <v>0</v>
      </c>
      <c r="T23" s="48" t="n">
        <v>0</v>
      </c>
      <c r="U23" s="71" t="n">
        <v>0</v>
      </c>
      <c r="V23" s="50" t="n">
        <f aca="false">IF(S23&gt;0,T23*1000000/S23,0)</f>
        <v>0</v>
      </c>
      <c r="W23" s="67" t="n">
        <f aca="false">IF(AND(U23&gt;0,V22&gt;0,B23&gt;0),MIN(conv_cap,conv_beta*1*U23*MAX(0,LN(B23/(V22*X22)))),0)</f>
        <v>0</v>
      </c>
      <c r="X23" s="68" t="n">
        <f aca="false">X22*(1+W23)</f>
        <v>1</v>
      </c>
      <c r="Y23" s="50" t="n">
        <f aca="false">T23*X23</f>
        <v>0</v>
      </c>
      <c r="Z23" s="70" t="n">
        <f aca="false">IF(S23&gt;0,Y23*1000000/S23/Economy!Q23,0)</f>
        <v>0</v>
      </c>
      <c r="AA23" s="48" t="n">
        <v>0</v>
      </c>
      <c r="AB23" s="48" t="n">
        <v>0</v>
      </c>
      <c r="AC23" s="71" t="n">
        <v>0</v>
      </c>
      <c r="AD23" s="50" t="n">
        <f aca="false">IF(AA23&gt;0,AB23*1000000/AA23,0)</f>
        <v>0</v>
      </c>
      <c r="AE23" s="67" t="n">
        <f aca="false">IF(AND(AC23&gt;0,AD22&gt;0,B23&gt;0),MIN(conv_cap,conv_beta*1*AC23*MAX(0,LN(B23/(AD22*AF22)))),0)</f>
        <v>0</v>
      </c>
      <c r="AF23" s="68" t="n">
        <f aca="false">AF22*(1+AE23)</f>
        <v>1</v>
      </c>
      <c r="AG23" s="50" t="n">
        <f aca="false">AB23*AF23</f>
        <v>0</v>
      </c>
      <c r="AH23" s="70" t="n">
        <f aca="false">IF(AA23&gt;0,AG23*1000000/AA23/Economy!Q23,0)</f>
        <v>0</v>
      </c>
      <c r="AI23" s="48" t="n">
        <v>351000000</v>
      </c>
      <c r="AJ23" s="48" t="n">
        <v>3325</v>
      </c>
      <c r="AK23" s="71" t="n">
        <v>0.054</v>
      </c>
      <c r="AL23" s="50" t="n">
        <f aca="false">IF(AI23&gt;0,AJ23*1000000/AI23,0)</f>
        <v>9.47293447293447</v>
      </c>
      <c r="AM23" s="67" t="n">
        <f aca="false">IF(AND(AK23&gt;0,AL22&gt;0,B23&gt;0),MIN(conv_cap,conv_beta*1*AK23*MAX(0,LN(B23/(AL22*AN22)))),0)</f>
        <v>0.00176329104602134</v>
      </c>
      <c r="AN23" s="68" t="n">
        <f aca="false">AN22*(1+AM23)</f>
        <v>1.00176329104602</v>
      </c>
      <c r="AO23" s="50" t="n">
        <f aca="false">AJ23*AN23</f>
        <v>3330.86294272802</v>
      </c>
      <c r="AP23" s="70" t="n">
        <f aca="false">IF(AI23&gt;0,AO23*1000000/AI23/Economy!Q23,0)</f>
        <v>0.0649975206402065</v>
      </c>
      <c r="AQ23" s="48" t="n">
        <v>0</v>
      </c>
      <c r="AR23" s="48" t="n">
        <v>0</v>
      </c>
      <c r="AS23" s="71" t="n">
        <v>0</v>
      </c>
      <c r="AT23" s="50" t="n">
        <f aca="false">IF(AQ23&gt;0,AR23*1000000/AQ23,0)</f>
        <v>0</v>
      </c>
      <c r="AU23" s="67" t="n">
        <f aca="false">IF(AND(AS23&gt;0,AT22&gt;0,B23&gt;0),MIN(conv_cap,conv_beta*1*AS23*MAX(0,LN(B23/(AT22*AV22)))),0)</f>
        <v>0</v>
      </c>
      <c r="AV23" s="68" t="n">
        <f aca="false">AV22*(1+AU23)</f>
        <v>1</v>
      </c>
      <c r="AW23" s="50" t="n">
        <f aca="false">AR23*AV23</f>
        <v>0</v>
      </c>
      <c r="AX23" s="70" t="n">
        <f aca="false">IF(AQ23&gt;0,AW23*1000000/AQ23/Economy!Q23,0)</f>
        <v>0</v>
      </c>
      <c r="AY23" s="48" t="n">
        <v>0</v>
      </c>
      <c r="AZ23" s="48" t="n">
        <v>0</v>
      </c>
      <c r="BA23" s="71" t="n">
        <v>0</v>
      </c>
      <c r="BB23" s="50" t="n">
        <f aca="false">IF(AY23&gt;0,AZ23*1000000/AY23,0)</f>
        <v>0</v>
      </c>
      <c r="BC23" s="67" t="n">
        <f aca="false">IF(AND(BA23&gt;0,BB22&gt;0,B23&gt;0),MIN(conv_cap,conv_beta*1*BA23*MAX(0,LN(B23/(BB22*BD22)))),0)</f>
        <v>0</v>
      </c>
      <c r="BD23" s="68" t="n">
        <f aca="false">BD22*(1+BC23)</f>
        <v>1</v>
      </c>
      <c r="BE23" s="50" t="n">
        <f aca="false">AZ23*BD23</f>
        <v>0</v>
      </c>
      <c r="BF23" s="70" t="n">
        <f aca="false">IF(AY23&gt;0,BE23*1000000/AY23/Economy!Q23,0)</f>
        <v>0</v>
      </c>
      <c r="BG23" s="48" t="n">
        <v>0</v>
      </c>
      <c r="BH23" s="48" t="n">
        <v>0</v>
      </c>
      <c r="BI23" s="71" t="n">
        <v>0</v>
      </c>
      <c r="BJ23" s="50" t="n">
        <f aca="false">IF(BG23&gt;0,BH23*1000000/BG23,0)</f>
        <v>0</v>
      </c>
      <c r="BK23" s="67" t="n">
        <f aca="false">IF(AND(BI23&gt;0,BJ22&gt;0,B23&gt;0),MIN(conv_cap,conv_beta*1*BI23*MAX(0,LN(B23/(BJ22*BL22)))),0)</f>
        <v>0</v>
      </c>
      <c r="BL23" s="68" t="n">
        <f aca="false">BL22*(1+BK23)</f>
        <v>1</v>
      </c>
      <c r="BM23" s="50" t="n">
        <f aca="false">BH23*BL23</f>
        <v>0</v>
      </c>
      <c r="BN23" s="70" t="n">
        <f aca="false">IF(BG23&gt;0,BM23*1000000/BG23/Economy!Q23,0)</f>
        <v>0</v>
      </c>
      <c r="BO23" s="48" t="n">
        <v>0</v>
      </c>
      <c r="BP23" s="48" t="n">
        <v>0</v>
      </c>
      <c r="BQ23" s="71" t="n">
        <v>0</v>
      </c>
      <c r="BR23" s="50" t="n">
        <f aca="false">IF(BO23&gt;0,BP23*1000000/BO23,0)</f>
        <v>0</v>
      </c>
      <c r="BS23" s="67" t="n">
        <f aca="false">IF(AND(BQ23&gt;0,BR22&gt;0,B23&gt;0),MIN(conv_cap,conv_beta*1*BQ23*MAX(0,LN(B23/(BR22*BT22)))),0)</f>
        <v>0</v>
      </c>
      <c r="BT23" s="68" t="n">
        <f aca="false">BT22*(1+BS23)</f>
        <v>1</v>
      </c>
      <c r="BU23" s="50"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1.0002644936569</v>
      </c>
      <c r="BX23" s="66" t="n">
        <f aca="false">MIN(mkt_cap,mkt_elast*MAX(0,BW23-1))</f>
        <v>0.000132246828451699</v>
      </c>
      <c r="BY23" s="50" t="n">
        <f aca="false">I23+Q23+Y23+AG23</f>
        <v>0</v>
      </c>
      <c r="BZ23" s="50" t="n">
        <f aca="false">D23+L23+T23+AB23</f>
        <v>0</v>
      </c>
      <c r="CA23" s="68" t="n">
        <f aca="false">IF(BZ23&gt;0,BY23/BZ23,0)</f>
        <v>0</v>
      </c>
    </row>
    <row r="24" customFormat="false" ht="14.25" hidden="false" customHeight="false" outlineLevel="0" collapsed="false">
      <c r="A24" s="64" t="n">
        <v>1864</v>
      </c>
      <c r="B24" s="50" t="n">
        <f aca="false">Economy!P23</f>
        <v>254.392828238322</v>
      </c>
      <c r="C24" s="48" t="n">
        <v>0</v>
      </c>
      <c r="D24" s="65" t="n">
        <f aca="false">Japan!B24</f>
        <v>0</v>
      </c>
      <c r="E24" s="71" t="n">
        <v>0.22</v>
      </c>
      <c r="F24" s="50" t="n">
        <f aca="false">IF(C24&gt;0,D24*1000000/C24,0)</f>
        <v>0</v>
      </c>
      <c r="G24" s="67" t="n">
        <f aca="false">IF(AND(E24&gt;0,F23&gt;0,B24&gt;0),MIN(conv_cap,conv_beta*jp_uplift*E24*MAX(0,LN(B24/(F23*H23)))),0)</f>
        <v>0</v>
      </c>
      <c r="H24" s="68" t="n">
        <f aca="false">H23*(1+G24)</f>
        <v>1</v>
      </c>
      <c r="I24" s="50" t="n">
        <f aca="false">D24*H24</f>
        <v>0</v>
      </c>
      <c r="J24" s="70" t="n">
        <f aca="false">IF(C24&gt;0,I24*1000000/C24/Economy!Q24,0)</f>
        <v>0</v>
      </c>
      <c r="K24" s="65" t="n">
        <f aca="false">Gulf!B24</f>
        <v>0</v>
      </c>
      <c r="L24" s="50" t="n">
        <f aca="false">Gulf!B24*Gulf!C24*Economy!Q24/1000000</f>
        <v>0</v>
      </c>
      <c r="M24" s="71" t="n">
        <v>0</v>
      </c>
      <c r="N24" s="50" t="n">
        <f aca="false">IF(K24&gt;0,L24*1000000/K24,0)</f>
        <v>0</v>
      </c>
      <c r="O24" s="67" t="n">
        <f aca="false">IF(AND(M24&gt;0,N23&gt;0,B24&gt;0),MIN(conv_cap,conv_beta*1*M24*MAX(0,LN(B24/(N23*P23)))),0)</f>
        <v>0</v>
      </c>
      <c r="P24" s="68" t="n">
        <f aca="false">P23*(1+O24)</f>
        <v>1</v>
      </c>
      <c r="Q24" s="50" t="n">
        <f aca="false">L24*P24</f>
        <v>0</v>
      </c>
      <c r="R24" s="70" t="n">
        <f aca="false">IF(K24&gt;0,Q24*1000000/K24/Economy!Q24,0)</f>
        <v>0</v>
      </c>
      <c r="S24" s="65" t="n">
        <f aca="false">People!U24</f>
        <v>0</v>
      </c>
      <c r="T24" s="48" t="n">
        <v>0</v>
      </c>
      <c r="U24" s="71" t="n">
        <v>0</v>
      </c>
      <c r="V24" s="50" t="n">
        <f aca="false">IF(S24&gt;0,T24*1000000/S24,0)</f>
        <v>0</v>
      </c>
      <c r="W24" s="67" t="n">
        <f aca="false">IF(AND(U24&gt;0,V23&gt;0,B24&gt;0),MIN(conv_cap,conv_beta*1*U24*MAX(0,LN(B24/(V23*X23)))),0)</f>
        <v>0</v>
      </c>
      <c r="X24" s="68" t="n">
        <f aca="false">X23*(1+W24)</f>
        <v>1</v>
      </c>
      <c r="Y24" s="50" t="n">
        <f aca="false">T24*X24</f>
        <v>0</v>
      </c>
      <c r="Z24" s="70" t="n">
        <f aca="false">IF(S24&gt;0,Y24*1000000/S24/Economy!Q24,0)</f>
        <v>0</v>
      </c>
      <c r="AA24" s="48" t="n">
        <v>0</v>
      </c>
      <c r="AB24" s="48" t="n">
        <v>0</v>
      </c>
      <c r="AC24" s="71" t="n">
        <v>0</v>
      </c>
      <c r="AD24" s="50" t="n">
        <f aca="false">IF(AA24&gt;0,AB24*1000000/AA24,0)</f>
        <v>0</v>
      </c>
      <c r="AE24" s="67" t="n">
        <f aca="false">IF(AND(AC24&gt;0,AD23&gt;0,B24&gt;0),MIN(conv_cap,conv_beta*1*AC24*MAX(0,LN(B24/(AD23*AF23)))),0)</f>
        <v>0</v>
      </c>
      <c r="AF24" s="68" t="n">
        <f aca="false">AF23*(1+AE24)</f>
        <v>1</v>
      </c>
      <c r="AG24" s="50" t="n">
        <f aca="false">AB24*AF24</f>
        <v>0</v>
      </c>
      <c r="AH24" s="70" t="n">
        <f aca="false">IF(AA24&gt;0,AG24*1000000/AA24/Economy!Q24,0)</f>
        <v>0</v>
      </c>
      <c r="AI24" s="48" t="n">
        <v>352000000</v>
      </c>
      <c r="AJ24" s="48" t="n">
        <v>3350</v>
      </c>
      <c r="AK24" s="71" t="n">
        <v>0.058</v>
      </c>
      <c r="AL24" s="50" t="n">
        <f aca="false">IF(AI24&gt;0,AJ24*1000000/AI24,0)</f>
        <v>9.51704545454546</v>
      </c>
      <c r="AM24" s="67" t="n">
        <f aca="false">IF(AND(AK24&gt;0,AL23&gt;0,B24&gt;0),MIN(conv_cap,conv_beta*1*AK24*MAX(0,LN(B24/(AL23*AN23)))),0)</f>
        <v>0.00190743391992471</v>
      </c>
      <c r="AN24" s="68" t="n">
        <f aca="false">AN23*(1+AM24)</f>
        <v>1.0036740883271</v>
      </c>
      <c r="AO24" s="50" t="n">
        <f aca="false">AJ24*AN24</f>
        <v>3362.30819589578</v>
      </c>
      <c r="AP24" s="70" t="n">
        <f aca="false">IF(AI24&gt;0,AO24*1000000/AI24/Economy!Q24,0)</f>
        <v>0.0645406210821518</v>
      </c>
      <c r="AQ24" s="48" t="n">
        <v>0</v>
      </c>
      <c r="AR24" s="48" t="n">
        <v>0</v>
      </c>
      <c r="AS24" s="71" t="n">
        <v>0</v>
      </c>
      <c r="AT24" s="50" t="n">
        <f aca="false">IF(AQ24&gt;0,AR24*1000000/AQ24,0)</f>
        <v>0</v>
      </c>
      <c r="AU24" s="67" t="n">
        <f aca="false">IF(AND(AS24&gt;0,AT23&gt;0,B24&gt;0),MIN(conv_cap,conv_beta*1*AS24*MAX(0,LN(B24/(AT23*AV23)))),0)</f>
        <v>0</v>
      </c>
      <c r="AV24" s="68" t="n">
        <f aca="false">AV23*(1+AU24)</f>
        <v>1</v>
      </c>
      <c r="AW24" s="50" t="n">
        <f aca="false">AR24*AV24</f>
        <v>0</v>
      </c>
      <c r="AX24" s="70" t="n">
        <f aca="false">IF(AQ24&gt;0,AW24*1000000/AQ24/Economy!Q24,0)</f>
        <v>0</v>
      </c>
      <c r="AY24" s="48" t="n">
        <v>0</v>
      </c>
      <c r="AZ24" s="48" t="n">
        <v>0</v>
      </c>
      <c r="BA24" s="71" t="n">
        <v>0</v>
      </c>
      <c r="BB24" s="50" t="n">
        <f aca="false">IF(AY24&gt;0,AZ24*1000000/AY24,0)</f>
        <v>0</v>
      </c>
      <c r="BC24" s="67" t="n">
        <f aca="false">IF(AND(BA24&gt;0,BB23&gt;0,B24&gt;0),MIN(conv_cap,conv_beta*1*BA24*MAX(0,LN(B24/(BB23*BD23)))),0)</f>
        <v>0</v>
      </c>
      <c r="BD24" s="68" t="n">
        <f aca="false">BD23*(1+BC24)</f>
        <v>1</v>
      </c>
      <c r="BE24" s="50" t="n">
        <f aca="false">AZ24*BD24</f>
        <v>0</v>
      </c>
      <c r="BF24" s="70" t="n">
        <f aca="false">IF(AY24&gt;0,BE24*1000000/AY24/Economy!Q24,0)</f>
        <v>0</v>
      </c>
      <c r="BG24" s="48" t="n">
        <v>0</v>
      </c>
      <c r="BH24" s="48" t="n">
        <v>0</v>
      </c>
      <c r="BI24" s="71" t="n">
        <v>0</v>
      </c>
      <c r="BJ24" s="50" t="n">
        <f aca="false">IF(BG24&gt;0,BH24*1000000/BG24,0)</f>
        <v>0</v>
      </c>
      <c r="BK24" s="67" t="n">
        <f aca="false">IF(AND(BI24&gt;0,BJ23&gt;0,B24&gt;0),MIN(conv_cap,conv_beta*1*BI24*MAX(0,LN(B24/(BJ23*BL23)))),0)</f>
        <v>0</v>
      </c>
      <c r="BL24" s="68" t="n">
        <f aca="false">BL23*(1+BK24)</f>
        <v>1</v>
      </c>
      <c r="BM24" s="50" t="n">
        <f aca="false">BH24*BL24</f>
        <v>0</v>
      </c>
      <c r="BN24" s="70" t="n">
        <f aca="false">IF(BG24&gt;0,BM24*1000000/BG24/Economy!Q24,0)</f>
        <v>0</v>
      </c>
      <c r="BO24" s="48" t="n">
        <v>0</v>
      </c>
      <c r="BP24" s="48" t="n">
        <v>0</v>
      </c>
      <c r="BQ24" s="71" t="n">
        <v>0</v>
      </c>
      <c r="BR24" s="50" t="n">
        <f aca="false">IF(BO24&gt;0,BP24*1000000/BO24,0)</f>
        <v>0</v>
      </c>
      <c r="BS24" s="67" t="n">
        <f aca="false">IF(AND(BQ24&gt;0,BR23&gt;0,B24&gt;0),MIN(conv_cap,conv_beta*1*BQ24*MAX(0,LN(B24/(BR23*BT23)))),0)</f>
        <v>0</v>
      </c>
      <c r="BT24" s="68" t="n">
        <f aca="false">BT23*(1+BS24)</f>
        <v>1</v>
      </c>
      <c r="BU24" s="50" t="n">
        <f aca="false">BP24*BT24</f>
        <v>0</v>
      </c>
      <c r="BV24" s="70" t="n">
        <f aca="false">IF(BO24&gt;0,BU24*1000000/BO24/Economy!Q24,0)</f>
        <v>0</v>
      </c>
      <c r="BW24" s="68" t="n">
        <f aca="false">0.25*IF(D24&gt;0,H24,1)+0.15*IF(AJ24&gt;0,AN24,1)+0.03*IF(AR24&gt;0,AV24,1)+0.08*IF(AZ24&gt;0,BD24,1)+0.12*IF(BH24&gt;0,BL24,1)+0.1*IF(L24&gt;0,P24,1)+0.07*IF(T24&gt;0,X24,1)+0.05*IF(AB24&gt;0,AF24,1)+0.05*IF(BP24&gt;0,BT24,1)+0.1</f>
        <v>1.00055111324906</v>
      </c>
      <c r="BX24" s="66" t="n">
        <f aca="false">MIN(mkt_cap,mkt_elast*MAX(0,BW24-1))</f>
        <v>0.00027555662453238</v>
      </c>
      <c r="BY24" s="50" t="n">
        <f aca="false">I24+Q24+Y24+AG24</f>
        <v>0</v>
      </c>
      <c r="BZ24" s="50" t="n">
        <f aca="false">D24+L24+T24+AB24</f>
        <v>0</v>
      </c>
      <c r="CA24" s="68" t="n">
        <f aca="false">IF(BZ24&gt;0,BY24/BZ24,0)</f>
        <v>0</v>
      </c>
    </row>
    <row r="25" customFormat="false" ht="14.25" hidden="false" customHeight="false" outlineLevel="0" collapsed="false">
      <c r="A25" s="64" t="n">
        <v>1865</v>
      </c>
      <c r="B25" s="50" t="n">
        <f aca="false">Economy!P24</f>
        <v>280.354505749945</v>
      </c>
      <c r="C25" s="48" t="n">
        <v>0</v>
      </c>
      <c r="D25" s="65" t="n">
        <f aca="false">Japan!B25</f>
        <v>0</v>
      </c>
      <c r="E25" s="71" t="n">
        <v>0.24</v>
      </c>
      <c r="F25" s="50" t="n">
        <f aca="false">IF(C25&gt;0,D25*1000000/C25,0)</f>
        <v>0</v>
      </c>
      <c r="G25" s="67" t="n">
        <f aca="false">IF(AND(E25&gt;0,F24&gt;0,B25&gt;0),MIN(conv_cap,conv_beta*jp_uplift*E25*MAX(0,LN(B25/(F24*H24)))),0)</f>
        <v>0</v>
      </c>
      <c r="H25" s="68" t="n">
        <f aca="false">H24*(1+G25)</f>
        <v>1</v>
      </c>
      <c r="I25" s="50" t="n">
        <f aca="false">D25*H25</f>
        <v>0</v>
      </c>
      <c r="J25" s="70" t="n">
        <f aca="false">IF(C25&gt;0,I25*1000000/C25/Economy!Q25,0)</f>
        <v>0</v>
      </c>
      <c r="K25" s="65" t="n">
        <f aca="false">Gulf!B25</f>
        <v>0</v>
      </c>
      <c r="L25" s="50" t="n">
        <f aca="false">Gulf!B25*Gulf!C25*Economy!Q25/1000000</f>
        <v>0</v>
      </c>
      <c r="M25" s="71" t="n">
        <v>0</v>
      </c>
      <c r="N25" s="50" t="n">
        <f aca="false">IF(K25&gt;0,L25*1000000/K25,0)</f>
        <v>0</v>
      </c>
      <c r="O25" s="67" t="n">
        <f aca="false">IF(AND(M25&gt;0,N24&gt;0,B25&gt;0),MIN(conv_cap,conv_beta*1*M25*MAX(0,LN(B25/(N24*P24)))),0)</f>
        <v>0</v>
      </c>
      <c r="P25" s="68" t="n">
        <f aca="false">P24*(1+O25)</f>
        <v>1</v>
      </c>
      <c r="Q25" s="50" t="n">
        <f aca="false">L25*P25</f>
        <v>0</v>
      </c>
      <c r="R25" s="70" t="n">
        <f aca="false">IF(K25&gt;0,Q25*1000000/K25/Economy!Q25,0)</f>
        <v>0</v>
      </c>
      <c r="S25" s="65" t="n">
        <f aca="false">People!U25</f>
        <v>0</v>
      </c>
      <c r="T25" s="48" t="n">
        <v>0</v>
      </c>
      <c r="U25" s="71" t="n">
        <v>0</v>
      </c>
      <c r="V25" s="50" t="n">
        <f aca="false">IF(S25&gt;0,T25*1000000/S25,0)</f>
        <v>0</v>
      </c>
      <c r="W25" s="67" t="n">
        <f aca="false">IF(AND(U25&gt;0,V24&gt;0,B25&gt;0),MIN(conv_cap,conv_beta*1*U25*MAX(0,LN(B25/(V24*X24)))),0)</f>
        <v>0</v>
      </c>
      <c r="X25" s="68" t="n">
        <f aca="false">X24*(1+W25)</f>
        <v>1</v>
      </c>
      <c r="Y25" s="50" t="n">
        <f aca="false">T25*X25</f>
        <v>0</v>
      </c>
      <c r="Z25" s="70" t="n">
        <f aca="false">IF(S25&gt;0,Y25*1000000/S25/Economy!Q25,0)</f>
        <v>0</v>
      </c>
      <c r="AA25" s="48" t="n">
        <v>0</v>
      </c>
      <c r="AB25" s="48" t="n">
        <v>0</v>
      </c>
      <c r="AC25" s="71" t="n">
        <v>0</v>
      </c>
      <c r="AD25" s="50" t="n">
        <f aca="false">IF(AA25&gt;0,AB25*1000000/AA25,0)</f>
        <v>0</v>
      </c>
      <c r="AE25" s="67" t="n">
        <f aca="false">IF(AND(AC25&gt;0,AD24&gt;0,B25&gt;0),MIN(conv_cap,conv_beta*1*AC25*MAX(0,LN(B25/(AD24*AF24)))),0)</f>
        <v>0</v>
      </c>
      <c r="AF25" s="68" t="n">
        <f aca="false">AF24*(1+AE25)</f>
        <v>1</v>
      </c>
      <c r="AG25" s="50" t="n">
        <f aca="false">AB25*AF25</f>
        <v>0</v>
      </c>
      <c r="AH25" s="70" t="n">
        <f aca="false">IF(AA25&gt;0,AG25*1000000/AA25/Economy!Q25,0)</f>
        <v>0</v>
      </c>
      <c r="AI25" s="48" t="n">
        <v>353000000</v>
      </c>
      <c r="AJ25" s="48" t="n">
        <v>3375</v>
      </c>
      <c r="AK25" s="71" t="n">
        <v>0.062</v>
      </c>
      <c r="AL25" s="50" t="n">
        <f aca="false">IF(AI25&gt;0,AJ25*1000000/AI25,0)</f>
        <v>9.56090651558074</v>
      </c>
      <c r="AM25" s="67" t="n">
        <f aca="false">IF(AND(AK25&gt;0,AL24&gt;0,B25&gt;0),MIN(conv_cap,conv_beta*1*AK25*MAX(0,LN(B25/(AL24*AN24)))),0)</f>
        <v>0.00209516791564036</v>
      </c>
      <c r="AN25" s="68" t="n">
        <f aca="false">AN24*(1+AM25)</f>
        <v>1.00577695407472</v>
      </c>
      <c r="AO25" s="50" t="n">
        <f aca="false">AJ25*AN25</f>
        <v>3394.49722000218</v>
      </c>
      <c r="AP25" s="70" t="n">
        <f aca="false">IF(AI25&gt;0,AO25*1000000/AI25/Economy!Q25,0)</f>
        <v>0.0641075962228929</v>
      </c>
      <c r="AQ25" s="48" t="n">
        <v>0</v>
      </c>
      <c r="AR25" s="48" t="n">
        <v>0</v>
      </c>
      <c r="AS25" s="71" t="n">
        <v>0</v>
      </c>
      <c r="AT25" s="50" t="n">
        <f aca="false">IF(AQ25&gt;0,AR25*1000000/AQ25,0)</f>
        <v>0</v>
      </c>
      <c r="AU25" s="67" t="n">
        <f aca="false">IF(AND(AS25&gt;0,AT24&gt;0,B25&gt;0),MIN(conv_cap,conv_beta*1*AS25*MAX(0,LN(B25/(AT24*AV24)))),0)</f>
        <v>0</v>
      </c>
      <c r="AV25" s="68" t="n">
        <f aca="false">AV24*(1+AU25)</f>
        <v>1</v>
      </c>
      <c r="AW25" s="50" t="n">
        <f aca="false">AR25*AV25</f>
        <v>0</v>
      </c>
      <c r="AX25" s="70" t="n">
        <f aca="false">IF(AQ25&gt;0,AW25*1000000/AQ25/Economy!Q25,0)</f>
        <v>0</v>
      </c>
      <c r="AY25" s="48" t="n">
        <v>0</v>
      </c>
      <c r="AZ25" s="48" t="n">
        <v>0</v>
      </c>
      <c r="BA25" s="71" t="n">
        <v>0</v>
      </c>
      <c r="BB25" s="50" t="n">
        <f aca="false">IF(AY25&gt;0,AZ25*1000000/AY25,0)</f>
        <v>0</v>
      </c>
      <c r="BC25" s="67" t="n">
        <f aca="false">IF(AND(BA25&gt;0,BB24&gt;0,B25&gt;0),MIN(conv_cap,conv_beta*1*BA25*MAX(0,LN(B25/(BB24*BD24)))),0)</f>
        <v>0</v>
      </c>
      <c r="BD25" s="68" t="n">
        <f aca="false">BD24*(1+BC25)</f>
        <v>1</v>
      </c>
      <c r="BE25" s="50" t="n">
        <f aca="false">AZ25*BD25</f>
        <v>0</v>
      </c>
      <c r="BF25" s="70" t="n">
        <f aca="false">IF(AY25&gt;0,BE25*1000000/AY25/Economy!Q25,0)</f>
        <v>0</v>
      </c>
      <c r="BG25" s="48" t="n">
        <v>0</v>
      </c>
      <c r="BH25" s="48" t="n">
        <v>0</v>
      </c>
      <c r="BI25" s="71" t="n">
        <v>0</v>
      </c>
      <c r="BJ25" s="50" t="n">
        <f aca="false">IF(BG25&gt;0,BH25*1000000/BG25,0)</f>
        <v>0</v>
      </c>
      <c r="BK25" s="67" t="n">
        <f aca="false">IF(AND(BI25&gt;0,BJ24&gt;0,B25&gt;0),MIN(conv_cap,conv_beta*1*BI25*MAX(0,LN(B25/(BJ24*BL24)))),0)</f>
        <v>0</v>
      </c>
      <c r="BL25" s="68" t="n">
        <f aca="false">BL24*(1+BK25)</f>
        <v>1</v>
      </c>
      <c r="BM25" s="50" t="n">
        <f aca="false">BH25*BL25</f>
        <v>0</v>
      </c>
      <c r="BN25" s="70" t="n">
        <f aca="false">IF(BG25&gt;0,BM25*1000000/BG25/Economy!Q25,0)</f>
        <v>0</v>
      </c>
      <c r="BO25" s="48" t="n">
        <v>0</v>
      </c>
      <c r="BP25" s="48" t="n">
        <v>0</v>
      </c>
      <c r="BQ25" s="71" t="n">
        <v>0</v>
      </c>
      <c r="BR25" s="50" t="n">
        <f aca="false">IF(BO25&gt;0,BP25*1000000/BO25,0)</f>
        <v>0</v>
      </c>
      <c r="BS25" s="67" t="n">
        <f aca="false">IF(AND(BQ25&gt;0,BR24&gt;0,B25&gt;0),MIN(conv_cap,conv_beta*1*BQ25*MAX(0,LN(B25/(BR24*BT24)))),0)</f>
        <v>0</v>
      </c>
      <c r="BT25" s="68" t="n">
        <f aca="false">BT24*(1+BS25)</f>
        <v>1</v>
      </c>
      <c r="BU25" s="50" t="n">
        <f aca="false">BP25*BT25</f>
        <v>0</v>
      </c>
      <c r="BV25" s="70" t="n">
        <f aca="false">IF(BO25&gt;0,BU25*1000000/BO25/Economy!Q25,0)</f>
        <v>0</v>
      </c>
      <c r="BW25" s="68" t="n">
        <f aca="false">0.25*IF(D25&gt;0,H25,1)+0.15*IF(AJ25&gt;0,AN25,1)+0.03*IF(AR25&gt;0,AV25,1)+0.08*IF(AZ25&gt;0,BD25,1)+0.12*IF(BH25&gt;0,BL25,1)+0.1*IF(L25&gt;0,P25,1)+0.07*IF(T25&gt;0,X25,1)+0.05*IF(AB25&gt;0,AF25,1)+0.05*IF(BP25&gt;0,BT25,1)+0.1</f>
        <v>1.00086654311121</v>
      </c>
      <c r="BX25" s="66" t="n">
        <f aca="false">MIN(mkt_cap,mkt_elast*MAX(0,BW25-1))</f>
        <v>0.000433271555604131</v>
      </c>
      <c r="BY25" s="50" t="n">
        <f aca="false">I25+Q25+Y25+AG25</f>
        <v>0</v>
      </c>
      <c r="BZ25" s="50" t="n">
        <f aca="false">D25+L25+T25+AB25</f>
        <v>0</v>
      </c>
      <c r="CA25" s="68" t="n">
        <f aca="false">IF(BZ25&gt;0,BY25/BZ25,0)</f>
        <v>0</v>
      </c>
    </row>
    <row r="26" customFormat="false" ht="14.25" hidden="false" customHeight="false" outlineLevel="0" collapsed="false">
      <c r="A26" s="61" t="n">
        <v>1866</v>
      </c>
      <c r="B26" s="50" t="n">
        <f aca="false">Economy!P25</f>
        <v>288.681884196867</v>
      </c>
      <c r="C26" s="48" t="n">
        <v>0</v>
      </c>
      <c r="D26" s="65" t="n">
        <f aca="false">Japan!B26</f>
        <v>0</v>
      </c>
      <c r="E26" s="71" t="n">
        <v>0.26</v>
      </c>
      <c r="F26" s="50" t="n">
        <f aca="false">IF(C26&gt;0,D26*1000000/C26,0)</f>
        <v>0</v>
      </c>
      <c r="G26" s="67" t="n">
        <f aca="false">IF(AND(E26&gt;0,F25&gt;0,B26&gt;0),MIN(conv_cap,conv_beta*jp_uplift*E26*MAX(0,LN(B26/(F25*H25)))),0)</f>
        <v>0</v>
      </c>
      <c r="H26" s="68" t="n">
        <f aca="false">H25*(1+G26)</f>
        <v>1</v>
      </c>
      <c r="I26" s="50" t="n">
        <f aca="false">D26*H26</f>
        <v>0</v>
      </c>
      <c r="J26" s="70" t="n">
        <f aca="false">IF(C26&gt;0,I26*1000000/C26/Economy!Q26,0)</f>
        <v>0</v>
      </c>
      <c r="K26" s="65" t="n">
        <f aca="false">Gulf!B26</f>
        <v>0</v>
      </c>
      <c r="L26" s="50" t="n">
        <f aca="false">Gulf!B26*Gulf!C26*Economy!Q26/1000000</f>
        <v>0</v>
      </c>
      <c r="M26" s="71" t="n">
        <v>0</v>
      </c>
      <c r="N26" s="50" t="n">
        <f aca="false">IF(K26&gt;0,L26*1000000/K26,0)</f>
        <v>0</v>
      </c>
      <c r="O26" s="67" t="n">
        <f aca="false">IF(AND(M26&gt;0,N25&gt;0,B26&gt;0),MIN(conv_cap,conv_beta*1*M26*MAX(0,LN(B26/(N25*P25)))),0)</f>
        <v>0</v>
      </c>
      <c r="P26" s="68" t="n">
        <f aca="false">P25*(1+O26)</f>
        <v>1</v>
      </c>
      <c r="Q26" s="50" t="n">
        <f aca="false">L26*P26</f>
        <v>0</v>
      </c>
      <c r="R26" s="70" t="n">
        <f aca="false">IF(K26&gt;0,Q26*1000000/K26/Economy!Q26,0)</f>
        <v>0</v>
      </c>
      <c r="S26" s="65" t="n">
        <f aca="false">People!U26</f>
        <v>0</v>
      </c>
      <c r="T26" s="48" t="n">
        <v>0</v>
      </c>
      <c r="U26" s="71" t="n">
        <v>0</v>
      </c>
      <c r="V26" s="50" t="n">
        <f aca="false">IF(S26&gt;0,T26*1000000/S26,0)</f>
        <v>0</v>
      </c>
      <c r="W26" s="67" t="n">
        <f aca="false">IF(AND(U26&gt;0,V25&gt;0,B26&gt;0),MIN(conv_cap,conv_beta*1*U26*MAX(0,LN(B26/(V25*X25)))),0)</f>
        <v>0</v>
      </c>
      <c r="X26" s="68" t="n">
        <f aca="false">X25*(1+W26)</f>
        <v>1</v>
      </c>
      <c r="Y26" s="50" t="n">
        <f aca="false">T26*X26</f>
        <v>0</v>
      </c>
      <c r="Z26" s="70" t="n">
        <f aca="false">IF(S26&gt;0,Y26*1000000/S26/Economy!Q26,0)</f>
        <v>0</v>
      </c>
      <c r="AA26" s="48" t="n">
        <v>0</v>
      </c>
      <c r="AB26" s="48" t="n">
        <v>0</v>
      </c>
      <c r="AC26" s="71" t="n">
        <v>0</v>
      </c>
      <c r="AD26" s="50" t="n">
        <f aca="false">IF(AA26&gt;0,AB26*1000000/AA26,0)</f>
        <v>0</v>
      </c>
      <c r="AE26" s="67" t="n">
        <f aca="false">IF(AND(AC26&gt;0,AD25&gt;0,B26&gt;0),MIN(conv_cap,conv_beta*1*AC26*MAX(0,LN(B26/(AD25*AF25)))),0)</f>
        <v>0</v>
      </c>
      <c r="AF26" s="68" t="n">
        <f aca="false">AF25*(1+AE26)</f>
        <v>1</v>
      </c>
      <c r="AG26" s="50" t="n">
        <f aca="false">AB26*AF26</f>
        <v>0</v>
      </c>
      <c r="AH26" s="70" t="n">
        <f aca="false">IF(AA26&gt;0,AG26*1000000/AA26/Economy!Q26,0)</f>
        <v>0</v>
      </c>
      <c r="AI26" s="48" t="n">
        <v>354000000</v>
      </c>
      <c r="AJ26" s="48" t="n">
        <v>3400</v>
      </c>
      <c r="AK26" s="71" t="n">
        <v>0.065</v>
      </c>
      <c r="AL26" s="50" t="n">
        <f aca="false">IF(AI26&gt;0,AJ26*1000000/AI26,0)</f>
        <v>9.6045197740113</v>
      </c>
      <c r="AM26" s="67" t="n">
        <f aca="false">IF(AND(AK26&gt;0,AL25&gt;0,B26&gt;0),MIN(conv_cap,conv_beta*1*AK26*MAX(0,LN(B26/(AL25*AN25)))),0)</f>
        <v>0.00221122359723547</v>
      </c>
      <c r="AN26" s="68" t="n">
        <f aca="false">AN25*(1+AM26)</f>
        <v>1.00800095180913</v>
      </c>
      <c r="AO26" s="50" t="n">
        <f aca="false">AJ26*AN26</f>
        <v>3427.20323615103</v>
      </c>
      <c r="AP26" s="70" t="n">
        <f aca="false">IF(AI26&gt;0,AO26*1000000/AI26/Economy!Q26,0)</f>
        <v>0.0628660069732011</v>
      </c>
      <c r="AQ26" s="48" t="n">
        <v>0</v>
      </c>
      <c r="AR26" s="48" t="n">
        <v>0</v>
      </c>
      <c r="AS26" s="71" t="n">
        <v>0</v>
      </c>
      <c r="AT26" s="50" t="n">
        <f aca="false">IF(AQ26&gt;0,AR26*1000000/AQ26,0)</f>
        <v>0</v>
      </c>
      <c r="AU26" s="67" t="n">
        <f aca="false">IF(AND(AS26&gt;0,AT25&gt;0,B26&gt;0),MIN(conv_cap,conv_beta*1*AS26*MAX(0,LN(B26/(AT25*AV25)))),0)</f>
        <v>0</v>
      </c>
      <c r="AV26" s="68" t="n">
        <f aca="false">AV25*(1+AU26)</f>
        <v>1</v>
      </c>
      <c r="AW26" s="50" t="n">
        <f aca="false">AR26*AV26</f>
        <v>0</v>
      </c>
      <c r="AX26" s="70" t="n">
        <f aca="false">IF(AQ26&gt;0,AW26*1000000/AQ26/Economy!Q26,0)</f>
        <v>0</v>
      </c>
      <c r="AY26" s="48" t="n">
        <v>0</v>
      </c>
      <c r="AZ26" s="48" t="n">
        <v>0</v>
      </c>
      <c r="BA26" s="71" t="n">
        <v>0</v>
      </c>
      <c r="BB26" s="50" t="n">
        <f aca="false">IF(AY26&gt;0,AZ26*1000000/AY26,0)</f>
        <v>0</v>
      </c>
      <c r="BC26" s="67" t="n">
        <f aca="false">IF(AND(BA26&gt;0,BB25&gt;0,B26&gt;0),MIN(conv_cap,conv_beta*1*BA26*MAX(0,LN(B26/(BB25*BD25)))),0)</f>
        <v>0</v>
      </c>
      <c r="BD26" s="68" t="n">
        <f aca="false">BD25*(1+BC26)</f>
        <v>1</v>
      </c>
      <c r="BE26" s="50" t="n">
        <f aca="false">AZ26*BD26</f>
        <v>0</v>
      </c>
      <c r="BF26" s="70" t="n">
        <f aca="false">IF(AY26&gt;0,BE26*1000000/AY26/Economy!Q26,0)</f>
        <v>0</v>
      </c>
      <c r="BG26" s="48" t="n">
        <v>0</v>
      </c>
      <c r="BH26" s="48" t="n">
        <v>0</v>
      </c>
      <c r="BI26" s="71" t="n">
        <v>0</v>
      </c>
      <c r="BJ26" s="50" t="n">
        <f aca="false">IF(BG26&gt;0,BH26*1000000/BG26,0)</f>
        <v>0</v>
      </c>
      <c r="BK26" s="67" t="n">
        <f aca="false">IF(AND(BI26&gt;0,BJ25&gt;0,B26&gt;0),MIN(conv_cap,conv_beta*1*BI26*MAX(0,LN(B26/(BJ25*BL25)))),0)</f>
        <v>0</v>
      </c>
      <c r="BL26" s="68" t="n">
        <f aca="false">BL25*(1+BK26)</f>
        <v>1</v>
      </c>
      <c r="BM26" s="50" t="n">
        <f aca="false">BH26*BL26</f>
        <v>0</v>
      </c>
      <c r="BN26" s="70" t="n">
        <f aca="false">IF(BG26&gt;0,BM26*1000000/BG26/Economy!Q26,0)</f>
        <v>0</v>
      </c>
      <c r="BO26" s="48" t="n">
        <v>0</v>
      </c>
      <c r="BP26" s="48" t="n">
        <v>0</v>
      </c>
      <c r="BQ26" s="71" t="n">
        <v>0</v>
      </c>
      <c r="BR26" s="50" t="n">
        <f aca="false">IF(BO26&gt;0,BP26*1000000/BO26,0)</f>
        <v>0</v>
      </c>
      <c r="BS26" s="67" t="n">
        <f aca="false">IF(AND(BQ26&gt;0,BR25&gt;0,B26&gt;0),MIN(conv_cap,conv_beta*1*BQ26*MAX(0,LN(B26/(BR25*BT25)))),0)</f>
        <v>0</v>
      </c>
      <c r="BT26" s="68" t="n">
        <f aca="false">BT25*(1+BS26)</f>
        <v>1</v>
      </c>
      <c r="BU26" s="50" t="n">
        <f aca="false">BP26*BT26</f>
        <v>0</v>
      </c>
      <c r="BV26" s="70" t="n">
        <f aca="false">IF(BO26&gt;0,BU26*1000000/BO26/Economy!Q26,0)</f>
        <v>0</v>
      </c>
      <c r="BW26" s="68" t="n">
        <f aca="false">0.25*IF(D26&gt;0,H26,1)+0.15*IF(AJ26&gt;0,AN26,1)+0.03*IF(AR26&gt;0,AV26,1)+0.08*IF(AZ26&gt;0,BD26,1)+0.12*IF(BH26&gt;0,BL26,1)+0.1*IF(L26&gt;0,P26,1)+0.07*IF(T26&gt;0,X26,1)+0.05*IF(AB26&gt;0,AF26,1)+0.05*IF(BP26&gt;0,BT26,1)+0.1</f>
        <v>1.00120014277137</v>
      </c>
      <c r="BX26" s="66" t="n">
        <f aca="false">MIN(mkt_cap,mkt_elast*MAX(0,BW26-1))</f>
        <v>0.00060007138568452</v>
      </c>
      <c r="BY26" s="50" t="n">
        <f aca="false">I26+Q26+Y26+AG26</f>
        <v>0</v>
      </c>
      <c r="BZ26" s="50" t="n">
        <f aca="false">D26+L26+T26+AB26</f>
        <v>0</v>
      </c>
      <c r="CA26" s="68" t="n">
        <f aca="false">IF(BZ26&gt;0,BY26/BZ26,0)</f>
        <v>0</v>
      </c>
    </row>
    <row r="27" customFormat="false" ht="14.25" hidden="false" customHeight="false" outlineLevel="0" collapsed="false">
      <c r="A27" s="61" t="n">
        <v>1867</v>
      </c>
      <c r="B27" s="50" t="n">
        <f aca="false">Economy!P26</f>
        <v>290.585628661621</v>
      </c>
      <c r="C27" s="48" t="n">
        <v>0</v>
      </c>
      <c r="D27" s="65" t="n">
        <f aca="false">Japan!B27</f>
        <v>0</v>
      </c>
      <c r="E27" s="71" t="n">
        <v>0.28</v>
      </c>
      <c r="F27" s="50" t="n">
        <f aca="false">IF(C27&gt;0,D27*1000000/C27,0)</f>
        <v>0</v>
      </c>
      <c r="G27" s="67" t="n">
        <f aca="false">IF(AND(E27&gt;0,F26&gt;0,B27&gt;0),MIN(conv_cap,conv_beta*jp_uplift*E27*MAX(0,LN(B27/(F26*H26)))),0)</f>
        <v>0</v>
      </c>
      <c r="H27" s="68" t="n">
        <f aca="false">H26*(1+G27)</f>
        <v>1</v>
      </c>
      <c r="I27" s="50" t="n">
        <f aca="false">D27*H27</f>
        <v>0</v>
      </c>
      <c r="J27" s="70" t="n">
        <f aca="false">IF(C27&gt;0,I27*1000000/C27/Economy!Q27,0)</f>
        <v>0</v>
      </c>
      <c r="K27" s="65" t="n">
        <f aca="false">Gulf!B27</f>
        <v>0</v>
      </c>
      <c r="L27" s="50" t="n">
        <f aca="false">Gulf!B27*Gulf!C27*Economy!Q27/1000000</f>
        <v>0</v>
      </c>
      <c r="M27" s="71" t="n">
        <v>0</v>
      </c>
      <c r="N27" s="50" t="n">
        <f aca="false">IF(K27&gt;0,L27*1000000/K27,0)</f>
        <v>0</v>
      </c>
      <c r="O27" s="67" t="n">
        <f aca="false">IF(AND(M27&gt;0,N26&gt;0,B27&gt;0),MIN(conv_cap,conv_beta*1*M27*MAX(0,LN(B27/(N26*P26)))),0)</f>
        <v>0</v>
      </c>
      <c r="P27" s="68" t="n">
        <f aca="false">P26*(1+O27)</f>
        <v>1</v>
      </c>
      <c r="Q27" s="50" t="n">
        <f aca="false">L27*P27</f>
        <v>0</v>
      </c>
      <c r="R27" s="70" t="n">
        <f aca="false">IF(K27&gt;0,Q27*1000000/K27/Economy!Q27,0)</f>
        <v>0</v>
      </c>
      <c r="S27" s="65" t="n">
        <f aca="false">People!U27</f>
        <v>0</v>
      </c>
      <c r="T27" s="48" t="n">
        <v>0</v>
      </c>
      <c r="U27" s="71" t="n">
        <v>0</v>
      </c>
      <c r="V27" s="50" t="n">
        <f aca="false">IF(S27&gt;0,T27*1000000/S27,0)</f>
        <v>0</v>
      </c>
      <c r="W27" s="67" t="n">
        <f aca="false">IF(AND(U27&gt;0,V26&gt;0,B27&gt;0),MIN(conv_cap,conv_beta*1*U27*MAX(0,LN(B27/(V26*X26)))),0)</f>
        <v>0</v>
      </c>
      <c r="X27" s="68" t="n">
        <f aca="false">X26*(1+W27)</f>
        <v>1</v>
      </c>
      <c r="Y27" s="50" t="n">
        <f aca="false">T27*X27</f>
        <v>0</v>
      </c>
      <c r="Z27" s="70" t="n">
        <f aca="false">IF(S27&gt;0,Y27*1000000/S27/Economy!Q27,0)</f>
        <v>0</v>
      </c>
      <c r="AA27" s="48" t="n">
        <v>0</v>
      </c>
      <c r="AB27" s="48" t="n">
        <v>0</v>
      </c>
      <c r="AC27" s="71" t="n">
        <v>0</v>
      </c>
      <c r="AD27" s="50" t="n">
        <f aca="false">IF(AA27&gt;0,AB27*1000000/AA27,0)</f>
        <v>0</v>
      </c>
      <c r="AE27" s="67" t="n">
        <f aca="false">IF(AND(AC27&gt;0,AD26&gt;0,B27&gt;0),MIN(conv_cap,conv_beta*1*AC27*MAX(0,LN(B27/(AD26*AF26)))),0)</f>
        <v>0</v>
      </c>
      <c r="AF27" s="68" t="n">
        <f aca="false">AF26*(1+AE27)</f>
        <v>1</v>
      </c>
      <c r="AG27" s="50" t="n">
        <f aca="false">AB27*AF27</f>
        <v>0</v>
      </c>
      <c r="AH27" s="70" t="n">
        <f aca="false">IF(AA27&gt;0,AG27*1000000/AA27/Economy!Q27,0)</f>
        <v>0</v>
      </c>
      <c r="AI27" s="48" t="n">
        <v>355000000</v>
      </c>
      <c r="AJ27" s="48" t="n">
        <v>3425</v>
      </c>
      <c r="AK27" s="71" t="n">
        <v>0.069</v>
      </c>
      <c r="AL27" s="50" t="n">
        <f aca="false">IF(AI27&gt;0,AJ27*1000000/AI27,0)</f>
        <v>9.64788732394366</v>
      </c>
      <c r="AM27" s="67" t="n">
        <f aca="false">IF(AND(AK27&gt;0,AL26&gt;0,B27&gt;0),MIN(conv_cap,conv_beta*1*AK27*MAX(0,LN(B27/(AL26*AN26)))),0)</f>
        <v>0.00234716981531771</v>
      </c>
      <c r="AN27" s="68" t="n">
        <f aca="false">AN26*(1+AM27)</f>
        <v>1.01036690121702</v>
      </c>
      <c r="AO27" s="50" t="n">
        <f aca="false">AJ27*AN27</f>
        <v>3460.50663666831</v>
      </c>
      <c r="AP27" s="70" t="n">
        <f aca="false">IF(AI27&gt;0,AO27*1000000/AI27/Economy!Q27,0)</f>
        <v>0.0613075850237985</v>
      </c>
      <c r="AQ27" s="48" t="n">
        <v>0</v>
      </c>
      <c r="AR27" s="48" t="n">
        <v>0</v>
      </c>
      <c r="AS27" s="71" t="n">
        <v>0</v>
      </c>
      <c r="AT27" s="50" t="n">
        <f aca="false">IF(AQ27&gt;0,AR27*1000000/AQ27,0)</f>
        <v>0</v>
      </c>
      <c r="AU27" s="67" t="n">
        <f aca="false">IF(AND(AS27&gt;0,AT26&gt;0,B27&gt;0),MIN(conv_cap,conv_beta*1*AS27*MAX(0,LN(B27/(AT26*AV26)))),0)</f>
        <v>0</v>
      </c>
      <c r="AV27" s="68" t="n">
        <f aca="false">AV26*(1+AU27)</f>
        <v>1</v>
      </c>
      <c r="AW27" s="50" t="n">
        <f aca="false">AR27*AV27</f>
        <v>0</v>
      </c>
      <c r="AX27" s="70" t="n">
        <f aca="false">IF(AQ27&gt;0,AW27*1000000/AQ27/Economy!Q27,0)</f>
        <v>0</v>
      </c>
      <c r="AY27" s="48" t="n">
        <v>0</v>
      </c>
      <c r="AZ27" s="48" t="n">
        <v>0</v>
      </c>
      <c r="BA27" s="71" t="n">
        <v>0</v>
      </c>
      <c r="BB27" s="50" t="n">
        <f aca="false">IF(AY27&gt;0,AZ27*1000000/AY27,0)</f>
        <v>0</v>
      </c>
      <c r="BC27" s="67" t="n">
        <f aca="false">IF(AND(BA27&gt;0,BB26&gt;0,B27&gt;0),MIN(conv_cap,conv_beta*1*BA27*MAX(0,LN(B27/(BB26*BD26)))),0)</f>
        <v>0</v>
      </c>
      <c r="BD27" s="68" t="n">
        <f aca="false">BD26*(1+BC27)</f>
        <v>1</v>
      </c>
      <c r="BE27" s="50" t="n">
        <f aca="false">AZ27*BD27</f>
        <v>0</v>
      </c>
      <c r="BF27" s="70" t="n">
        <f aca="false">IF(AY27&gt;0,BE27*1000000/AY27/Economy!Q27,0)</f>
        <v>0</v>
      </c>
      <c r="BG27" s="48" t="n">
        <v>0</v>
      </c>
      <c r="BH27" s="48" t="n">
        <v>0</v>
      </c>
      <c r="BI27" s="71" t="n">
        <v>0</v>
      </c>
      <c r="BJ27" s="50" t="n">
        <f aca="false">IF(BG27&gt;0,BH27*1000000/BG27,0)</f>
        <v>0</v>
      </c>
      <c r="BK27" s="67" t="n">
        <f aca="false">IF(AND(BI27&gt;0,BJ26&gt;0,B27&gt;0),MIN(conv_cap,conv_beta*1*BI27*MAX(0,LN(B27/(BJ26*BL26)))),0)</f>
        <v>0</v>
      </c>
      <c r="BL27" s="68" t="n">
        <f aca="false">BL26*(1+BK27)</f>
        <v>1</v>
      </c>
      <c r="BM27" s="50" t="n">
        <f aca="false">BH27*BL27</f>
        <v>0</v>
      </c>
      <c r="BN27" s="70" t="n">
        <f aca="false">IF(BG27&gt;0,BM27*1000000/BG27/Economy!Q27,0)</f>
        <v>0</v>
      </c>
      <c r="BO27" s="48" t="n">
        <v>0</v>
      </c>
      <c r="BP27" s="48" t="n">
        <v>0</v>
      </c>
      <c r="BQ27" s="71" t="n">
        <v>0</v>
      </c>
      <c r="BR27" s="50" t="n">
        <f aca="false">IF(BO27&gt;0,BP27*1000000/BO27,0)</f>
        <v>0</v>
      </c>
      <c r="BS27" s="67" t="n">
        <f aca="false">IF(AND(BQ27&gt;0,BR26&gt;0,B27&gt;0),MIN(conv_cap,conv_beta*1*BQ27*MAX(0,LN(B27/(BR26*BT26)))),0)</f>
        <v>0</v>
      </c>
      <c r="BT27" s="68" t="n">
        <f aca="false">BT26*(1+BS27)</f>
        <v>1</v>
      </c>
      <c r="BU27" s="50" t="n">
        <f aca="false">BP27*BT27</f>
        <v>0</v>
      </c>
      <c r="BV27" s="70" t="n">
        <f aca="false">IF(BO27&gt;0,BU27*1000000/BO27/Economy!Q27,0)</f>
        <v>0</v>
      </c>
      <c r="BW27" s="68" t="n">
        <f aca="false">0.25*IF(D27&gt;0,H27,1)+0.15*IF(AJ27&gt;0,AN27,1)+0.03*IF(AR27&gt;0,AV27,1)+0.08*IF(AZ27&gt;0,BD27,1)+0.12*IF(BH27&gt;0,BL27,1)+0.1*IF(L27&gt;0,P27,1)+0.07*IF(T27&gt;0,X27,1)+0.05*IF(AB27&gt;0,AF27,1)+0.05*IF(BP27&gt;0,BT27,1)+0.1</f>
        <v>1.00155503518255</v>
      </c>
      <c r="BX27" s="66" t="n">
        <f aca="false">MIN(mkt_cap,mkt_elast*MAX(0,BW27-1))</f>
        <v>0.000777517591276866</v>
      </c>
      <c r="BY27" s="50" t="n">
        <f aca="false">I27+Q27+Y27+AG27</f>
        <v>0</v>
      </c>
      <c r="BZ27" s="50" t="n">
        <f aca="false">D27+L27+T27+AB27</f>
        <v>0</v>
      </c>
      <c r="CA27" s="68" t="n">
        <f aca="false">IF(BZ27&gt;0,BY27/BZ27,0)</f>
        <v>0</v>
      </c>
    </row>
    <row r="28" customFormat="false" ht="14.25" hidden="false" customHeight="false" outlineLevel="0" collapsed="false">
      <c r="A28" s="61" t="n">
        <v>1868</v>
      </c>
      <c r="B28" s="50" t="n">
        <f aca="false">Economy!P27</f>
        <v>290.20474714419</v>
      </c>
      <c r="C28" s="48" t="n">
        <v>34000000</v>
      </c>
      <c r="D28" s="65" t="n">
        <f aca="false">Japan!B28</f>
        <v>450</v>
      </c>
      <c r="E28" s="71" t="n">
        <v>0.3</v>
      </c>
      <c r="F28" s="50" t="n">
        <f aca="false">IF(C28&gt;0,D28*1000000/C28,0)</f>
        <v>13.2352941176471</v>
      </c>
      <c r="G28" s="67" t="n">
        <f aca="false">IF(AND(E28&gt;0,F27&gt;0,B28&gt;0),MIN(conv_cap,conv_beta*jp_uplift*E28*MAX(0,LN(B28/(F27*H27)))),0)</f>
        <v>0</v>
      </c>
      <c r="H28" s="68" t="n">
        <f aca="false">H27*(1+G28)</f>
        <v>1</v>
      </c>
      <c r="I28" s="50" t="n">
        <f aca="false">D28*H28</f>
        <v>450</v>
      </c>
      <c r="J28" s="70" t="n">
        <f aca="false">IF(C28&gt;0,I28*1000000/C28/Economy!Q28,0)</f>
        <v>0.0811981234211476</v>
      </c>
      <c r="K28" s="65" t="n">
        <f aca="false">Gulf!B28</f>
        <v>0</v>
      </c>
      <c r="L28" s="50" t="n">
        <f aca="false">Gulf!B28*Gulf!C28*Economy!Q28/1000000</f>
        <v>0</v>
      </c>
      <c r="M28" s="71" t="n">
        <v>0</v>
      </c>
      <c r="N28" s="50" t="n">
        <f aca="false">IF(K28&gt;0,L28*1000000/K28,0)</f>
        <v>0</v>
      </c>
      <c r="O28" s="67" t="n">
        <f aca="false">IF(AND(M28&gt;0,N27&gt;0,B28&gt;0),MIN(conv_cap,conv_beta*1*M28*MAX(0,LN(B28/(N27*P27)))),0)</f>
        <v>0</v>
      </c>
      <c r="P28" s="68" t="n">
        <f aca="false">P27*(1+O28)</f>
        <v>1</v>
      </c>
      <c r="Q28" s="50" t="n">
        <f aca="false">L28*P28</f>
        <v>0</v>
      </c>
      <c r="R28" s="70" t="n">
        <f aca="false">IF(K28&gt;0,Q28*1000000/K28/Economy!Q28,0)</f>
        <v>0</v>
      </c>
      <c r="S28" s="65" t="n">
        <f aca="false">People!U28</f>
        <v>0</v>
      </c>
      <c r="T28" s="48" t="n">
        <v>0</v>
      </c>
      <c r="U28" s="71" t="n">
        <v>0</v>
      </c>
      <c r="V28" s="50" t="n">
        <f aca="false">IF(S28&gt;0,T28*1000000/S28,0)</f>
        <v>0</v>
      </c>
      <c r="W28" s="67" t="n">
        <f aca="false">IF(AND(U28&gt;0,V27&gt;0,B28&gt;0),MIN(conv_cap,conv_beta*1*U28*MAX(0,LN(B28/(V27*X27)))),0)</f>
        <v>0</v>
      </c>
      <c r="X28" s="68" t="n">
        <f aca="false">X27*(1+W28)</f>
        <v>1</v>
      </c>
      <c r="Y28" s="50" t="n">
        <f aca="false">T28*X28</f>
        <v>0</v>
      </c>
      <c r="Z28" s="70" t="n">
        <f aca="false">IF(S28&gt;0,Y28*1000000/S28/Economy!Q28,0)</f>
        <v>0</v>
      </c>
      <c r="AA28" s="48" t="n">
        <v>0</v>
      </c>
      <c r="AB28" s="48" t="n">
        <v>0</v>
      </c>
      <c r="AC28" s="71" t="n">
        <v>0</v>
      </c>
      <c r="AD28" s="50" t="n">
        <f aca="false">IF(AA28&gt;0,AB28*1000000/AA28,0)</f>
        <v>0</v>
      </c>
      <c r="AE28" s="67" t="n">
        <f aca="false">IF(AND(AC28&gt;0,AD27&gt;0,B28&gt;0),MIN(conv_cap,conv_beta*1*AC28*MAX(0,LN(B28/(AD27*AF27)))),0)</f>
        <v>0</v>
      </c>
      <c r="AF28" s="68" t="n">
        <f aca="false">AF27*(1+AE28)</f>
        <v>1</v>
      </c>
      <c r="AG28" s="50" t="n">
        <f aca="false">AB28*AF28</f>
        <v>0</v>
      </c>
      <c r="AH28" s="70" t="n">
        <f aca="false">IF(AA28&gt;0,AG28*1000000/AA28/Economy!Q28,0)</f>
        <v>0</v>
      </c>
      <c r="AI28" s="48" t="n">
        <v>356000000</v>
      </c>
      <c r="AJ28" s="48" t="n">
        <v>3450</v>
      </c>
      <c r="AK28" s="71" t="n">
        <v>0.073</v>
      </c>
      <c r="AL28" s="50" t="n">
        <f aca="false">IF(AI28&gt;0,AJ28*1000000/AI28,0)</f>
        <v>9.69101123595506</v>
      </c>
      <c r="AM28" s="67" t="n">
        <f aca="false">IF(AND(AK28&gt;0,AL27&gt;0,B28&gt;0),MIN(conv_cap,conv_beta*1*AK28*MAX(0,LN(B28/(AL27*AN27)))),0)</f>
        <v>0.00247727996881617</v>
      </c>
      <c r="AN28" s="68" t="n">
        <f aca="false">AN27*(1+AM28)</f>
        <v>1.01286986290256</v>
      </c>
      <c r="AO28" s="50" t="n">
        <f aca="false">AJ28*AN28</f>
        <v>3494.40102701384</v>
      </c>
      <c r="AP28" s="70" t="n">
        <f aca="false">IF(AI28&gt;0,AO28*1000000/AI28/Economy!Q28,0)</f>
        <v>0.060219222220546</v>
      </c>
      <c r="AQ28" s="48" t="n">
        <v>0</v>
      </c>
      <c r="AR28" s="48" t="n">
        <v>0</v>
      </c>
      <c r="AS28" s="71" t="n">
        <v>0</v>
      </c>
      <c r="AT28" s="50" t="n">
        <f aca="false">IF(AQ28&gt;0,AR28*1000000/AQ28,0)</f>
        <v>0</v>
      </c>
      <c r="AU28" s="67" t="n">
        <f aca="false">IF(AND(AS28&gt;0,AT27&gt;0,B28&gt;0),MIN(conv_cap,conv_beta*1*AS28*MAX(0,LN(B28/(AT27*AV27)))),0)</f>
        <v>0</v>
      </c>
      <c r="AV28" s="68" t="n">
        <f aca="false">AV27*(1+AU28)</f>
        <v>1</v>
      </c>
      <c r="AW28" s="50" t="n">
        <f aca="false">AR28*AV28</f>
        <v>0</v>
      </c>
      <c r="AX28" s="70" t="n">
        <f aca="false">IF(AQ28&gt;0,AW28*1000000/AQ28/Economy!Q28,0)</f>
        <v>0</v>
      </c>
      <c r="AY28" s="48" t="n">
        <v>0</v>
      </c>
      <c r="AZ28" s="48" t="n">
        <v>0</v>
      </c>
      <c r="BA28" s="71" t="n">
        <v>0</v>
      </c>
      <c r="BB28" s="50" t="n">
        <f aca="false">IF(AY28&gt;0,AZ28*1000000/AY28,0)</f>
        <v>0</v>
      </c>
      <c r="BC28" s="67" t="n">
        <f aca="false">IF(AND(BA28&gt;0,BB27&gt;0,B28&gt;0),MIN(conv_cap,conv_beta*1*BA28*MAX(0,LN(B28/(BB27*BD27)))),0)</f>
        <v>0</v>
      </c>
      <c r="BD28" s="68" t="n">
        <f aca="false">BD27*(1+BC28)</f>
        <v>1</v>
      </c>
      <c r="BE28" s="50" t="n">
        <f aca="false">AZ28*BD28</f>
        <v>0</v>
      </c>
      <c r="BF28" s="70" t="n">
        <f aca="false">IF(AY28&gt;0,BE28*1000000/AY28/Economy!Q28,0)</f>
        <v>0</v>
      </c>
      <c r="BG28" s="48" t="n">
        <v>0</v>
      </c>
      <c r="BH28" s="48" t="n">
        <v>0</v>
      </c>
      <c r="BI28" s="71" t="n">
        <v>0</v>
      </c>
      <c r="BJ28" s="50" t="n">
        <f aca="false">IF(BG28&gt;0,BH28*1000000/BG28,0)</f>
        <v>0</v>
      </c>
      <c r="BK28" s="67" t="n">
        <f aca="false">IF(AND(BI28&gt;0,BJ27&gt;0,B28&gt;0),MIN(conv_cap,conv_beta*1*BI28*MAX(0,LN(B28/(BJ27*BL27)))),0)</f>
        <v>0</v>
      </c>
      <c r="BL28" s="68" t="n">
        <f aca="false">BL27*(1+BK28)</f>
        <v>1</v>
      </c>
      <c r="BM28" s="50" t="n">
        <f aca="false">BH28*BL28</f>
        <v>0</v>
      </c>
      <c r="BN28" s="70" t="n">
        <f aca="false">IF(BG28&gt;0,BM28*1000000/BG28/Economy!Q28,0)</f>
        <v>0</v>
      </c>
      <c r="BO28" s="48" t="n">
        <v>0</v>
      </c>
      <c r="BP28" s="48" t="n">
        <v>0</v>
      </c>
      <c r="BQ28" s="71" t="n">
        <v>0</v>
      </c>
      <c r="BR28" s="50" t="n">
        <f aca="false">IF(BO28&gt;0,BP28*1000000/BO28,0)</f>
        <v>0</v>
      </c>
      <c r="BS28" s="67" t="n">
        <f aca="false">IF(AND(BQ28&gt;0,BR27&gt;0,B28&gt;0),MIN(conv_cap,conv_beta*1*BQ28*MAX(0,LN(B28/(BR27*BT27)))),0)</f>
        <v>0</v>
      </c>
      <c r="BT28" s="68" t="n">
        <f aca="false">BT27*(1+BS28)</f>
        <v>1</v>
      </c>
      <c r="BU28" s="50" t="n">
        <f aca="false">BP28*BT28</f>
        <v>0</v>
      </c>
      <c r="BV28" s="70" t="n">
        <f aca="false">IF(BO28&gt;0,BU28*1000000/BO28/Economy!Q28,0)</f>
        <v>0</v>
      </c>
      <c r="BW28" s="68" t="n">
        <f aca="false">0.25*IF(D28&gt;0,H28,1)+0.15*IF(AJ28&gt;0,AN28,1)+0.03*IF(AR28&gt;0,AV28,1)+0.08*IF(AZ28&gt;0,BD28,1)+0.12*IF(BH28&gt;0,BL28,1)+0.1*IF(L28&gt;0,P28,1)+0.07*IF(T28&gt;0,X28,1)+0.05*IF(AB28&gt;0,AF28,1)+0.05*IF(BP28&gt;0,BT28,1)+0.1</f>
        <v>1.00193047943538</v>
      </c>
      <c r="BX28" s="66" t="n">
        <f aca="false">MIN(mkt_cap,mkt_elast*MAX(0,BW28-1))</f>
        <v>0.000965239717692357</v>
      </c>
      <c r="BY28" s="50" t="n">
        <f aca="false">I28+Q28+Y28+AG28</f>
        <v>450</v>
      </c>
      <c r="BZ28" s="50" t="n">
        <f aca="false">D28+L28+T28+AB28</f>
        <v>450</v>
      </c>
      <c r="CA28" s="68" t="n">
        <f aca="false">IF(BZ28&gt;0,BY28/BZ28,0)</f>
        <v>1</v>
      </c>
    </row>
    <row r="29" customFormat="false" ht="14.25" hidden="false" customHeight="false" outlineLevel="0" collapsed="false">
      <c r="A29" s="61" t="n">
        <v>1869</v>
      </c>
      <c r="B29" s="50" t="n">
        <f aca="false">Economy!P28</f>
        <v>290.538893786064</v>
      </c>
      <c r="C29" s="48" t="n">
        <v>34400000</v>
      </c>
      <c r="D29" s="65" t="n">
        <f aca="false">Japan!B29</f>
        <v>457</v>
      </c>
      <c r="E29" s="71" t="n">
        <v>0.308</v>
      </c>
      <c r="F29" s="50" t="n">
        <f aca="false">IF(C29&gt;0,D29*1000000/C29,0)</f>
        <v>13.2848837209302</v>
      </c>
      <c r="G29" s="67" t="n">
        <f aca="false">IF(AND(E29&gt;0,F28&gt;0,B29&gt;0),MIN(conv_cap,conv_beta*jp_uplift*E29*MAX(0,LN(B29/(F28*H28)))),0)</f>
        <v>0.00951365921613243</v>
      </c>
      <c r="H29" s="68" t="n">
        <f aca="false">H28*(1+G29)</f>
        <v>1.00951365921613</v>
      </c>
      <c r="I29" s="50" t="n">
        <f aca="false">D29*H29</f>
        <v>461.347742261773</v>
      </c>
      <c r="J29" s="70" t="n">
        <f aca="false">IF(C29&gt;0,I29*1000000/C29/Economy!Q29,0)</f>
        <v>0.0798289974843875</v>
      </c>
      <c r="K29" s="65" t="n">
        <f aca="false">Gulf!B29</f>
        <v>0</v>
      </c>
      <c r="L29" s="50" t="n">
        <f aca="false">Gulf!B29*Gulf!C29*Economy!Q29/1000000</f>
        <v>0</v>
      </c>
      <c r="M29" s="71" t="n">
        <v>0</v>
      </c>
      <c r="N29" s="50" t="n">
        <f aca="false">IF(K29&gt;0,L29*1000000/K29,0)</f>
        <v>0</v>
      </c>
      <c r="O29" s="67" t="n">
        <f aca="false">IF(AND(M29&gt;0,N28&gt;0,B29&gt;0),MIN(conv_cap,conv_beta*1*M29*MAX(0,LN(B29/(N28*P28)))),0)</f>
        <v>0</v>
      </c>
      <c r="P29" s="68" t="n">
        <f aca="false">P28*(1+O29)</f>
        <v>1</v>
      </c>
      <c r="Q29" s="50" t="n">
        <f aca="false">L29*P29</f>
        <v>0</v>
      </c>
      <c r="R29" s="70" t="n">
        <f aca="false">IF(K29&gt;0,Q29*1000000/K29/Economy!Q29,0)</f>
        <v>0</v>
      </c>
      <c r="S29" s="65" t="n">
        <f aca="false">People!U29</f>
        <v>0</v>
      </c>
      <c r="T29" s="48" t="n">
        <v>0</v>
      </c>
      <c r="U29" s="71" t="n">
        <v>0</v>
      </c>
      <c r="V29" s="50" t="n">
        <f aca="false">IF(S29&gt;0,T29*1000000/S29,0)</f>
        <v>0</v>
      </c>
      <c r="W29" s="67" t="n">
        <f aca="false">IF(AND(U29&gt;0,V28&gt;0,B29&gt;0),MIN(conv_cap,conv_beta*1*U29*MAX(0,LN(B29/(V28*X28)))),0)</f>
        <v>0</v>
      </c>
      <c r="X29" s="68" t="n">
        <f aca="false">X28*(1+W29)</f>
        <v>1</v>
      </c>
      <c r="Y29" s="50" t="n">
        <f aca="false">T29*X29</f>
        <v>0</v>
      </c>
      <c r="Z29" s="70" t="n">
        <f aca="false">IF(S29&gt;0,Y29*1000000/S29/Economy!Q29,0)</f>
        <v>0</v>
      </c>
      <c r="AA29" s="48" t="n">
        <v>0</v>
      </c>
      <c r="AB29" s="48" t="n">
        <v>0</v>
      </c>
      <c r="AC29" s="71" t="n">
        <v>0</v>
      </c>
      <c r="AD29" s="50" t="n">
        <f aca="false">IF(AA29&gt;0,AB29*1000000/AA29,0)</f>
        <v>0</v>
      </c>
      <c r="AE29" s="67" t="n">
        <f aca="false">IF(AND(AC29&gt;0,AD28&gt;0,B29&gt;0),MIN(conv_cap,conv_beta*1*AC29*MAX(0,LN(B29/(AD28*AF28)))),0)</f>
        <v>0</v>
      </c>
      <c r="AF29" s="68" t="n">
        <f aca="false">AF28*(1+AE29)</f>
        <v>1</v>
      </c>
      <c r="AG29" s="50" t="n">
        <f aca="false">AB29*AF29</f>
        <v>0</v>
      </c>
      <c r="AH29" s="70" t="n">
        <f aca="false">IF(AA29&gt;0,AG29*1000000/AA29/Economy!Q29,0)</f>
        <v>0</v>
      </c>
      <c r="AI29" s="48" t="n">
        <v>357000000</v>
      </c>
      <c r="AJ29" s="48" t="n">
        <v>3475</v>
      </c>
      <c r="AK29" s="71" t="n">
        <v>0.077</v>
      </c>
      <c r="AL29" s="50" t="n">
        <f aca="false">IF(AI29&gt;0,AJ29*1000000/AI29,0)</f>
        <v>9.73389355742297</v>
      </c>
      <c r="AM29" s="67" t="n">
        <f aca="false">IF(AND(AK29&gt;0,AL28&gt;0,B29&gt;0),MIN(conv_cap,conv_beta*1*AK29*MAX(0,LN(B29/(AL28*AN28)))),0)</f>
        <v>0.00260856821135308</v>
      </c>
      <c r="AN29" s="68" t="n">
        <f aca="false">AN28*(1+AM29)</f>
        <v>1.01551200302917</v>
      </c>
      <c r="AO29" s="50" t="n">
        <f aca="false">AJ29*AN29</f>
        <v>3528.90421052636</v>
      </c>
      <c r="AP29" s="70" t="n">
        <f aca="false">IF(AI29&gt;0,AO29*1000000/AI29/Economy!Q29,0)</f>
        <v>0.0588386056176864</v>
      </c>
      <c r="AQ29" s="48" t="n">
        <v>0</v>
      </c>
      <c r="AR29" s="48" t="n">
        <v>0</v>
      </c>
      <c r="AS29" s="71" t="n">
        <v>0</v>
      </c>
      <c r="AT29" s="50" t="n">
        <f aca="false">IF(AQ29&gt;0,AR29*1000000/AQ29,0)</f>
        <v>0</v>
      </c>
      <c r="AU29" s="67" t="n">
        <f aca="false">IF(AND(AS29&gt;0,AT28&gt;0,B29&gt;0),MIN(conv_cap,conv_beta*1*AS29*MAX(0,LN(B29/(AT28*AV28)))),0)</f>
        <v>0</v>
      </c>
      <c r="AV29" s="68" t="n">
        <f aca="false">AV28*(1+AU29)</f>
        <v>1</v>
      </c>
      <c r="AW29" s="50" t="n">
        <f aca="false">AR29*AV29</f>
        <v>0</v>
      </c>
      <c r="AX29" s="70" t="n">
        <f aca="false">IF(AQ29&gt;0,AW29*1000000/AQ29/Economy!Q29,0)</f>
        <v>0</v>
      </c>
      <c r="AY29" s="48" t="n">
        <v>0</v>
      </c>
      <c r="AZ29" s="48" t="n">
        <v>0</v>
      </c>
      <c r="BA29" s="71" t="n">
        <v>0</v>
      </c>
      <c r="BB29" s="50" t="n">
        <f aca="false">IF(AY29&gt;0,AZ29*1000000/AY29,0)</f>
        <v>0</v>
      </c>
      <c r="BC29" s="67" t="n">
        <f aca="false">IF(AND(BA29&gt;0,BB28&gt;0,B29&gt;0),MIN(conv_cap,conv_beta*1*BA29*MAX(0,LN(B29/(BB28*BD28)))),0)</f>
        <v>0</v>
      </c>
      <c r="BD29" s="68" t="n">
        <f aca="false">BD28*(1+BC29)</f>
        <v>1</v>
      </c>
      <c r="BE29" s="50" t="n">
        <f aca="false">AZ29*BD29</f>
        <v>0</v>
      </c>
      <c r="BF29" s="70" t="n">
        <f aca="false">IF(AY29&gt;0,BE29*1000000/AY29/Economy!Q29,0)</f>
        <v>0</v>
      </c>
      <c r="BG29" s="48" t="n">
        <v>0</v>
      </c>
      <c r="BH29" s="48" t="n">
        <v>0</v>
      </c>
      <c r="BI29" s="71" t="n">
        <v>0</v>
      </c>
      <c r="BJ29" s="50" t="n">
        <f aca="false">IF(BG29&gt;0,BH29*1000000/BG29,0)</f>
        <v>0</v>
      </c>
      <c r="BK29" s="67" t="n">
        <f aca="false">IF(AND(BI29&gt;0,BJ28&gt;0,B29&gt;0),MIN(conv_cap,conv_beta*1*BI29*MAX(0,LN(B29/(BJ28*BL28)))),0)</f>
        <v>0</v>
      </c>
      <c r="BL29" s="68" t="n">
        <f aca="false">BL28*(1+BK29)</f>
        <v>1</v>
      </c>
      <c r="BM29" s="50" t="n">
        <f aca="false">BH29*BL29</f>
        <v>0</v>
      </c>
      <c r="BN29" s="70" t="n">
        <f aca="false">IF(BG29&gt;0,BM29*1000000/BG29/Economy!Q29,0)</f>
        <v>0</v>
      </c>
      <c r="BO29" s="48" t="n">
        <v>0</v>
      </c>
      <c r="BP29" s="48" t="n">
        <v>0</v>
      </c>
      <c r="BQ29" s="71" t="n">
        <v>0</v>
      </c>
      <c r="BR29" s="50" t="n">
        <f aca="false">IF(BO29&gt;0,BP29*1000000/BO29,0)</f>
        <v>0</v>
      </c>
      <c r="BS29" s="67" t="n">
        <f aca="false">IF(AND(BQ29&gt;0,BR28&gt;0,B29&gt;0),MIN(conv_cap,conv_beta*1*BQ29*MAX(0,LN(B29/(BR28*BT28)))),0)</f>
        <v>0</v>
      </c>
      <c r="BT29" s="68" t="n">
        <f aca="false">BT28*(1+BS29)</f>
        <v>1</v>
      </c>
      <c r="BU29" s="50" t="n">
        <f aca="false">BP29*BT29</f>
        <v>0</v>
      </c>
      <c r="BV29" s="70" t="n">
        <f aca="false">IF(BO29&gt;0,BU29*1000000/BO29/Economy!Q29,0)</f>
        <v>0</v>
      </c>
      <c r="BW29" s="68" t="n">
        <f aca="false">0.25*IF(D29&gt;0,H29,1)+0.15*IF(AJ29&gt;0,AN29,1)+0.03*IF(AR29&gt;0,AV29,1)+0.08*IF(AZ29&gt;0,BD29,1)+0.12*IF(BH29&gt;0,BL29,1)+0.1*IF(L29&gt;0,P29,1)+0.07*IF(T29&gt;0,X29,1)+0.05*IF(AB29&gt;0,AF29,1)+0.05*IF(BP29&gt;0,BT29,1)+0.1</f>
        <v>1.00470521525841</v>
      </c>
      <c r="BX29" s="66" t="n">
        <f aca="false">MIN(mkt_cap,mkt_elast*MAX(0,BW29-1))</f>
        <v>0.00235260762920431</v>
      </c>
      <c r="BY29" s="50" t="n">
        <f aca="false">I29+Q29+Y29+AG29</f>
        <v>461.347742261773</v>
      </c>
      <c r="BZ29" s="50" t="n">
        <f aca="false">D29+L29+T29+AB29</f>
        <v>457</v>
      </c>
      <c r="CA29" s="68" t="n">
        <f aca="false">IF(BZ29&gt;0,BY29/BZ29,0)</f>
        <v>1.00951365921613</v>
      </c>
    </row>
    <row r="30" customFormat="false" ht="14.25" hidden="false" customHeight="false" outlineLevel="0" collapsed="false">
      <c r="A30" s="64" t="n">
        <v>1870</v>
      </c>
      <c r="B30" s="50" t="n">
        <f aca="false">Economy!P29</f>
        <v>294.473391539578</v>
      </c>
      <c r="C30" s="48" t="n">
        <v>34800000</v>
      </c>
      <c r="D30" s="65" t="n">
        <f aca="false">Japan!B30</f>
        <v>464</v>
      </c>
      <c r="E30" s="71" t="n">
        <v>0.317</v>
      </c>
      <c r="F30" s="50" t="n">
        <f aca="false">IF(C30&gt;0,D30*1000000/C30,0)</f>
        <v>13.3333333333333</v>
      </c>
      <c r="G30" s="67" t="n">
        <f aca="false">IF(AND(E30&gt;0,F29&gt;0,B30&gt;0),MIN(conv_cap,conv_beta*jp_uplift*E30*MAX(0,LN(B30/(F29*H29)))),0)</f>
        <v>0.00979242522790804</v>
      </c>
      <c r="H30" s="68" t="n">
        <f aca="false">H29*(1+G30)</f>
        <v>1.01939924624056</v>
      </c>
      <c r="I30" s="50" t="n">
        <f aca="false">D30*H30</f>
        <v>473.001250255619</v>
      </c>
      <c r="J30" s="70" t="n">
        <f aca="false">IF(C30&gt;0,I30*1000000/C30/Economy!Q30,0)</f>
        <v>0.079023197382989</v>
      </c>
      <c r="K30" s="65" t="n">
        <f aca="false">Gulf!B30</f>
        <v>0</v>
      </c>
      <c r="L30" s="50" t="n">
        <f aca="false">Gulf!B30*Gulf!C30*Economy!Q30/1000000</f>
        <v>0</v>
      </c>
      <c r="M30" s="71" t="n">
        <v>0</v>
      </c>
      <c r="N30" s="50" t="n">
        <f aca="false">IF(K30&gt;0,L30*1000000/K30,0)</f>
        <v>0</v>
      </c>
      <c r="O30" s="67" t="n">
        <f aca="false">IF(AND(M30&gt;0,N29&gt;0,B30&gt;0),MIN(conv_cap,conv_beta*1*M30*MAX(0,LN(B30/(N29*P29)))),0)</f>
        <v>0</v>
      </c>
      <c r="P30" s="68" t="n">
        <f aca="false">P29*(1+O30)</f>
        <v>1</v>
      </c>
      <c r="Q30" s="50" t="n">
        <f aca="false">L30*P30</f>
        <v>0</v>
      </c>
      <c r="R30" s="70" t="n">
        <f aca="false">IF(K30&gt;0,Q30*1000000/K30/Economy!Q30,0)</f>
        <v>0</v>
      </c>
      <c r="S30" s="65" t="n">
        <f aca="false">People!U30</f>
        <v>0</v>
      </c>
      <c r="T30" s="48" t="n">
        <v>0</v>
      </c>
      <c r="U30" s="71" t="n">
        <v>0</v>
      </c>
      <c r="V30" s="50" t="n">
        <f aca="false">IF(S30&gt;0,T30*1000000/S30,0)</f>
        <v>0</v>
      </c>
      <c r="W30" s="67" t="n">
        <f aca="false">IF(AND(U30&gt;0,V29&gt;0,B30&gt;0),MIN(conv_cap,conv_beta*1*U30*MAX(0,LN(B30/(V29*X29)))),0)</f>
        <v>0</v>
      </c>
      <c r="X30" s="68" t="n">
        <f aca="false">X29*(1+W30)</f>
        <v>1</v>
      </c>
      <c r="Y30" s="50" t="n">
        <f aca="false">T30*X30</f>
        <v>0</v>
      </c>
      <c r="Z30" s="70" t="n">
        <f aca="false">IF(S30&gt;0,Y30*1000000/S30/Economy!Q30,0)</f>
        <v>0</v>
      </c>
      <c r="AA30" s="48" t="n">
        <v>0</v>
      </c>
      <c r="AB30" s="48" t="n">
        <v>0</v>
      </c>
      <c r="AC30" s="71" t="n">
        <v>0</v>
      </c>
      <c r="AD30" s="50" t="n">
        <f aca="false">IF(AA30&gt;0,AB30*1000000/AA30,0)</f>
        <v>0</v>
      </c>
      <c r="AE30" s="67" t="n">
        <f aca="false">IF(AND(AC30&gt;0,AD29&gt;0,B30&gt;0),MIN(conv_cap,conv_beta*1*AC30*MAX(0,LN(B30/(AD29*AF29)))),0)</f>
        <v>0</v>
      </c>
      <c r="AF30" s="68" t="n">
        <f aca="false">AF29*(1+AE30)</f>
        <v>1</v>
      </c>
      <c r="AG30" s="50" t="n">
        <f aca="false">AB30*AF30</f>
        <v>0</v>
      </c>
      <c r="AH30" s="70" t="n">
        <f aca="false">IF(AA30&gt;0,AG30*1000000/AA30/Economy!Q30,0)</f>
        <v>0</v>
      </c>
      <c r="AI30" s="48" t="n">
        <v>358000000</v>
      </c>
      <c r="AJ30" s="48" t="n">
        <v>3500</v>
      </c>
      <c r="AK30" s="71" t="n">
        <v>0.081</v>
      </c>
      <c r="AL30" s="50" t="n">
        <f aca="false">IF(AI30&gt;0,AJ30*1000000/AI30,0)</f>
        <v>9.77653631284916</v>
      </c>
      <c r="AM30" s="67" t="n">
        <f aca="false">IF(AND(AK30&gt;0,AL29&gt;0,B30&gt;0),MIN(conv_cap,conv_beta*1*AK30*MAX(0,LN(B30/(AL29*AN29)))),0)</f>
        <v>0.00274928721724999</v>
      </c>
      <c r="AN30" s="68" t="n">
        <f aca="false">AN29*(1+AM30)</f>
        <v>1.01830393719806</v>
      </c>
      <c r="AO30" s="50" t="n">
        <f aca="false">AJ30*AN30</f>
        <v>3564.06378019321</v>
      </c>
      <c r="AP30" s="70" t="n">
        <f aca="false">IF(AI30&gt;0,AO30*1000000/AI30/Economy!Q30,0)</f>
        <v>0.0578807291833379</v>
      </c>
      <c r="AQ30" s="48" t="n">
        <v>10000000</v>
      </c>
      <c r="AR30" s="48" t="n">
        <v>150</v>
      </c>
      <c r="AS30" s="71" t="n">
        <v>0</v>
      </c>
      <c r="AT30" s="50" t="n">
        <f aca="false">IF(AQ30&gt;0,AR30*1000000/AQ30,0)</f>
        <v>15</v>
      </c>
      <c r="AU30" s="67" t="n">
        <f aca="false">IF(AND(AS30&gt;0,AT29&gt;0,B30&gt;0),MIN(conv_cap,conv_beta*1*AS30*MAX(0,LN(B30/(AT29*AV29)))),0)</f>
        <v>0</v>
      </c>
      <c r="AV30" s="68" t="n">
        <f aca="false">AV29*(1+AU30)</f>
        <v>1</v>
      </c>
      <c r="AW30" s="50" t="n">
        <f aca="false">AR30*AV30</f>
        <v>150</v>
      </c>
      <c r="AX30" s="70" t="n">
        <f aca="false">IF(AQ30&gt;0,AW30*1000000/AQ30/Economy!Q30,0)</f>
        <v>0.0872093023255814</v>
      </c>
      <c r="AY30" s="48" t="n">
        <v>50000000</v>
      </c>
      <c r="AZ30" s="48" t="n">
        <v>900</v>
      </c>
      <c r="BA30" s="71" t="n">
        <v>0</v>
      </c>
      <c r="BB30" s="50" t="n">
        <f aca="false">IF(AY30&gt;0,AZ30*1000000/AY30,0)</f>
        <v>18</v>
      </c>
      <c r="BC30" s="67" t="n">
        <f aca="false">IF(AND(BA30&gt;0,BB29&gt;0,B30&gt;0),MIN(conv_cap,conv_beta*1*BA30*MAX(0,LN(B30/(BB29*BD29)))),0)</f>
        <v>0</v>
      </c>
      <c r="BD30" s="68" t="n">
        <f aca="false">BD29*(1+BC30)</f>
        <v>1</v>
      </c>
      <c r="BE30" s="50" t="n">
        <f aca="false">AZ30*BD30</f>
        <v>900</v>
      </c>
      <c r="BF30" s="70" t="n">
        <f aca="false">IF(AY30&gt;0,BE30*1000000/AY30/Economy!Q30,0)</f>
        <v>0.104651162790698</v>
      </c>
      <c r="BG30" s="48" t="n">
        <v>22000000</v>
      </c>
      <c r="BH30" s="48" t="n">
        <v>1000</v>
      </c>
      <c r="BI30" s="71" t="n">
        <v>0.05</v>
      </c>
      <c r="BJ30" s="50" t="n">
        <f aca="false">IF(BG30&gt;0,BH30*1000000/BG30,0)</f>
        <v>45.4545454545455</v>
      </c>
      <c r="BK30" s="67" t="n">
        <f aca="false">IF(AND(BI30&gt;0,BJ29&gt;0,B30&gt;0),MIN(conv_cap,conv_beta*1*BI30*MAX(0,LN(B30/(BJ29*BL29)))),0)</f>
        <v>0</v>
      </c>
      <c r="BL30" s="68" t="n">
        <f aca="false">BL29*(1+BK30)</f>
        <v>1</v>
      </c>
      <c r="BM30" s="50" t="n">
        <f aca="false">BH30*BL30</f>
        <v>1000</v>
      </c>
      <c r="BN30" s="70" t="n">
        <f aca="false">IF(BG30&gt;0,BM30*1000000/BG30/Economy!Q30,0)</f>
        <v>0.264270613107822</v>
      </c>
      <c r="BO30" s="48" t="n">
        <v>12000000</v>
      </c>
      <c r="BP30" s="48" t="n">
        <v>500</v>
      </c>
      <c r="BQ30" s="71" t="n">
        <v>0</v>
      </c>
      <c r="BR30" s="50" t="n">
        <f aca="false">IF(BO30&gt;0,BP30*1000000/BO30,0)</f>
        <v>41.6666666666667</v>
      </c>
      <c r="BS30" s="67" t="n">
        <f aca="false">IF(AND(BQ30&gt;0,BR29&gt;0,B30&gt;0),MIN(conv_cap,conv_beta*1*BQ30*MAX(0,LN(B30/(BR29*BT29)))),0)</f>
        <v>0</v>
      </c>
      <c r="BT30" s="68" t="n">
        <f aca="false">BT29*(1+BS30)</f>
        <v>1</v>
      </c>
      <c r="BU30" s="50"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1.00759540213985</v>
      </c>
      <c r="BX30" s="66" t="n">
        <f aca="false">MIN(mkt_cap,mkt_elast*MAX(0,BW30-1))</f>
        <v>0.00379770106992439</v>
      </c>
      <c r="BY30" s="50" t="n">
        <f aca="false">I30+Q30+Y30+AG30</f>
        <v>473.001250255619</v>
      </c>
      <c r="BZ30" s="50" t="n">
        <f aca="false">D30+L30+T30+AB30</f>
        <v>464</v>
      </c>
      <c r="CA30" s="68" t="n">
        <f aca="false">IF(BZ30&gt;0,BY30/BZ30,0)</f>
        <v>1.01939924624056</v>
      </c>
    </row>
    <row r="31" customFormat="false" ht="14.25" hidden="false" customHeight="false" outlineLevel="0" collapsed="false">
      <c r="A31" s="64" t="n">
        <v>1871</v>
      </c>
      <c r="B31" s="50" t="n">
        <f aca="false">Economy!P30</f>
        <v>300.122142110267</v>
      </c>
      <c r="C31" s="48" t="n">
        <v>34980000</v>
      </c>
      <c r="D31" s="65" t="n">
        <f aca="false">Japan!B31</f>
        <v>471</v>
      </c>
      <c r="E31" s="71" t="n">
        <v>0.325</v>
      </c>
      <c r="F31" s="50" t="n">
        <f aca="false">IF(C31&gt;0,D31*1000000/C31,0)</f>
        <v>13.4648370497427</v>
      </c>
      <c r="G31" s="67" t="n">
        <f aca="false">IF(AND(E31&gt;0,F30&gt;0,B31&gt;0),MIN(conv_cap,conv_beta*jp_uplift*E31*MAX(0,LN(B31/(F30*H30)))),0)</f>
        <v>0.0100578038834326</v>
      </c>
      <c r="H31" s="68" t="n">
        <f aca="false">H30*(1+G31)</f>
        <v>1.02965216393817</v>
      </c>
      <c r="I31" s="50" t="n">
        <f aca="false">D31*H31</f>
        <v>484.966169214876</v>
      </c>
      <c r="J31" s="70" t="n">
        <f aca="false">IF(C31&gt;0,I31*1000000/C31/Economy!Q31,0)</f>
        <v>0.0801392982967766</v>
      </c>
      <c r="K31" s="65" t="n">
        <f aca="false">Gulf!B31</f>
        <v>0</v>
      </c>
      <c r="L31" s="50" t="n">
        <f aca="false">Gulf!B31*Gulf!C31*Economy!Q31/1000000</f>
        <v>0</v>
      </c>
      <c r="M31" s="71" t="n">
        <v>0</v>
      </c>
      <c r="N31" s="50" t="n">
        <f aca="false">IF(K31&gt;0,L31*1000000/K31,0)</f>
        <v>0</v>
      </c>
      <c r="O31" s="67" t="n">
        <f aca="false">IF(AND(M31&gt;0,N30&gt;0,B31&gt;0),MIN(conv_cap,conv_beta*1*M31*MAX(0,LN(B31/(N30*P30)))),0)</f>
        <v>0</v>
      </c>
      <c r="P31" s="68" t="n">
        <f aca="false">P30*(1+O31)</f>
        <v>1</v>
      </c>
      <c r="Q31" s="50" t="n">
        <f aca="false">L31*P31</f>
        <v>0</v>
      </c>
      <c r="R31" s="70" t="n">
        <f aca="false">IF(K31&gt;0,Q31*1000000/K31/Economy!Q31,0)</f>
        <v>0</v>
      </c>
      <c r="S31" s="65" t="n">
        <f aca="false">People!U31</f>
        <v>0</v>
      </c>
      <c r="T31" s="48" t="n">
        <v>0</v>
      </c>
      <c r="U31" s="71" t="n">
        <v>0</v>
      </c>
      <c r="V31" s="50" t="n">
        <f aca="false">IF(S31&gt;0,T31*1000000/S31,0)</f>
        <v>0</v>
      </c>
      <c r="W31" s="67" t="n">
        <f aca="false">IF(AND(U31&gt;0,V30&gt;0,B31&gt;0),MIN(conv_cap,conv_beta*1*U31*MAX(0,LN(B31/(V30*X30)))),0)</f>
        <v>0</v>
      </c>
      <c r="X31" s="68" t="n">
        <f aca="false">X30*(1+W31)</f>
        <v>1</v>
      </c>
      <c r="Y31" s="50" t="n">
        <f aca="false">T31*X31</f>
        <v>0</v>
      </c>
      <c r="Z31" s="70" t="n">
        <f aca="false">IF(S31&gt;0,Y31*1000000/S31/Economy!Q31,0)</f>
        <v>0</v>
      </c>
      <c r="AA31" s="48" t="n">
        <v>0</v>
      </c>
      <c r="AB31" s="48" t="n">
        <v>0</v>
      </c>
      <c r="AC31" s="71" t="n">
        <v>0</v>
      </c>
      <c r="AD31" s="50" t="n">
        <f aca="false">IF(AA31&gt;0,AB31*1000000/AA31,0)</f>
        <v>0</v>
      </c>
      <c r="AE31" s="67" t="n">
        <f aca="false">IF(AND(AC31&gt;0,AD30&gt;0,B31&gt;0),MIN(conv_cap,conv_beta*1*AC31*MAX(0,LN(B31/(AD30*AF30)))),0)</f>
        <v>0</v>
      </c>
      <c r="AF31" s="68" t="n">
        <f aca="false">AF30*(1+AE31)</f>
        <v>1</v>
      </c>
      <c r="AG31" s="50" t="n">
        <f aca="false">AB31*AF31</f>
        <v>0</v>
      </c>
      <c r="AH31" s="70" t="n">
        <f aca="false">IF(AA31&gt;0,AG31*1000000/AA31/Economy!Q31,0)</f>
        <v>0</v>
      </c>
      <c r="AI31" s="48" t="n">
        <v>359400000</v>
      </c>
      <c r="AJ31" s="48" t="n">
        <v>3517</v>
      </c>
      <c r="AK31" s="71" t="n">
        <v>0.085</v>
      </c>
      <c r="AL31" s="50" t="n">
        <f aca="false">IF(AI31&gt;0,AJ31*1000000/AI31,0)</f>
        <v>9.78575403450195</v>
      </c>
      <c r="AM31" s="67" t="n">
        <f aca="false">IF(AND(AK31&gt;0,AL30&gt;0,B31&gt;0),MIN(conv_cap,conv_beta*1*AK31*MAX(0,LN(B31/(AL30*AN30)))),0)</f>
        <v>0.00289515595928898</v>
      </c>
      <c r="AN31" s="68" t="n">
        <f aca="false">AN30*(1+AM31)</f>
        <v>1.02125208591021</v>
      </c>
      <c r="AO31" s="50" t="n">
        <f aca="false">AJ31*AN31</f>
        <v>3591.7435861462</v>
      </c>
      <c r="AP31" s="70" t="n">
        <f aca="false">IF(AI31&gt;0,AO31*1000000/AI31/Economy!Q31,0)</f>
        <v>0.0577671775719037</v>
      </c>
      <c r="AQ31" s="48" t="n">
        <v>10070000</v>
      </c>
      <c r="AR31" s="48" t="n">
        <v>153</v>
      </c>
      <c r="AS31" s="71" t="n">
        <v>0</v>
      </c>
      <c r="AT31" s="50" t="n">
        <f aca="false">IF(AQ31&gt;0,AR31*1000000/AQ31,0)</f>
        <v>15.1936444885799</v>
      </c>
      <c r="AU31" s="67" t="n">
        <f aca="false">IF(AND(AS31&gt;0,AT30&gt;0,B31&gt;0),MIN(conv_cap,conv_beta*1*AS31*MAX(0,LN(B31/(AT30*AV30)))),0)</f>
        <v>0</v>
      </c>
      <c r="AV31" s="68" t="n">
        <f aca="false">AV30*(1+AU31)</f>
        <v>1</v>
      </c>
      <c r="AW31" s="50" t="n">
        <f aca="false">AR31*AV31</f>
        <v>153</v>
      </c>
      <c r="AX31" s="70" t="n">
        <f aca="false">IF(AQ31&gt;0,AW31*1000000/AQ31/Economy!Q31,0)</f>
        <v>0.087824534616069</v>
      </c>
      <c r="AY31" s="48" t="n">
        <v>51000000</v>
      </c>
      <c r="AZ31" s="48" t="n">
        <v>937</v>
      </c>
      <c r="BA31" s="71" t="n">
        <v>0</v>
      </c>
      <c r="BB31" s="50" t="n">
        <f aca="false">IF(AY31&gt;0,AZ31*1000000/AY31,0)</f>
        <v>18.3725490196078</v>
      </c>
      <c r="BC31" s="67" t="n">
        <f aca="false">IF(AND(BA31&gt;0,BB30&gt;0,B31&gt;0),MIN(conv_cap,conv_beta*1*BA31*MAX(0,LN(B31/(BB30*BD30)))),0)</f>
        <v>0</v>
      </c>
      <c r="BD31" s="68" t="n">
        <f aca="false">BD30*(1+BC31)</f>
        <v>1</v>
      </c>
      <c r="BE31" s="50" t="n">
        <f aca="false">AZ31*BD31</f>
        <v>937</v>
      </c>
      <c r="BF31" s="70" t="n">
        <f aca="false">IF(AY31&gt;0,BE31*1000000/AY31/Economy!Q31,0)</f>
        <v>0.106199705315652</v>
      </c>
      <c r="BG31" s="48" t="n">
        <v>22300000</v>
      </c>
      <c r="BH31" s="48" t="n">
        <v>1040</v>
      </c>
      <c r="BI31" s="71" t="n">
        <v>0.053</v>
      </c>
      <c r="BJ31" s="50" t="n">
        <f aca="false">IF(BG31&gt;0,BH31*1000000/BG31,0)</f>
        <v>46.6367713004484</v>
      </c>
      <c r="BK31" s="67" t="n">
        <f aca="false">IF(AND(BI31&gt;0,BJ30&gt;0,B31&gt;0),MIN(conv_cap,conv_beta*1*BI31*MAX(0,LN(B31/(BJ30*BL30)))),0)</f>
        <v>0.00100036265446662</v>
      </c>
      <c r="BL31" s="68" t="n">
        <f aca="false">BL30*(1+BK31)</f>
        <v>1.00100036265447</v>
      </c>
      <c r="BM31" s="50" t="n">
        <f aca="false">BH31*BL31</f>
        <v>1041.04037716065</v>
      </c>
      <c r="BN31" s="70" t="n">
        <f aca="false">IF(BG31&gt;0,BM31*1000000/BG31/Economy!Q31,0)</f>
        <v>0.269846387195273</v>
      </c>
      <c r="BO31" s="48" t="n">
        <v>12100000</v>
      </c>
      <c r="BP31" s="48" t="n">
        <v>510</v>
      </c>
      <c r="BQ31" s="71" t="n">
        <v>0</v>
      </c>
      <c r="BR31" s="50" t="n">
        <f aca="false">IF(BO31&gt;0,BP31*1000000/BO31,0)</f>
        <v>42.1487603305785</v>
      </c>
      <c r="BS31" s="67" t="n">
        <f aca="false">IF(AND(BQ31&gt;0,BR30&gt;0,B31&gt;0),MIN(conv_cap,conv_beta*1*BQ31*MAX(0,LN(B31/(BR30*BT30)))),0)</f>
        <v>0</v>
      </c>
      <c r="BT31" s="68" t="n">
        <f aca="false">BT30*(1+BS31)</f>
        <v>1</v>
      </c>
      <c r="BU31" s="50"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1.01072089738961</v>
      </c>
      <c r="BX31" s="66" t="n">
        <f aca="false">MIN(mkt_cap,mkt_elast*MAX(0,BW31-1))</f>
        <v>0.00536044869480423</v>
      </c>
      <c r="BY31" s="50" t="n">
        <f aca="false">I31+Q31+Y31+AG31</f>
        <v>484.966169214876</v>
      </c>
      <c r="BZ31" s="50" t="n">
        <f aca="false">D31+L31+T31+AB31</f>
        <v>471</v>
      </c>
      <c r="CA31" s="68" t="n">
        <f aca="false">IF(BZ31&gt;0,BY31/BZ31,0)</f>
        <v>1.02965216393817</v>
      </c>
    </row>
    <row r="32" customFormat="false" ht="14.25" hidden="false" customHeight="false" outlineLevel="0" collapsed="false">
      <c r="A32" s="61" t="n">
        <v>1872</v>
      </c>
      <c r="B32" s="50" t="n">
        <f aca="false">Economy!P31</f>
        <v>302.321799775059</v>
      </c>
      <c r="C32" s="48" t="n">
        <v>35160000</v>
      </c>
      <c r="D32" s="65" t="n">
        <f aca="false">Japan!B32</f>
        <v>479</v>
      </c>
      <c r="E32" s="71" t="n">
        <v>0.333</v>
      </c>
      <c r="F32" s="50" t="n">
        <f aca="false">IF(C32&gt;0,D32*1000000/C32,0)</f>
        <v>13.6234357224118</v>
      </c>
      <c r="G32" s="67" t="n">
        <f aca="false">IF(AND(E32&gt;0,F31&gt;0,B32&gt;0),MIN(conv_cap,conv_beta*jp_uplift*E32*MAX(0,LN(B32/(F31*H31)))),0)</f>
        <v>0.0102636905272335</v>
      </c>
      <c r="H32" s="68" t="n">
        <f aca="false">H31*(1+G32)</f>
        <v>1.04022019509952</v>
      </c>
      <c r="I32" s="50" t="n">
        <f aca="false">D32*H32</f>
        <v>498.265473452671</v>
      </c>
      <c r="J32" s="70" t="n">
        <f aca="false">IF(C32&gt;0,I32*1000000/C32/Economy!Q32,0)</f>
        <v>0.0819154506652777</v>
      </c>
      <c r="K32" s="65" t="n">
        <f aca="false">Gulf!B32</f>
        <v>0</v>
      </c>
      <c r="L32" s="50" t="n">
        <f aca="false">Gulf!B32*Gulf!C32*Economy!Q32/1000000</f>
        <v>0</v>
      </c>
      <c r="M32" s="71" t="n">
        <v>0</v>
      </c>
      <c r="N32" s="50" t="n">
        <f aca="false">IF(K32&gt;0,L32*1000000/K32,0)</f>
        <v>0</v>
      </c>
      <c r="O32" s="67" t="n">
        <f aca="false">IF(AND(M32&gt;0,N31&gt;0,B32&gt;0),MIN(conv_cap,conv_beta*1*M32*MAX(0,LN(B32/(N31*P31)))),0)</f>
        <v>0</v>
      </c>
      <c r="P32" s="68" t="n">
        <f aca="false">P31*(1+O32)</f>
        <v>1</v>
      </c>
      <c r="Q32" s="50" t="n">
        <f aca="false">L32*P32</f>
        <v>0</v>
      </c>
      <c r="R32" s="70" t="n">
        <f aca="false">IF(K32&gt;0,Q32*1000000/K32/Economy!Q32,0)</f>
        <v>0</v>
      </c>
      <c r="S32" s="65" t="n">
        <f aca="false">People!U32</f>
        <v>0</v>
      </c>
      <c r="T32" s="48" t="n">
        <v>0</v>
      </c>
      <c r="U32" s="71" t="n">
        <v>0</v>
      </c>
      <c r="V32" s="50" t="n">
        <f aca="false">IF(S32&gt;0,T32*1000000/S32,0)</f>
        <v>0</v>
      </c>
      <c r="W32" s="67" t="n">
        <f aca="false">IF(AND(U32&gt;0,V31&gt;0,B32&gt;0),MIN(conv_cap,conv_beta*1*U32*MAX(0,LN(B32/(V31*X31)))),0)</f>
        <v>0</v>
      </c>
      <c r="X32" s="68" t="n">
        <f aca="false">X31*(1+W32)</f>
        <v>1</v>
      </c>
      <c r="Y32" s="50" t="n">
        <f aca="false">T32*X32</f>
        <v>0</v>
      </c>
      <c r="Z32" s="70" t="n">
        <f aca="false">IF(S32&gt;0,Y32*1000000/S32/Economy!Q32,0)</f>
        <v>0</v>
      </c>
      <c r="AA32" s="48" t="n">
        <v>0</v>
      </c>
      <c r="AB32" s="48" t="n">
        <v>0</v>
      </c>
      <c r="AC32" s="71" t="n">
        <v>0</v>
      </c>
      <c r="AD32" s="50" t="n">
        <f aca="false">IF(AA32&gt;0,AB32*1000000/AA32,0)</f>
        <v>0</v>
      </c>
      <c r="AE32" s="67" t="n">
        <f aca="false">IF(AND(AC32&gt;0,AD31&gt;0,B32&gt;0),MIN(conv_cap,conv_beta*1*AC32*MAX(0,LN(B32/(AD31*AF31)))),0)</f>
        <v>0</v>
      </c>
      <c r="AF32" s="68" t="n">
        <f aca="false">AF31*(1+AE32)</f>
        <v>1</v>
      </c>
      <c r="AG32" s="50" t="n">
        <f aca="false">AB32*AF32</f>
        <v>0</v>
      </c>
      <c r="AH32" s="70" t="n">
        <f aca="false">IF(AA32&gt;0,AG32*1000000/AA32/Economy!Q32,0)</f>
        <v>0</v>
      </c>
      <c r="AI32" s="48" t="n">
        <v>360800000</v>
      </c>
      <c r="AJ32" s="48" t="n">
        <v>3533</v>
      </c>
      <c r="AK32" s="71" t="n">
        <v>0.088</v>
      </c>
      <c r="AL32" s="50" t="n">
        <f aca="false">IF(AI32&gt;0,AJ32*1000000/AI32,0)</f>
        <v>9.79212860310421</v>
      </c>
      <c r="AM32" s="67" t="n">
        <f aca="false">IF(AND(AK32&gt;0,AL31&gt;0,B32&gt;0),MIN(conv_cap,conv_beta*1*AK32*MAX(0,LN(B32/(AL31*AN31)))),0)</f>
        <v>0.0030003907510844</v>
      </c>
      <c r="AN32" s="68" t="n">
        <f aca="false">AN31*(1+AM32)</f>
        <v>1.0243162412233</v>
      </c>
      <c r="AO32" s="50" t="n">
        <f aca="false">AJ32*AN32</f>
        <v>3618.90928024191</v>
      </c>
      <c r="AP32" s="70" t="n">
        <f aca="false">IF(AI32&gt;0,AO32*1000000/AI32/Economy!Q32,0)</f>
        <v>0.0579782448803864</v>
      </c>
      <c r="AQ32" s="48" t="n">
        <v>10130000</v>
      </c>
      <c r="AR32" s="48" t="n">
        <v>157</v>
      </c>
      <c r="AS32" s="71" t="n">
        <v>0</v>
      </c>
      <c r="AT32" s="50" t="n">
        <f aca="false">IF(AQ32&gt;0,AR32*1000000/AQ32,0)</f>
        <v>15.4985192497532</v>
      </c>
      <c r="AU32" s="67" t="n">
        <f aca="false">IF(AND(AS32&gt;0,AT31&gt;0,B32&gt;0),MIN(conv_cap,conv_beta*1*AS32*MAX(0,LN(B32/(AT31*AV31)))),0)</f>
        <v>0</v>
      </c>
      <c r="AV32" s="68" t="n">
        <f aca="false">AV31*(1+AU32)</f>
        <v>1</v>
      </c>
      <c r="AW32" s="50" t="n">
        <f aca="false">AR32*AV32</f>
        <v>157</v>
      </c>
      <c r="AX32" s="70" t="n">
        <f aca="false">IF(AQ32&gt;0,AW32*1000000/AQ32/Economy!Q32,0)</f>
        <v>0.0895868164725619</v>
      </c>
      <c r="AY32" s="48" t="n">
        <v>52000000</v>
      </c>
      <c r="AZ32" s="48" t="n">
        <v>973</v>
      </c>
      <c r="BA32" s="71" t="n">
        <v>0</v>
      </c>
      <c r="BB32" s="50" t="n">
        <f aca="false">IF(AY32&gt;0,AZ32*1000000/AY32,0)</f>
        <v>18.7115384615385</v>
      </c>
      <c r="BC32" s="67" t="n">
        <f aca="false">IF(AND(BA32&gt;0,BB31&gt;0,B32&gt;0),MIN(conv_cap,conv_beta*1*BA32*MAX(0,LN(B32/(BB31*BD31)))),0)</f>
        <v>0</v>
      </c>
      <c r="BD32" s="68" t="n">
        <f aca="false">BD31*(1+BC32)</f>
        <v>1</v>
      </c>
      <c r="BE32" s="50" t="n">
        <f aca="false">AZ32*BD32</f>
        <v>973</v>
      </c>
      <c r="BF32" s="70" t="n">
        <f aca="false">IF(AY32&gt;0,BE32*1000000/AY32/Economy!Q32,0)</f>
        <v>0.108159181858604</v>
      </c>
      <c r="BG32" s="48" t="n">
        <v>22500000</v>
      </c>
      <c r="BH32" s="48" t="n">
        <v>1080</v>
      </c>
      <c r="BI32" s="71" t="n">
        <v>0.057</v>
      </c>
      <c r="BJ32" s="50" t="n">
        <f aca="false">IF(BG32&gt;0,BH32*1000000/BG32,0)</f>
        <v>48</v>
      </c>
      <c r="BK32" s="67" t="n">
        <f aca="false">IF(AND(BI32&gt;0,BJ31&gt;0,B32&gt;0),MIN(conv_cap,conv_beta*1*BI32*MAX(0,LN(B32/(BJ31*BL31)))),0)</f>
        <v>0.00106481861648637</v>
      </c>
      <c r="BL32" s="68" t="n">
        <f aca="false">BL31*(1+BK32)</f>
        <v>1.00206624647573</v>
      </c>
      <c r="BM32" s="50" t="n">
        <f aca="false">BH32*BL32</f>
        <v>1082.23154619379</v>
      </c>
      <c r="BN32" s="70" t="n">
        <f aca="false">IF(BG32&gt;0,BM32*1000000/BG32/Economy!Q32,0)</f>
        <v>0.2780299412187</v>
      </c>
      <c r="BO32" s="48" t="n">
        <v>12100000</v>
      </c>
      <c r="BP32" s="48" t="n">
        <v>520</v>
      </c>
      <c r="BQ32" s="71" t="n">
        <v>0</v>
      </c>
      <c r="BR32" s="50" t="n">
        <f aca="false">IF(BO32&gt;0,BP32*1000000/BO32,0)</f>
        <v>42.9752066115703</v>
      </c>
      <c r="BS32" s="67" t="n">
        <f aca="false">IF(AND(BQ32&gt;0,BR31&gt;0,B32&gt;0),MIN(conv_cap,conv_beta*1*BQ32*MAX(0,LN(B32/(BR31*BT31)))),0)</f>
        <v>0</v>
      </c>
      <c r="BT32" s="68" t="n">
        <f aca="false">BT31*(1+BS32)</f>
        <v>1</v>
      </c>
      <c r="BU32" s="50"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1.01395043453546</v>
      </c>
      <c r="BX32" s="66" t="n">
        <f aca="false">MIN(mkt_cap,mkt_elast*MAX(0,BW32-1))</f>
        <v>0.00697521726773154</v>
      </c>
      <c r="BY32" s="50" t="n">
        <f aca="false">I32+Q32+Y32+AG32</f>
        <v>498.265473452671</v>
      </c>
      <c r="BZ32" s="50" t="n">
        <f aca="false">D32+L32+T32+AB32</f>
        <v>479</v>
      </c>
      <c r="CA32" s="68" t="n">
        <f aca="false">IF(BZ32&gt;0,BY32/BZ32,0)</f>
        <v>1.04022019509952</v>
      </c>
    </row>
    <row r="33" customFormat="false" ht="14.25" hidden="false" customHeight="false" outlineLevel="0" collapsed="false">
      <c r="A33" s="61" t="n">
        <v>1873</v>
      </c>
      <c r="B33" s="50" t="n">
        <f aca="false">Economy!P32</f>
        <v>304.479149151138</v>
      </c>
      <c r="C33" s="48" t="n">
        <v>35340000</v>
      </c>
      <c r="D33" s="65" t="n">
        <f aca="false">Japan!B33</f>
        <v>486</v>
      </c>
      <c r="E33" s="71" t="n">
        <v>0.342</v>
      </c>
      <c r="F33" s="50" t="n">
        <f aca="false">IF(C33&gt;0,D33*1000000/C33,0)</f>
        <v>13.7521222410866</v>
      </c>
      <c r="G33" s="67" t="n">
        <f aca="false">IF(AND(E33&gt;0,F32&gt;0,B33&gt;0),MIN(conv_cap,conv_beta*jp_uplift*E33*MAX(0,LN(B33/(F32*H32)))),0)</f>
        <v>0.0104904350435942</v>
      </c>
      <c r="H33" s="68" t="n">
        <f aca="false">H32*(1+G33)</f>
        <v>1.05113255748725</v>
      </c>
      <c r="I33" s="50" t="n">
        <f aca="false">D33*H33</f>
        <v>510.850422938803</v>
      </c>
      <c r="J33" s="70" t="n">
        <f aca="false">IF(C33&gt;0,I33*1000000/C33/Economy!Q33,0)</f>
        <v>0.0830764564491415</v>
      </c>
      <c r="K33" s="65" t="n">
        <f aca="false">Gulf!B33</f>
        <v>0</v>
      </c>
      <c r="L33" s="50" t="n">
        <f aca="false">Gulf!B33*Gulf!C33*Economy!Q33/1000000</f>
        <v>0</v>
      </c>
      <c r="M33" s="71" t="n">
        <v>0</v>
      </c>
      <c r="N33" s="50" t="n">
        <f aca="false">IF(K33&gt;0,L33*1000000/K33,0)</f>
        <v>0</v>
      </c>
      <c r="O33" s="67" t="n">
        <f aca="false">IF(AND(M33&gt;0,N32&gt;0,B33&gt;0),MIN(conv_cap,conv_beta*1*M33*MAX(0,LN(B33/(N32*P32)))),0)</f>
        <v>0</v>
      </c>
      <c r="P33" s="68" t="n">
        <f aca="false">P32*(1+O33)</f>
        <v>1</v>
      </c>
      <c r="Q33" s="50" t="n">
        <f aca="false">L33*P33</f>
        <v>0</v>
      </c>
      <c r="R33" s="70" t="n">
        <f aca="false">IF(K33&gt;0,Q33*1000000/K33/Economy!Q33,0)</f>
        <v>0</v>
      </c>
      <c r="S33" s="65" t="n">
        <f aca="false">People!U33</f>
        <v>0</v>
      </c>
      <c r="T33" s="48" t="n">
        <v>0</v>
      </c>
      <c r="U33" s="71" t="n">
        <v>0</v>
      </c>
      <c r="V33" s="50" t="n">
        <f aca="false">IF(S33&gt;0,T33*1000000/S33,0)</f>
        <v>0</v>
      </c>
      <c r="W33" s="67" t="n">
        <f aca="false">IF(AND(U33&gt;0,V32&gt;0,B33&gt;0),MIN(conv_cap,conv_beta*1*U33*MAX(0,LN(B33/(V32*X32)))),0)</f>
        <v>0</v>
      </c>
      <c r="X33" s="68" t="n">
        <f aca="false">X32*(1+W33)</f>
        <v>1</v>
      </c>
      <c r="Y33" s="50" t="n">
        <f aca="false">T33*X33</f>
        <v>0</v>
      </c>
      <c r="Z33" s="70" t="n">
        <f aca="false">IF(S33&gt;0,Y33*1000000/S33/Economy!Q33,0)</f>
        <v>0</v>
      </c>
      <c r="AA33" s="48" t="n">
        <v>0</v>
      </c>
      <c r="AB33" s="48" t="n">
        <v>0</v>
      </c>
      <c r="AC33" s="71" t="n">
        <v>0</v>
      </c>
      <c r="AD33" s="50" t="n">
        <f aca="false">IF(AA33&gt;0,AB33*1000000/AA33,0)</f>
        <v>0</v>
      </c>
      <c r="AE33" s="67" t="n">
        <f aca="false">IF(AND(AC33&gt;0,AD32&gt;0,B33&gt;0),MIN(conv_cap,conv_beta*1*AC33*MAX(0,LN(B33/(AD32*AF32)))),0)</f>
        <v>0</v>
      </c>
      <c r="AF33" s="68" t="n">
        <f aca="false">AF32*(1+AE33)</f>
        <v>1</v>
      </c>
      <c r="AG33" s="50" t="n">
        <f aca="false">AB33*AF33</f>
        <v>0</v>
      </c>
      <c r="AH33" s="70" t="n">
        <f aca="false">IF(AA33&gt;0,AG33*1000000/AA33/Economy!Q33,0)</f>
        <v>0</v>
      </c>
      <c r="AI33" s="48" t="n">
        <v>362200000</v>
      </c>
      <c r="AJ33" s="48" t="n">
        <v>3550</v>
      </c>
      <c r="AK33" s="71" t="n">
        <v>0.092</v>
      </c>
      <c r="AL33" s="50" t="n">
        <f aca="false">IF(AI33&gt;0,AJ33*1000000/AI33,0)</f>
        <v>9.80121479845389</v>
      </c>
      <c r="AM33" s="67" t="n">
        <f aca="false">IF(AND(AK33&gt;0,AL32&gt;0,B33&gt;0),MIN(conv_cap,conv_beta*1*AK33*MAX(0,LN(B33/(AL32*AN32)))),0)</f>
        <v>0.00313995856634707</v>
      </c>
      <c r="AN33" s="68" t="n">
        <f aca="false">AN32*(1+AM33)</f>
        <v>1.02753255177958</v>
      </c>
      <c r="AO33" s="50" t="n">
        <f aca="false">AJ33*AN33</f>
        <v>3647.74055881749</v>
      </c>
      <c r="AP33" s="70" t="n">
        <f aca="false">IF(AI33&gt;0,AO33*1000000/AI33/Economy!Q33,0)</f>
        <v>0.0578796968528452</v>
      </c>
      <c r="AQ33" s="48" t="n">
        <v>10200000</v>
      </c>
      <c r="AR33" s="48" t="n">
        <v>160</v>
      </c>
      <c r="AS33" s="71" t="n">
        <v>0</v>
      </c>
      <c r="AT33" s="50" t="n">
        <f aca="false">IF(AQ33&gt;0,AR33*1000000/AQ33,0)</f>
        <v>15.6862745098039</v>
      </c>
      <c r="AU33" s="67" t="n">
        <f aca="false">IF(AND(AS33&gt;0,AT32&gt;0,B33&gt;0),MIN(conv_cap,conv_beta*1*AS33*MAX(0,LN(B33/(AT32*AV32)))),0)</f>
        <v>0</v>
      </c>
      <c r="AV33" s="68" t="n">
        <f aca="false">AV32*(1+AU33)</f>
        <v>1</v>
      </c>
      <c r="AW33" s="50" t="n">
        <f aca="false">AR33*AV33</f>
        <v>160</v>
      </c>
      <c r="AX33" s="70" t="n">
        <f aca="false">IF(AQ33&gt;0,AW33*1000000/AQ33/Economy!Q33,0)</f>
        <v>0.0901510029299076</v>
      </c>
      <c r="AY33" s="48" t="n">
        <v>53000000</v>
      </c>
      <c r="AZ33" s="48" t="n">
        <v>1010</v>
      </c>
      <c r="BA33" s="71" t="n">
        <v>0</v>
      </c>
      <c r="BB33" s="50" t="n">
        <f aca="false">IF(AY33&gt;0,AZ33*1000000/AY33,0)</f>
        <v>19.0566037735849</v>
      </c>
      <c r="BC33" s="67" t="n">
        <f aca="false">IF(AND(BA33&gt;0,BB32&gt;0,B33&gt;0),MIN(conv_cap,conv_beta*1*BA33*MAX(0,LN(B33/(BB32*BD32)))),0)</f>
        <v>0</v>
      </c>
      <c r="BD33" s="68" t="n">
        <f aca="false">BD32*(1+BC33)</f>
        <v>1</v>
      </c>
      <c r="BE33" s="50" t="n">
        <f aca="false">AZ33*BD33</f>
        <v>1010</v>
      </c>
      <c r="BF33" s="70" t="n">
        <f aca="false">IF(AY33&gt;0,BE33*1000000/AY33/Economy!Q33,0)</f>
        <v>0.109520711342442</v>
      </c>
      <c r="BG33" s="48" t="n">
        <v>22800000</v>
      </c>
      <c r="BH33" s="48" t="n">
        <v>1120</v>
      </c>
      <c r="BI33" s="71" t="n">
        <v>0.06</v>
      </c>
      <c r="BJ33" s="50" t="n">
        <f aca="false">IF(BG33&gt;0,BH33*1000000/BG33,0)</f>
        <v>49.1228070175439</v>
      </c>
      <c r="BK33" s="67" t="n">
        <f aca="false">IF(AND(BI33&gt;0,BJ32&gt;0,B33&gt;0),MIN(conv_cap,conv_beta*1*BI33*MAX(0,LN(B33/(BJ32*BL32)))),0)</f>
        <v>0.00110720249008734</v>
      </c>
      <c r="BL33" s="68" t="n">
        <f aca="false">BL32*(1+BK33)</f>
        <v>1.00317573671906</v>
      </c>
      <c r="BM33" s="50" t="n">
        <f aca="false">BH33*BL33</f>
        <v>1123.55682512535</v>
      </c>
      <c r="BN33" s="70" t="n">
        <f aca="false">IF(BG33&gt;0,BM33*1000000/BG33/Economy!Q33,0)</f>
        <v>0.283211540916855</v>
      </c>
      <c r="BO33" s="48" t="n">
        <v>12200000</v>
      </c>
      <c r="BP33" s="48" t="n">
        <v>530</v>
      </c>
      <c r="BQ33" s="71" t="n">
        <v>0</v>
      </c>
      <c r="BR33" s="50" t="n">
        <f aca="false">IF(BO33&gt;0,BP33*1000000/BO33,0)</f>
        <v>43.4426229508197</v>
      </c>
      <c r="BS33" s="67" t="n">
        <f aca="false">IF(AND(BQ33&gt;0,BR32&gt;0,B33&gt;0),MIN(conv_cap,conv_beta*1*BQ33*MAX(0,LN(B33/(BR32*BT32)))),0)</f>
        <v>0</v>
      </c>
      <c r="BT33" s="68" t="n">
        <f aca="false">BT32*(1+BS33)</f>
        <v>1</v>
      </c>
      <c r="BU33" s="50"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1.01729411054504</v>
      </c>
      <c r="BX33" s="66" t="n">
        <f aca="false">MIN(mkt_cap,mkt_elast*MAX(0,BW33-1))</f>
        <v>0.00864705527251808</v>
      </c>
      <c r="BY33" s="50" t="n">
        <f aca="false">I33+Q33+Y33+AG33</f>
        <v>510.850422938803</v>
      </c>
      <c r="BZ33" s="50" t="n">
        <f aca="false">D33+L33+T33+AB33</f>
        <v>486</v>
      </c>
      <c r="CA33" s="68" t="n">
        <f aca="false">IF(BZ33&gt;0,BY33/BZ33,0)</f>
        <v>1.05113255748725</v>
      </c>
    </row>
    <row r="34" customFormat="false" ht="14.25" hidden="false" customHeight="false" outlineLevel="0" collapsed="false">
      <c r="A34" s="61" t="n">
        <v>1874</v>
      </c>
      <c r="B34" s="50" t="n">
        <f aca="false">Economy!P33</f>
        <v>302.547176839066</v>
      </c>
      <c r="C34" s="48" t="n">
        <v>35520000</v>
      </c>
      <c r="D34" s="65" t="n">
        <f aca="false">Japan!B34</f>
        <v>493</v>
      </c>
      <c r="E34" s="71" t="n">
        <v>0.35</v>
      </c>
      <c r="F34" s="50" t="n">
        <f aca="false">IF(C34&gt;0,D34*1000000/C34,0)</f>
        <v>13.8795045045045</v>
      </c>
      <c r="G34" s="67" t="n">
        <f aca="false">IF(AND(E34&gt;0,F33&gt;0,B34&gt;0),MIN(conv_cap,conv_beta*jp_uplift*E34*MAX(0,LN(B34/(F33*H33)))),0)</f>
        <v>0.0106441154951119</v>
      </c>
      <c r="H34" s="68" t="n">
        <f aca="false">H33*(1+G34)</f>
        <v>1.06232093382982</v>
      </c>
      <c r="I34" s="50" t="n">
        <f aca="false">D34*H34</f>
        <v>523.724220378099</v>
      </c>
      <c r="J34" s="70" t="n">
        <f aca="false">IF(C34&gt;0,I34*1000000/C34/Economy!Q34,0)</f>
        <v>0.0847384378524159</v>
      </c>
      <c r="K34" s="65" t="n">
        <f aca="false">Gulf!B34</f>
        <v>0</v>
      </c>
      <c r="L34" s="50" t="n">
        <f aca="false">Gulf!B34*Gulf!C34*Economy!Q34/1000000</f>
        <v>0</v>
      </c>
      <c r="M34" s="71" t="n">
        <v>0</v>
      </c>
      <c r="N34" s="50" t="n">
        <f aca="false">IF(K34&gt;0,L34*1000000/K34,0)</f>
        <v>0</v>
      </c>
      <c r="O34" s="67" t="n">
        <f aca="false">IF(AND(M34&gt;0,N33&gt;0,B34&gt;0),MIN(conv_cap,conv_beta*1*M34*MAX(0,LN(B34/(N33*P33)))),0)</f>
        <v>0</v>
      </c>
      <c r="P34" s="68" t="n">
        <f aca="false">P33*(1+O34)</f>
        <v>1</v>
      </c>
      <c r="Q34" s="50" t="n">
        <f aca="false">L34*P34</f>
        <v>0</v>
      </c>
      <c r="R34" s="70" t="n">
        <f aca="false">IF(K34&gt;0,Q34*1000000/K34/Economy!Q34,0)</f>
        <v>0</v>
      </c>
      <c r="S34" s="65" t="n">
        <f aca="false">People!U34</f>
        <v>0</v>
      </c>
      <c r="T34" s="48" t="n">
        <v>0</v>
      </c>
      <c r="U34" s="71" t="n">
        <v>0</v>
      </c>
      <c r="V34" s="50" t="n">
        <f aca="false">IF(S34&gt;0,T34*1000000/S34,0)</f>
        <v>0</v>
      </c>
      <c r="W34" s="67" t="n">
        <f aca="false">IF(AND(U34&gt;0,V33&gt;0,B34&gt;0),MIN(conv_cap,conv_beta*1*U34*MAX(0,LN(B34/(V33*X33)))),0)</f>
        <v>0</v>
      </c>
      <c r="X34" s="68" t="n">
        <f aca="false">X33*(1+W34)</f>
        <v>1</v>
      </c>
      <c r="Y34" s="50" t="n">
        <f aca="false">T34*X34</f>
        <v>0</v>
      </c>
      <c r="Z34" s="70" t="n">
        <f aca="false">IF(S34&gt;0,Y34*1000000/S34/Economy!Q34,0)</f>
        <v>0</v>
      </c>
      <c r="AA34" s="48" t="n">
        <v>0</v>
      </c>
      <c r="AB34" s="48" t="n">
        <v>0</v>
      </c>
      <c r="AC34" s="71" t="n">
        <v>0</v>
      </c>
      <c r="AD34" s="50" t="n">
        <f aca="false">IF(AA34&gt;0,AB34*1000000/AA34,0)</f>
        <v>0</v>
      </c>
      <c r="AE34" s="67" t="n">
        <f aca="false">IF(AND(AC34&gt;0,AD33&gt;0,B34&gt;0),MIN(conv_cap,conv_beta*1*AC34*MAX(0,LN(B34/(AD33*AF33)))),0)</f>
        <v>0</v>
      </c>
      <c r="AF34" s="68" t="n">
        <f aca="false">AF33*(1+AE34)</f>
        <v>1</v>
      </c>
      <c r="AG34" s="50" t="n">
        <f aca="false">AB34*AF34</f>
        <v>0</v>
      </c>
      <c r="AH34" s="70" t="n">
        <f aca="false">IF(AA34&gt;0,AG34*1000000/AA34/Economy!Q34,0)</f>
        <v>0</v>
      </c>
      <c r="AI34" s="48" t="n">
        <v>363600000</v>
      </c>
      <c r="AJ34" s="48" t="n">
        <v>3567</v>
      </c>
      <c r="AK34" s="71" t="n">
        <v>0.096</v>
      </c>
      <c r="AL34" s="50" t="n">
        <f aca="false">IF(AI34&gt;0,AJ34*1000000/AI34,0)</f>
        <v>9.81023102310231</v>
      </c>
      <c r="AM34" s="67" t="n">
        <f aca="false">IF(AND(AK34&gt;0,AL33&gt;0,B34&gt;0),MIN(conv_cap,conv_beta*1*AK34*MAX(0,LN(B34/(AL33*AN33)))),0)</f>
        <v>0.00326646771583976</v>
      </c>
      <c r="AN34" s="68" t="n">
        <f aca="false">AN33*(1+AM34)</f>
        <v>1.03088895368694</v>
      </c>
      <c r="AO34" s="50" t="n">
        <f aca="false">AJ34*AN34</f>
        <v>3677.18089780131</v>
      </c>
      <c r="AP34" s="70" t="n">
        <f aca="false">IF(AI34&gt;0,AO34*1000000/AI34/Economy!Q34,0)</f>
        <v>0.0581221769817993</v>
      </c>
      <c r="AQ34" s="48" t="n">
        <v>10270000</v>
      </c>
      <c r="AR34" s="48" t="n">
        <v>163</v>
      </c>
      <c r="AS34" s="71" t="n">
        <v>0</v>
      </c>
      <c r="AT34" s="50" t="n">
        <f aca="false">IF(AQ34&gt;0,AR34*1000000/AQ34,0)</f>
        <v>15.8714703018501</v>
      </c>
      <c r="AU34" s="67" t="n">
        <f aca="false">IF(AND(AS34&gt;0,AT33&gt;0,B34&gt;0),MIN(conv_cap,conv_beta*1*AS34*MAX(0,LN(B34/(AT33*AV33)))),0)</f>
        <v>0</v>
      </c>
      <c r="AV34" s="68" t="n">
        <f aca="false">AV33*(1+AU34)</f>
        <v>1</v>
      </c>
      <c r="AW34" s="50" t="n">
        <f aca="false">AR34*AV34</f>
        <v>163</v>
      </c>
      <c r="AX34" s="70" t="n">
        <f aca="false">IF(AQ34&gt;0,AW34*1000000/AQ34/Economy!Q34,0)</f>
        <v>0.0912153465623566</v>
      </c>
      <c r="AY34" s="48" t="n">
        <v>54000000</v>
      </c>
      <c r="AZ34" s="48" t="n">
        <v>1047</v>
      </c>
      <c r="BA34" s="71" t="n">
        <v>0</v>
      </c>
      <c r="BB34" s="50" t="n">
        <f aca="false">IF(AY34&gt;0,AZ34*1000000/AY34,0)</f>
        <v>19.3888888888889</v>
      </c>
      <c r="BC34" s="67" t="n">
        <f aca="false">IF(AND(BA34&gt;0,BB33&gt;0,B34&gt;0),MIN(conv_cap,conv_beta*1*BA34*MAX(0,LN(B34/(BB33*BD33)))),0)</f>
        <v>0</v>
      </c>
      <c r="BD34" s="68" t="n">
        <f aca="false">BD33*(1+BC34)</f>
        <v>1</v>
      </c>
      <c r="BE34" s="50" t="n">
        <f aca="false">AZ34*BD34</f>
        <v>1047</v>
      </c>
      <c r="BF34" s="70" t="n">
        <f aca="false">IF(AY34&gt;0,BE34*1000000/AY34/Economy!Q34,0)</f>
        <v>0.111430395913155</v>
      </c>
      <c r="BG34" s="48" t="n">
        <v>23100000</v>
      </c>
      <c r="BH34" s="48" t="n">
        <v>1160</v>
      </c>
      <c r="BI34" s="71" t="n">
        <v>0.063</v>
      </c>
      <c r="BJ34" s="50" t="n">
        <f aca="false">IF(BG34&gt;0,BH34*1000000/BG34,0)</f>
        <v>50.2164502164502</v>
      </c>
      <c r="BK34" s="67" t="n">
        <f aca="false">IF(AND(BI34&gt;0,BJ33&gt;0,B34&gt;0),MIN(conv_cap,conv_beta*1*BI34*MAX(0,LN(B34/(BJ33*BL33)))),0)</f>
        <v>0.00114328814591694</v>
      </c>
      <c r="BL34" s="68" t="n">
        <f aca="false">BL33*(1+BK34)</f>
        <v>1.00432265564712</v>
      </c>
      <c r="BM34" s="50" t="n">
        <f aca="false">BH34*BL34</f>
        <v>1165.01428055066</v>
      </c>
      <c r="BN34" s="70" t="n">
        <f aca="false">IF(BG34&gt;0,BM34*1000000/BG34/Economy!Q34,0)</f>
        <v>0.289847808267568</v>
      </c>
      <c r="BO34" s="48" t="n">
        <v>12300000</v>
      </c>
      <c r="BP34" s="48" t="n">
        <v>540</v>
      </c>
      <c r="BQ34" s="71" t="n">
        <v>0</v>
      </c>
      <c r="BR34" s="50" t="n">
        <f aca="false">IF(BO34&gt;0,BP34*1000000/BO34,0)</f>
        <v>43.9024390243903</v>
      </c>
      <c r="BS34" s="67" t="n">
        <f aca="false">IF(AND(BQ34&gt;0,BR33&gt;0,B34&gt;0),MIN(conv_cap,conv_beta*1*BQ34*MAX(0,LN(B34/(BR33*BT33)))),0)</f>
        <v>0</v>
      </c>
      <c r="BT34" s="68" t="n">
        <f aca="false">BT33*(1+BS34)</f>
        <v>1</v>
      </c>
      <c r="BU34" s="50"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1.02073229518815</v>
      </c>
      <c r="BX34" s="66" t="n">
        <f aca="false">MIN(mkt_cap,mkt_elast*MAX(0,BW34-1))</f>
        <v>0.0103661475940748</v>
      </c>
      <c r="BY34" s="50" t="n">
        <f aca="false">I34+Q34+Y34+AG34</f>
        <v>523.724220378099</v>
      </c>
      <c r="BZ34" s="50" t="n">
        <f aca="false">D34+L34+T34+AB34</f>
        <v>493</v>
      </c>
      <c r="CA34" s="68" t="n">
        <f aca="false">IF(BZ34&gt;0,BY34/BZ34,0)</f>
        <v>1.06232093382982</v>
      </c>
    </row>
    <row r="35" customFormat="false" ht="14.25" hidden="false" customHeight="false" outlineLevel="0" collapsed="false">
      <c r="A35" s="61" t="n">
        <v>1875</v>
      </c>
      <c r="B35" s="50" t="n">
        <f aca="false">Economy!P34</f>
        <v>301.497354056991</v>
      </c>
      <c r="C35" s="48" t="n">
        <v>35700000</v>
      </c>
      <c r="D35" s="65" t="n">
        <f aca="false">Japan!B35</f>
        <v>500</v>
      </c>
      <c r="E35" s="71" t="n">
        <v>0.358</v>
      </c>
      <c r="F35" s="50" t="n">
        <f aca="false">IF(C35&gt;0,D35*1000000/C35,0)</f>
        <v>14.0056022408964</v>
      </c>
      <c r="G35" s="67" t="n">
        <f aca="false">IF(AND(E35&gt;0,F34&gt;0,B35&gt;0),MIN(conv_cap,conv_beta*jp_uplift*E35*MAX(0,LN(B35/(F34*H34)))),0)</f>
        <v>0.0108040530361264</v>
      </c>
      <c r="H35" s="68" t="n">
        <f aca="false">H34*(1+G35)</f>
        <v>1.0737983055403</v>
      </c>
      <c r="I35" s="50" t="n">
        <f aca="false">D35*H35</f>
        <v>536.89915277015</v>
      </c>
      <c r="J35" s="70" t="n">
        <f aca="false">IF(C35&gt;0,I35*1000000/C35/Economy!Q35,0)</f>
        <v>0.0859382397391197</v>
      </c>
      <c r="K35" s="65" t="n">
        <f aca="false">Gulf!B35</f>
        <v>0</v>
      </c>
      <c r="L35" s="50" t="n">
        <f aca="false">Gulf!B35*Gulf!C35*Economy!Q35/1000000</f>
        <v>0</v>
      </c>
      <c r="M35" s="71" t="n">
        <v>0</v>
      </c>
      <c r="N35" s="50" t="n">
        <f aca="false">IF(K35&gt;0,L35*1000000/K35,0)</f>
        <v>0</v>
      </c>
      <c r="O35" s="67" t="n">
        <f aca="false">IF(AND(M35&gt;0,N34&gt;0,B35&gt;0),MIN(conv_cap,conv_beta*1*M35*MAX(0,LN(B35/(N34*P34)))),0)</f>
        <v>0</v>
      </c>
      <c r="P35" s="68" t="n">
        <f aca="false">P34*(1+O35)</f>
        <v>1</v>
      </c>
      <c r="Q35" s="50" t="n">
        <f aca="false">L35*P35</f>
        <v>0</v>
      </c>
      <c r="R35" s="70" t="n">
        <f aca="false">IF(K35&gt;0,Q35*1000000/K35/Economy!Q35,0)</f>
        <v>0</v>
      </c>
      <c r="S35" s="65" t="n">
        <f aca="false">People!U35</f>
        <v>0</v>
      </c>
      <c r="T35" s="48" t="n">
        <v>0</v>
      </c>
      <c r="U35" s="71" t="n">
        <v>0</v>
      </c>
      <c r="V35" s="50" t="n">
        <f aca="false">IF(S35&gt;0,T35*1000000/S35,0)</f>
        <v>0</v>
      </c>
      <c r="W35" s="67" t="n">
        <f aca="false">IF(AND(U35&gt;0,V34&gt;0,B35&gt;0),MIN(conv_cap,conv_beta*1*U35*MAX(0,LN(B35/(V34*X34)))),0)</f>
        <v>0</v>
      </c>
      <c r="X35" s="68" t="n">
        <f aca="false">X34*(1+W35)</f>
        <v>1</v>
      </c>
      <c r="Y35" s="50" t="n">
        <f aca="false">T35*X35</f>
        <v>0</v>
      </c>
      <c r="Z35" s="70" t="n">
        <f aca="false">IF(S35&gt;0,Y35*1000000/S35/Economy!Q35,0)</f>
        <v>0</v>
      </c>
      <c r="AA35" s="48" t="n">
        <v>0</v>
      </c>
      <c r="AB35" s="48" t="n">
        <v>0</v>
      </c>
      <c r="AC35" s="71" t="n">
        <v>0</v>
      </c>
      <c r="AD35" s="50" t="n">
        <f aca="false">IF(AA35&gt;0,AB35*1000000/AA35,0)</f>
        <v>0</v>
      </c>
      <c r="AE35" s="67" t="n">
        <f aca="false">IF(AND(AC35&gt;0,AD34&gt;0,B35&gt;0),MIN(conv_cap,conv_beta*1*AC35*MAX(0,LN(B35/(AD34*AF34)))),0)</f>
        <v>0</v>
      </c>
      <c r="AF35" s="68" t="n">
        <f aca="false">AF34*(1+AE35)</f>
        <v>1</v>
      </c>
      <c r="AG35" s="50" t="n">
        <f aca="false">AB35*AF35</f>
        <v>0</v>
      </c>
      <c r="AH35" s="70" t="n">
        <f aca="false">IF(AA35&gt;0,AG35*1000000/AA35/Economy!Q35,0)</f>
        <v>0</v>
      </c>
      <c r="AI35" s="48" t="n">
        <v>365000000</v>
      </c>
      <c r="AJ35" s="48" t="n">
        <v>3583</v>
      </c>
      <c r="AK35" s="71" t="n">
        <v>0.1</v>
      </c>
      <c r="AL35" s="50" t="n">
        <f aca="false">IF(AI35&gt;0,AJ35*1000000/AI35,0)</f>
        <v>9.81643835616438</v>
      </c>
      <c r="AM35" s="67" t="n">
        <f aca="false">IF(AND(AK35&gt;0,AL34&gt;0,B35&gt;0),MIN(conv_cap,conv_beta*1*AK35*MAX(0,LN(B35/(AL34*AN34)))),0)</f>
        <v>0.00339491392529297</v>
      </c>
      <c r="AN35" s="68" t="n">
        <f aca="false">AN34*(1+AM35)</f>
        <v>1.03438873295124</v>
      </c>
      <c r="AO35" s="50" t="n">
        <f aca="false">AJ35*AN35</f>
        <v>3706.21483016429</v>
      </c>
      <c r="AP35" s="70" t="n">
        <f aca="false">IF(AI35&gt;0,AO35*1000000/AI35/Economy!Q35,0)</f>
        <v>0.0580229327618676</v>
      </c>
      <c r="AQ35" s="48" t="n">
        <v>10330000</v>
      </c>
      <c r="AR35" s="48" t="n">
        <v>167</v>
      </c>
      <c r="AS35" s="71" t="n">
        <v>0</v>
      </c>
      <c r="AT35" s="50" t="n">
        <f aca="false">IF(AQ35&gt;0,AR35*1000000/AQ35,0)</f>
        <v>16.1665053242982</v>
      </c>
      <c r="AU35" s="67" t="n">
        <f aca="false">IF(AND(AS35&gt;0,AT34&gt;0,B35&gt;0),MIN(conv_cap,conv_beta*1*AS35*MAX(0,LN(B35/(AT34*AV34)))),0)</f>
        <v>0</v>
      </c>
      <c r="AV35" s="68" t="n">
        <f aca="false">AV34*(1+AU35)</f>
        <v>1</v>
      </c>
      <c r="AW35" s="50" t="n">
        <f aca="false">AR35*AV35</f>
        <v>167</v>
      </c>
      <c r="AX35" s="70" t="n">
        <f aca="false">IF(AQ35&gt;0,AW35*1000000/AQ35/Economy!Q35,0)</f>
        <v>0.0923800304245609</v>
      </c>
      <c r="AY35" s="48" t="n">
        <v>55000000</v>
      </c>
      <c r="AZ35" s="48" t="n">
        <v>1083</v>
      </c>
      <c r="BA35" s="71" t="n">
        <v>0</v>
      </c>
      <c r="BB35" s="50" t="n">
        <f aca="false">IF(AY35&gt;0,AZ35*1000000/AY35,0)</f>
        <v>19.6909090909091</v>
      </c>
      <c r="BC35" s="67" t="n">
        <f aca="false">IF(AND(BA35&gt;0,BB34&gt;0,B35&gt;0),MIN(conv_cap,conv_beta*1*BA35*MAX(0,LN(B35/(BB34*BD34)))),0)</f>
        <v>0</v>
      </c>
      <c r="BD35" s="68" t="n">
        <f aca="false">BD34*(1+BC35)</f>
        <v>1</v>
      </c>
      <c r="BE35" s="50" t="n">
        <f aca="false">AZ35*BD35</f>
        <v>1083</v>
      </c>
      <c r="BF35" s="70" t="n">
        <f aca="false">IF(AY35&gt;0,BE35*1000000/AY35/Economy!Q35,0)</f>
        <v>0.112519480519481</v>
      </c>
      <c r="BG35" s="48" t="n">
        <v>23300000</v>
      </c>
      <c r="BH35" s="48" t="n">
        <v>1200</v>
      </c>
      <c r="BI35" s="71" t="n">
        <v>0.067</v>
      </c>
      <c r="BJ35" s="50" t="n">
        <f aca="false">IF(BG35&gt;0,BH35*1000000/BG35,0)</f>
        <v>51.5021459227468</v>
      </c>
      <c r="BK35" s="67" t="n">
        <f aca="false">IF(AND(BI35&gt;0,BJ34&gt;0,B35&gt;0),MIN(conv_cap,conv_beta*1*BI35*MAX(0,LN(B35/(BJ34*BL34)))),0)</f>
        <v>0.00119803050665808</v>
      </c>
      <c r="BL35" s="68" t="n">
        <f aca="false">BL34*(1+BK35)</f>
        <v>1.00552586482712</v>
      </c>
      <c r="BM35" s="50" t="n">
        <f aca="false">BH35*BL35</f>
        <v>1206.63103779254</v>
      </c>
      <c r="BN35" s="70" t="n">
        <f aca="false">IF(BG35&gt;0,BM35*1000000/BG35/Economy!Q35,0)</f>
        <v>0.295924227539556</v>
      </c>
      <c r="BO35" s="48" t="n">
        <v>12300000</v>
      </c>
      <c r="BP35" s="48" t="n">
        <v>550</v>
      </c>
      <c r="BQ35" s="71" t="n">
        <v>0</v>
      </c>
      <c r="BR35" s="50" t="n">
        <f aca="false">IF(BO35&gt;0,BP35*1000000/BO35,0)</f>
        <v>44.7154471544716</v>
      </c>
      <c r="BS35" s="67" t="n">
        <f aca="false">IF(AND(BQ35&gt;0,BR34&gt;0,B35&gt;0),MIN(conv_cap,conv_beta*1*BQ35*MAX(0,LN(B35/(BR34*BT34)))),0)</f>
        <v>0</v>
      </c>
      <c r="BT35" s="68" t="n">
        <f aca="false">BT34*(1+BS35)</f>
        <v>1</v>
      </c>
      <c r="BU35" s="50"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1.02427099010702</v>
      </c>
      <c r="BX35" s="66" t="n">
        <f aca="false">MIN(mkt_cap,mkt_elast*MAX(0,BW35-1))</f>
        <v>0.0121354950535075</v>
      </c>
      <c r="BY35" s="50" t="n">
        <f aca="false">I35+Q35+Y35+AG35</f>
        <v>536.89915277015</v>
      </c>
      <c r="BZ35" s="50" t="n">
        <f aca="false">D35+L35+T35+AB35</f>
        <v>500</v>
      </c>
      <c r="CA35" s="68" t="n">
        <f aca="false">IF(BZ35&gt;0,BY35/BZ35,0)</f>
        <v>1.0737983055403</v>
      </c>
    </row>
    <row r="36" customFormat="false" ht="14.25" hidden="false" customHeight="false" outlineLevel="0" collapsed="false">
      <c r="A36" s="61" t="n">
        <v>1876</v>
      </c>
      <c r="B36" s="50" t="n">
        <f aca="false">Economy!P35</f>
        <v>306.155891329889</v>
      </c>
      <c r="C36" s="48" t="n">
        <v>35880000</v>
      </c>
      <c r="D36" s="65" t="n">
        <f aca="false">Japan!B36</f>
        <v>520</v>
      </c>
      <c r="E36" s="71" t="n">
        <v>0.367</v>
      </c>
      <c r="F36" s="50" t="n">
        <f aca="false">IF(C36&gt;0,D36*1000000/C36,0)</f>
        <v>14.4927536231884</v>
      </c>
      <c r="G36" s="67" t="n">
        <f aca="false">IF(AND(E36&gt;0,F35&gt;0,B36&gt;0),MIN(conv_cap,conv_beta*jp_uplift*E36*MAX(0,LN(B36/(F35*H35)))),0)</f>
        <v>0.0110593058274919</v>
      </c>
      <c r="H36" s="68" t="n">
        <f aca="false">H35*(1+G36)</f>
        <v>1.08567376939831</v>
      </c>
      <c r="I36" s="50" t="n">
        <f aca="false">D36*H36</f>
        <v>564.550360087123</v>
      </c>
      <c r="J36" s="70" t="n">
        <f aca="false">IF(C36&gt;0,I36*1000000/C36/Economy!Q36,0)</f>
        <v>0.086452760742022</v>
      </c>
      <c r="K36" s="65" t="n">
        <f aca="false">Gulf!B36</f>
        <v>0</v>
      </c>
      <c r="L36" s="50" t="n">
        <f aca="false">Gulf!B36*Gulf!C36*Economy!Q36/1000000</f>
        <v>0</v>
      </c>
      <c r="M36" s="71" t="n">
        <v>0</v>
      </c>
      <c r="N36" s="50" t="n">
        <f aca="false">IF(K36&gt;0,L36*1000000/K36,0)</f>
        <v>0</v>
      </c>
      <c r="O36" s="67" t="n">
        <f aca="false">IF(AND(M36&gt;0,N35&gt;0,B36&gt;0),MIN(conv_cap,conv_beta*1*M36*MAX(0,LN(B36/(N35*P35)))),0)</f>
        <v>0</v>
      </c>
      <c r="P36" s="68" t="n">
        <f aca="false">P35*(1+O36)</f>
        <v>1</v>
      </c>
      <c r="Q36" s="50" t="n">
        <f aca="false">L36*P36</f>
        <v>0</v>
      </c>
      <c r="R36" s="70" t="n">
        <f aca="false">IF(K36&gt;0,Q36*1000000/K36/Economy!Q36,0)</f>
        <v>0</v>
      </c>
      <c r="S36" s="65" t="n">
        <f aca="false">People!U36</f>
        <v>6000000</v>
      </c>
      <c r="T36" s="48" t="n">
        <v>100</v>
      </c>
      <c r="U36" s="71" t="n">
        <v>0.3</v>
      </c>
      <c r="V36" s="50" t="n">
        <f aca="false">IF(S36&gt;0,T36*1000000/S36,0)</f>
        <v>16.6666666666667</v>
      </c>
      <c r="W36" s="67" t="n">
        <f aca="false">IF(AND(U36&gt;0,V35&gt;0,B36&gt;0),MIN(conv_cap,conv_beta*1*U36*MAX(0,LN(B36/(V35*X35)))),0)</f>
        <v>0</v>
      </c>
      <c r="X36" s="68" t="n">
        <f aca="false">X35*(1+W36)</f>
        <v>1</v>
      </c>
      <c r="Y36" s="50" t="n">
        <f aca="false">T36*X36</f>
        <v>100</v>
      </c>
      <c r="Z36" s="70" t="n">
        <f aca="false">IF(S36&gt;0,Y36*1000000/S36/Economy!Q36,0)</f>
        <v>0.0915750915750916</v>
      </c>
      <c r="AA36" s="48" t="n">
        <v>0</v>
      </c>
      <c r="AB36" s="48" t="n">
        <v>0</v>
      </c>
      <c r="AC36" s="71" t="n">
        <v>0</v>
      </c>
      <c r="AD36" s="50" t="n">
        <f aca="false">IF(AA36&gt;0,AB36*1000000/AA36,0)</f>
        <v>0</v>
      </c>
      <c r="AE36" s="67" t="n">
        <f aca="false">IF(AND(AC36&gt;0,AD35&gt;0,B36&gt;0),MIN(conv_cap,conv_beta*1*AC36*MAX(0,LN(B36/(AD35*AF35)))),0)</f>
        <v>0</v>
      </c>
      <c r="AF36" s="68" t="n">
        <f aca="false">AF35*(1+AE36)</f>
        <v>1</v>
      </c>
      <c r="AG36" s="50" t="n">
        <f aca="false">AB36*AF36</f>
        <v>0</v>
      </c>
      <c r="AH36" s="70" t="n">
        <f aca="false">IF(AA36&gt;0,AG36*1000000/AA36/Economy!Q36,0)</f>
        <v>0</v>
      </c>
      <c r="AI36" s="48" t="n">
        <v>366400000</v>
      </c>
      <c r="AJ36" s="48" t="n">
        <v>3600</v>
      </c>
      <c r="AK36" s="71" t="n">
        <v>0.104</v>
      </c>
      <c r="AL36" s="50" t="n">
        <f aca="false">IF(AI36&gt;0,AJ36*1000000/AI36,0)</f>
        <v>9.82532751091703</v>
      </c>
      <c r="AM36" s="67" t="n">
        <f aca="false">IF(AND(AK36&gt;0,AL35&gt;0,B36&gt;0),MIN(conv_cap,conv_beta*1*AK36*MAX(0,LN(B36/(AL35*AN35)))),0)</f>
        <v>0.00354247441728034</v>
      </c>
      <c r="AN36" s="68" t="n">
        <f aca="false">AN35*(1+AM36)</f>
        <v>1.03805302857524</v>
      </c>
      <c r="AO36" s="50" t="n">
        <f aca="false">AJ36*AN36</f>
        <v>3736.99090287088</v>
      </c>
      <c r="AP36" s="70" t="n">
        <f aca="false">IF(AI36&gt;0,AO36*1000000/AI36/Economy!Q36,0)</f>
        <v>0.0560396207662147</v>
      </c>
      <c r="AQ36" s="48" t="n">
        <v>10400000</v>
      </c>
      <c r="AR36" s="48" t="n">
        <v>170</v>
      </c>
      <c r="AS36" s="71" t="n">
        <v>0</v>
      </c>
      <c r="AT36" s="50" t="n">
        <f aca="false">IF(AQ36&gt;0,AR36*1000000/AQ36,0)</f>
        <v>16.3461538461538</v>
      </c>
      <c r="AU36" s="67" t="n">
        <f aca="false">IF(AND(AS36&gt;0,AT35&gt;0,B36&gt;0),MIN(conv_cap,conv_beta*1*AS36*MAX(0,LN(B36/(AT35*AV35)))),0)</f>
        <v>0</v>
      </c>
      <c r="AV36" s="68" t="n">
        <f aca="false">AV35*(1+AU36)</f>
        <v>1</v>
      </c>
      <c r="AW36" s="50" t="n">
        <f aca="false">AR36*AV36</f>
        <v>170</v>
      </c>
      <c r="AX36" s="70" t="n">
        <f aca="false">IF(AQ36&gt;0,AW36*1000000/AQ36/Economy!Q36,0)</f>
        <v>0.0898140321217244</v>
      </c>
      <c r="AY36" s="48" t="n">
        <v>56000000</v>
      </c>
      <c r="AZ36" s="48" t="n">
        <v>1120</v>
      </c>
      <c r="BA36" s="71" t="n">
        <v>0</v>
      </c>
      <c r="BB36" s="50" t="n">
        <f aca="false">IF(AY36&gt;0,AZ36*1000000/AY36,0)</f>
        <v>20</v>
      </c>
      <c r="BC36" s="67" t="n">
        <f aca="false">IF(AND(BA36&gt;0,BB35&gt;0,B36&gt;0),MIN(conv_cap,conv_beta*1*BA36*MAX(0,LN(B36/(BB35*BD35)))),0)</f>
        <v>0</v>
      </c>
      <c r="BD36" s="68" t="n">
        <f aca="false">BD35*(1+BC36)</f>
        <v>1</v>
      </c>
      <c r="BE36" s="50" t="n">
        <f aca="false">AZ36*BD36</f>
        <v>1120</v>
      </c>
      <c r="BF36" s="70" t="n">
        <f aca="false">IF(AY36&gt;0,BE36*1000000/AY36/Economy!Q36,0)</f>
        <v>0.10989010989011</v>
      </c>
      <c r="BG36" s="48" t="n">
        <v>23600000</v>
      </c>
      <c r="BH36" s="48" t="n">
        <v>1240</v>
      </c>
      <c r="BI36" s="71" t="n">
        <v>0.07</v>
      </c>
      <c r="BJ36" s="50" t="n">
        <f aca="false">IF(BG36&gt;0,BH36*1000000/BG36,0)</f>
        <v>52.5423728813559</v>
      </c>
      <c r="BK36" s="67" t="n">
        <f aca="false">IF(AND(BI36&gt;0,BJ35&gt;0,B36&gt;0),MIN(conv_cap,conv_beta*1*BI36*MAX(0,LN(B36/(BJ35*BL35)))),0)</f>
        <v>0.00124387220479552</v>
      </c>
      <c r="BL36" s="68" t="n">
        <f aca="false">BL35*(1+BK36)</f>
        <v>1.00677661050158</v>
      </c>
      <c r="BM36" s="50" t="n">
        <f aca="false">BH36*BL36</f>
        <v>1248.40299702196</v>
      </c>
      <c r="BN36" s="70" t="n">
        <f aca="false">IF(BG36&gt;0,BM36*1000000/BG36/Economy!Q36,0)</f>
        <v>0.29065072569891</v>
      </c>
      <c r="BO36" s="48" t="n">
        <v>12400000</v>
      </c>
      <c r="BP36" s="48" t="n">
        <v>560</v>
      </c>
      <c r="BQ36" s="71" t="n">
        <v>0</v>
      </c>
      <c r="BR36" s="50" t="n">
        <f aca="false">IF(BO36&gt;0,BP36*1000000/BO36,0)</f>
        <v>45.1612903225807</v>
      </c>
      <c r="BS36" s="67" t="n">
        <f aca="false">IF(AND(BQ36&gt;0,BR35&gt;0,B36&gt;0),MIN(conv_cap,conv_beta*1*BQ36*MAX(0,LN(B36/(BR35*BT35)))),0)</f>
        <v>0</v>
      </c>
      <c r="BT36" s="68" t="n">
        <f aca="false">BT35*(1+BS36)</f>
        <v>1</v>
      </c>
      <c r="BU36" s="50"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1.02793958989605</v>
      </c>
      <c r="BX36" s="66" t="n">
        <f aca="false">MIN(mkt_cap,mkt_elast*MAX(0,BW36-1))</f>
        <v>0.0139697949480271</v>
      </c>
      <c r="BY36" s="50" t="n">
        <f aca="false">I36+Q36+Y36+AG36</f>
        <v>664.550360087123</v>
      </c>
      <c r="BZ36" s="50" t="n">
        <f aca="false">D36+L36+T36+AB36</f>
        <v>620</v>
      </c>
      <c r="CA36" s="68" t="n">
        <f aca="false">IF(BZ36&gt;0,BY36/BZ36,0)</f>
        <v>1.07185541949536</v>
      </c>
    </row>
    <row r="37" customFormat="false" ht="14.25" hidden="false" customHeight="false" outlineLevel="0" collapsed="false">
      <c r="A37" s="61" t="n">
        <v>1877</v>
      </c>
      <c r="B37" s="50" t="n">
        <f aca="false">Economy!P36</f>
        <v>313.741685326441</v>
      </c>
      <c r="C37" s="48" t="n">
        <v>36060000</v>
      </c>
      <c r="D37" s="65" t="n">
        <f aca="false">Japan!B37</f>
        <v>540</v>
      </c>
      <c r="E37" s="71" t="n">
        <v>0.375</v>
      </c>
      <c r="F37" s="50" t="n">
        <f aca="false">IF(C37&gt;0,D37*1000000/C37,0)</f>
        <v>14.9750415973378</v>
      </c>
      <c r="G37" s="67" t="n">
        <f aca="false">IF(AND(E37&gt;0,F36&gt;0,B37&gt;0),MIN(conv_cap,conv_beta*jp_uplift*E37*MAX(0,LN(B37/(F36*H36)))),0)</f>
        <v>0.0112227016307894</v>
      </c>
      <c r="H37" s="68" t="n">
        <f aca="false">H36*(1+G37)</f>
        <v>1.09785796218064</v>
      </c>
      <c r="I37" s="50" t="n">
        <f aca="false">D37*H37</f>
        <v>592.843299577548</v>
      </c>
      <c r="J37" s="70" t="n">
        <f aca="false">IF(C37&gt;0,I37*1000000/C37/Economy!Q37,0)</f>
        <v>0.0874493013384236</v>
      </c>
      <c r="K37" s="65" t="n">
        <f aca="false">Gulf!B37</f>
        <v>0</v>
      </c>
      <c r="L37" s="50" t="n">
        <f aca="false">Gulf!B37*Gulf!C37*Economy!Q37/1000000</f>
        <v>0</v>
      </c>
      <c r="M37" s="71" t="n">
        <v>0</v>
      </c>
      <c r="N37" s="50" t="n">
        <f aca="false">IF(K37&gt;0,L37*1000000/K37,0)</f>
        <v>0</v>
      </c>
      <c r="O37" s="67" t="n">
        <f aca="false">IF(AND(M37&gt;0,N36&gt;0,B37&gt;0),MIN(conv_cap,conv_beta*1*M37*MAX(0,LN(B37/(N36*P36)))),0)</f>
        <v>0</v>
      </c>
      <c r="P37" s="68" t="n">
        <f aca="false">P36*(1+O37)</f>
        <v>1</v>
      </c>
      <c r="Q37" s="50" t="n">
        <f aca="false">L37*P37</f>
        <v>0</v>
      </c>
      <c r="R37" s="70" t="n">
        <f aca="false">IF(K37&gt;0,Q37*1000000/K37/Economy!Q37,0)</f>
        <v>0</v>
      </c>
      <c r="S37" s="65" t="n">
        <f aca="false">People!U37</f>
        <v>6055000</v>
      </c>
      <c r="T37" s="48" t="n">
        <v>102</v>
      </c>
      <c r="U37" s="71" t="n">
        <v>0.309</v>
      </c>
      <c r="V37" s="50" t="n">
        <f aca="false">IF(S37&gt;0,T37*1000000/S37,0)</f>
        <v>16.8455821635012</v>
      </c>
      <c r="W37" s="67" t="n">
        <f aca="false">IF(AND(U37&gt;0,V36&gt;0,B37&gt;0),MIN(conv_cap,conv_beta*1*U37*MAX(0,LN(B37/(V36*X36)))),0)</f>
        <v>0.00906964215166415</v>
      </c>
      <c r="X37" s="68" t="n">
        <f aca="false">X36*(1+W37)</f>
        <v>1.00906964215166</v>
      </c>
      <c r="Y37" s="50" t="n">
        <f aca="false">T37*X37</f>
        <v>102.92510349947</v>
      </c>
      <c r="Z37" s="70" t="n">
        <f aca="false">IF(S37&gt;0,Y37*1000000/S37/Economy!Q37,0)</f>
        <v>0.0904168381146843</v>
      </c>
      <c r="AA37" s="48" t="n">
        <v>0</v>
      </c>
      <c r="AB37" s="48" t="n">
        <v>0</v>
      </c>
      <c r="AC37" s="71" t="n">
        <v>0</v>
      </c>
      <c r="AD37" s="50" t="n">
        <f aca="false">IF(AA37&gt;0,AB37*1000000/AA37,0)</f>
        <v>0</v>
      </c>
      <c r="AE37" s="67" t="n">
        <f aca="false">IF(AND(AC37&gt;0,AD36&gt;0,B37&gt;0),MIN(conv_cap,conv_beta*1*AC37*MAX(0,LN(B37/(AD36*AF36)))),0)</f>
        <v>0</v>
      </c>
      <c r="AF37" s="68" t="n">
        <f aca="false">AF36*(1+AE37)</f>
        <v>1</v>
      </c>
      <c r="AG37" s="50" t="n">
        <f aca="false">AB37*AF37</f>
        <v>0</v>
      </c>
      <c r="AH37" s="70" t="n">
        <f aca="false">IF(AA37&gt;0,AG37*1000000/AA37/Economy!Q37,0)</f>
        <v>0</v>
      </c>
      <c r="AI37" s="48" t="n">
        <v>367800000</v>
      </c>
      <c r="AJ37" s="48" t="n">
        <v>3617</v>
      </c>
      <c r="AK37" s="71" t="n">
        <v>0.108</v>
      </c>
      <c r="AL37" s="50" t="n">
        <f aca="false">IF(AI37&gt;0,AJ37*1000000/AI37,0)</f>
        <v>9.83414899401849</v>
      </c>
      <c r="AM37" s="67" t="n">
        <f aca="false">IF(AND(AK37&gt;0,AL36&gt;0,B37&gt;0),MIN(conv_cap,conv_beta*1*AK37*MAX(0,LN(B37/(AL36*AN36)))),0)</f>
        <v>0.00370036039694492</v>
      </c>
      <c r="AN37" s="68" t="n">
        <f aca="false">AN36*(1+AM37)</f>
        <v>1.04189419889211</v>
      </c>
      <c r="AO37" s="50" t="n">
        <f aca="false">AJ37*AN37</f>
        <v>3768.53131739277</v>
      </c>
      <c r="AP37" s="70" t="n">
        <f aca="false">IF(AI37&gt;0,AO37*1000000/AI37/Economy!Q37,0)</f>
        <v>0.0545007595101519</v>
      </c>
      <c r="AQ37" s="48" t="n">
        <v>10470000</v>
      </c>
      <c r="AR37" s="48" t="n">
        <v>173</v>
      </c>
      <c r="AS37" s="71" t="n">
        <v>0</v>
      </c>
      <c r="AT37" s="50" t="n">
        <f aca="false">IF(AQ37&gt;0,AR37*1000000/AQ37,0)</f>
        <v>16.523400191022</v>
      </c>
      <c r="AU37" s="67" t="n">
        <f aca="false">IF(AND(AS37&gt;0,AT36&gt;0,B37&gt;0),MIN(conv_cap,conv_beta*1*AS37*MAX(0,LN(B37/(AT36*AV36)))),0)</f>
        <v>0</v>
      </c>
      <c r="AV37" s="68" t="n">
        <f aca="false">AV36*(1+AU37)</f>
        <v>1</v>
      </c>
      <c r="AW37" s="50" t="n">
        <f aca="false">AR37*AV37</f>
        <v>173</v>
      </c>
      <c r="AX37" s="70" t="n">
        <f aca="false">IF(AQ37&gt;0,AW37*1000000/AQ37/Economy!Q37,0)</f>
        <v>0.0878904265479892</v>
      </c>
      <c r="AY37" s="48" t="n">
        <v>57000000</v>
      </c>
      <c r="AZ37" s="48" t="n">
        <v>1157</v>
      </c>
      <c r="BA37" s="71" t="n">
        <v>0</v>
      </c>
      <c r="BB37" s="50" t="n">
        <f aca="false">IF(AY37&gt;0,AZ37*1000000/AY37,0)</f>
        <v>20.2982456140351</v>
      </c>
      <c r="BC37" s="67" t="n">
        <f aca="false">IF(AND(BA37&gt;0,BB36&gt;0,B37&gt;0),MIN(conv_cap,conv_beta*1*BA37*MAX(0,LN(B37/(BB36*BD36)))),0)</f>
        <v>0</v>
      </c>
      <c r="BD37" s="68" t="n">
        <f aca="false">BD36*(1+BC37)</f>
        <v>1</v>
      </c>
      <c r="BE37" s="50" t="n">
        <f aca="false">AZ37*BD37</f>
        <v>1157</v>
      </c>
      <c r="BF37" s="70" t="n">
        <f aca="false">IF(AY37&gt;0,BE37*1000000/AY37/Economy!Q37,0)</f>
        <v>0.107969391564016</v>
      </c>
      <c r="BG37" s="48" t="n">
        <v>23900000</v>
      </c>
      <c r="BH37" s="48" t="n">
        <v>1280</v>
      </c>
      <c r="BI37" s="71" t="n">
        <v>0.073</v>
      </c>
      <c r="BJ37" s="50" t="n">
        <f aca="false">IF(BG37&gt;0,BH37*1000000/BG37,0)</f>
        <v>53.5564853556485</v>
      </c>
      <c r="BK37" s="67" t="n">
        <f aca="false">IF(AND(BI37&gt;0,BJ36&gt;0,B37&gt;0),MIN(conv_cap,conv_beta*1*BI37*MAX(0,LN(B37/(BJ36*BL36)))),0)</f>
        <v>0.00129954329176616</v>
      </c>
      <c r="BL37" s="68" t="n">
        <f aca="false">BL36*(1+BK37)</f>
        <v>1.00808496029206</v>
      </c>
      <c r="BM37" s="50" t="n">
        <f aca="false">BH37*BL37</f>
        <v>1290.34874917384</v>
      </c>
      <c r="BN37" s="70" t="n">
        <f aca="false">IF(BG37&gt;0,BM37*1000000/BG37/Economy!Q37,0)</f>
        <v>0.287178124537933</v>
      </c>
      <c r="BO37" s="48" t="n">
        <v>12500000</v>
      </c>
      <c r="BP37" s="48" t="n">
        <v>570</v>
      </c>
      <c r="BQ37" s="71" t="n">
        <v>0</v>
      </c>
      <c r="BR37" s="50" t="n">
        <f aca="false">IF(BO37&gt;0,BP37*1000000/BO37,0)</f>
        <v>45.6</v>
      </c>
      <c r="BS37" s="67" t="n">
        <f aca="false">IF(AND(BQ37&gt;0,BR36&gt;0,B37&gt;0),MIN(conv_cap,conv_beta*1*BQ37*MAX(0,LN(B37/(BR36*BT36)))),0)</f>
        <v>0</v>
      </c>
      <c r="BT37" s="68" t="n">
        <f aca="false">BT36*(1+BS37)</f>
        <v>1</v>
      </c>
      <c r="BU37" s="50"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1.03235369056464</v>
      </c>
      <c r="BX37" s="66" t="n">
        <f aca="false">MIN(mkt_cap,mkt_elast*MAX(0,BW37-1))</f>
        <v>0.016176845282321</v>
      </c>
      <c r="BY37" s="50" t="n">
        <f aca="false">I37+Q37+Y37+AG37</f>
        <v>695.768403077018</v>
      </c>
      <c r="BZ37" s="50" t="n">
        <f aca="false">D37+L37+T37+AB37</f>
        <v>642</v>
      </c>
      <c r="CA37" s="68" t="n">
        <f aca="false">IF(BZ37&gt;0,BY37/BZ37,0)</f>
        <v>1.08375140666202</v>
      </c>
    </row>
    <row r="38" customFormat="false" ht="14.25" hidden="false" customHeight="false" outlineLevel="0" collapsed="false">
      <c r="A38" s="61" t="n">
        <v>1878</v>
      </c>
      <c r="B38" s="50" t="n">
        <f aca="false">Economy!P37</f>
        <v>309.560903966225</v>
      </c>
      <c r="C38" s="48" t="n">
        <v>36240000</v>
      </c>
      <c r="D38" s="65" t="n">
        <f aca="false">Japan!B38</f>
        <v>560</v>
      </c>
      <c r="E38" s="71" t="n">
        <v>0.383</v>
      </c>
      <c r="F38" s="50" t="n">
        <f aca="false">IF(C38&gt;0,D38*1000000/C38,0)</f>
        <v>15.4525386313466</v>
      </c>
      <c r="G38" s="67" t="n">
        <f aca="false">IF(AND(E38&gt;0,F37&gt;0,B38&gt;0),MIN(conv_cap,conv_beta*jp_uplift*E38*MAX(0,LN(B38/(F37*H37)))),0)</f>
        <v>0.0112426163112516</v>
      </c>
      <c r="H38" s="68" t="n">
        <f aca="false">H37*(1+G38)</f>
        <v>1.11020075801369</v>
      </c>
      <c r="I38" s="50" t="n">
        <f aca="false">D38*H38</f>
        <v>621.712424487669</v>
      </c>
      <c r="J38" s="70" t="n">
        <f aca="false">IF(C38&gt;0,I38*1000000/C38/Economy!Q38,0)</f>
        <v>0.0879765133423429</v>
      </c>
      <c r="K38" s="65" t="n">
        <f aca="false">Gulf!B38</f>
        <v>0</v>
      </c>
      <c r="L38" s="50" t="n">
        <f aca="false">Gulf!B38*Gulf!C38*Economy!Q38/1000000</f>
        <v>0</v>
      </c>
      <c r="M38" s="71" t="n">
        <v>0</v>
      </c>
      <c r="N38" s="50" t="n">
        <f aca="false">IF(K38&gt;0,L38*1000000/K38,0)</f>
        <v>0</v>
      </c>
      <c r="O38" s="67" t="n">
        <f aca="false">IF(AND(M38&gt;0,N37&gt;0,B38&gt;0),MIN(conv_cap,conv_beta*1*M38*MAX(0,LN(B38/(N37*P37)))),0)</f>
        <v>0</v>
      </c>
      <c r="P38" s="68" t="n">
        <f aca="false">P37*(1+O38)</f>
        <v>1</v>
      </c>
      <c r="Q38" s="50" t="n">
        <f aca="false">L38*P38</f>
        <v>0</v>
      </c>
      <c r="R38" s="70" t="n">
        <f aca="false">IF(K38&gt;0,Q38*1000000/K38/Economy!Q38,0)</f>
        <v>0</v>
      </c>
      <c r="S38" s="65" t="n">
        <f aca="false">People!U38</f>
        <v>6109000</v>
      </c>
      <c r="T38" s="48" t="n">
        <v>104</v>
      </c>
      <c r="U38" s="71" t="n">
        <v>0.318</v>
      </c>
      <c r="V38" s="50" t="n">
        <f aca="false">IF(S38&gt;0,T38*1000000/S38,0)</f>
        <v>17.0240628580782</v>
      </c>
      <c r="W38" s="67" t="n">
        <f aca="false">IF(AND(U38&gt;0,V37&gt;0,B38&gt;0),MIN(conv_cap,conv_beta*1*U38*MAX(0,LN(B38/(V37*X37)))),0)</f>
        <v>0.00922847975349251</v>
      </c>
      <c r="X38" s="68" t="n">
        <f aca="false">X37*(1+W38)</f>
        <v>1.01838182091412</v>
      </c>
      <c r="Y38" s="50" t="n">
        <f aca="false">T38*X38</f>
        <v>105.911709375069</v>
      </c>
      <c r="Z38" s="70" t="n">
        <f aca="false">IF(S38&gt;0,Y38*1000000/S38/Economy!Q38,0)</f>
        <v>0.0889076724757243</v>
      </c>
      <c r="AA38" s="48" t="n">
        <v>0</v>
      </c>
      <c r="AB38" s="48" t="n">
        <v>0</v>
      </c>
      <c r="AC38" s="71" t="n">
        <v>0</v>
      </c>
      <c r="AD38" s="50" t="n">
        <f aca="false">IF(AA38&gt;0,AB38*1000000/AA38,0)</f>
        <v>0</v>
      </c>
      <c r="AE38" s="67" t="n">
        <f aca="false">IF(AND(AC38&gt;0,AD37&gt;0,B38&gt;0),MIN(conv_cap,conv_beta*1*AC38*MAX(0,LN(B38/(AD37*AF37)))),0)</f>
        <v>0</v>
      </c>
      <c r="AF38" s="68" t="n">
        <f aca="false">AF37*(1+AE38)</f>
        <v>1</v>
      </c>
      <c r="AG38" s="50" t="n">
        <f aca="false">AB38*AF38</f>
        <v>0</v>
      </c>
      <c r="AH38" s="70" t="n">
        <f aca="false">IF(AA38&gt;0,AG38*1000000/AA38/Economy!Q38,0)</f>
        <v>0</v>
      </c>
      <c r="AI38" s="48" t="n">
        <v>369200000</v>
      </c>
      <c r="AJ38" s="48" t="n">
        <v>3633</v>
      </c>
      <c r="AK38" s="71" t="n">
        <v>0.113</v>
      </c>
      <c r="AL38" s="50" t="n">
        <f aca="false">IF(AI38&gt;0,AJ38*1000000/AI38,0)</f>
        <v>9.84019501625135</v>
      </c>
      <c r="AM38" s="67" t="n">
        <f aca="false">IF(AND(AK38&gt;0,AL37&gt;0,B38&gt;0),MIN(conv_cap,conv_beta*1*AK38*MAX(0,LN(B38/(AL37*AN37)))),0)</f>
        <v>0.00385132649248982</v>
      </c>
      <c r="AN38" s="68" t="n">
        <f aca="false">AN37*(1+AM38)</f>
        <v>1.04590687362268</v>
      </c>
      <c r="AO38" s="50" t="n">
        <f aca="false">AJ38*AN38</f>
        <v>3799.77967187118</v>
      </c>
      <c r="AP38" s="70" t="n">
        <f aca="false">IF(AI38&gt;0,AO38*1000000/AI38/Economy!Q38,0)</f>
        <v>0.0527791159245379</v>
      </c>
      <c r="AQ38" s="48" t="n">
        <v>10530000</v>
      </c>
      <c r="AR38" s="48" t="n">
        <v>177</v>
      </c>
      <c r="AS38" s="71" t="n">
        <v>0</v>
      </c>
      <c r="AT38" s="50" t="n">
        <f aca="false">IF(AQ38&gt;0,AR38*1000000/AQ38,0)</f>
        <v>16.8091168091168</v>
      </c>
      <c r="AU38" s="67" t="n">
        <f aca="false">IF(AND(AS38&gt;0,AT37&gt;0,B38&gt;0),MIN(conv_cap,conv_beta*1*AS38*MAX(0,LN(B38/(AT37*AV37)))),0)</f>
        <v>0</v>
      </c>
      <c r="AV38" s="68" t="n">
        <f aca="false">AV37*(1+AU38)</f>
        <v>1</v>
      </c>
      <c r="AW38" s="50" t="n">
        <f aca="false">AR38*AV38</f>
        <v>177</v>
      </c>
      <c r="AX38" s="70" t="n">
        <f aca="false">IF(AQ38&gt;0,AW38*1000000/AQ38/Economy!Q38,0)</f>
        <v>0.0862005990211118</v>
      </c>
      <c r="AY38" s="48" t="n">
        <v>58000000</v>
      </c>
      <c r="AZ38" s="48" t="n">
        <v>1193</v>
      </c>
      <c r="BA38" s="71" t="n">
        <v>0</v>
      </c>
      <c r="BB38" s="50" t="n">
        <f aca="false">IF(AY38&gt;0,AZ38*1000000/AY38,0)</f>
        <v>20.5689655172414</v>
      </c>
      <c r="BC38" s="67" t="n">
        <f aca="false">IF(AND(BA38&gt;0,BB37&gt;0,B38&gt;0),MIN(conv_cap,conv_beta*1*BA38*MAX(0,LN(B38/(BB37*BD37)))),0)</f>
        <v>0</v>
      </c>
      <c r="BD38" s="68" t="n">
        <f aca="false">BD37*(1+BC38)</f>
        <v>1</v>
      </c>
      <c r="BE38" s="50" t="n">
        <f aca="false">AZ38*BD38</f>
        <v>1193</v>
      </c>
      <c r="BF38" s="70" t="n">
        <f aca="false">IF(AY38&gt;0,BE38*1000000/AY38/Economy!Q38,0)</f>
        <v>0.105481874447392</v>
      </c>
      <c r="BG38" s="48" t="n">
        <v>24100000</v>
      </c>
      <c r="BH38" s="48" t="n">
        <v>1320</v>
      </c>
      <c r="BI38" s="71" t="n">
        <v>0.077</v>
      </c>
      <c r="BJ38" s="50" t="n">
        <f aca="false">IF(BG38&gt;0,BH38*1000000/BG38,0)</f>
        <v>54.7717842323651</v>
      </c>
      <c r="BK38" s="67" t="n">
        <f aca="false">IF(AND(BI38&gt;0,BJ37&gt;0,B38&gt;0),MIN(conv_cap,conv_beta*1*BI38*MAX(0,LN(B38/(BJ37*BL37)))),0)</f>
        <v>0.00134470143845367</v>
      </c>
      <c r="BL38" s="68" t="n">
        <f aca="false">BL37*(1+BK38)</f>
        <v>1.00944053358825</v>
      </c>
      <c r="BM38" s="50" t="n">
        <f aca="false">BH38*BL38</f>
        <v>1332.46150433649</v>
      </c>
      <c r="BN38" s="70" t="n">
        <f aca="false">IF(BG38&gt;0,BM38*1000000/BG38/Economy!Q38,0)</f>
        <v>0.283532610774868</v>
      </c>
      <c r="BO38" s="48" t="n">
        <v>12500000</v>
      </c>
      <c r="BP38" s="48" t="n">
        <v>580</v>
      </c>
      <c r="BQ38" s="71" t="n">
        <v>0</v>
      </c>
      <c r="BR38" s="50" t="n">
        <f aca="false">IF(BO38&gt;0,BP38*1000000/BO38,0)</f>
        <v>46.4</v>
      </c>
      <c r="BS38" s="67" t="n">
        <f aca="false">IF(AND(BQ38&gt;0,BR37&gt;0,B38&gt;0),MIN(conv_cap,conv_beta*1*BQ38*MAX(0,LN(B38/(BR37*BT37)))),0)</f>
        <v>0</v>
      </c>
      <c r="BT38" s="68" t="n">
        <f aca="false">BT37*(1+BS38)</f>
        <v>1</v>
      </c>
      <c r="BU38" s="50"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1.0368558120414</v>
      </c>
      <c r="BX38" s="66" t="n">
        <f aca="false">MIN(mkt_cap,mkt_elast*MAX(0,BW38-1))</f>
        <v>0.018427906020702</v>
      </c>
      <c r="BY38" s="50" t="n">
        <f aca="false">I38+Q38+Y38+AG38</f>
        <v>727.624133862738</v>
      </c>
      <c r="BZ38" s="50" t="n">
        <f aca="false">D38+L38+T38+AB38</f>
        <v>664</v>
      </c>
      <c r="CA38" s="68" t="n">
        <f aca="false">IF(BZ38&gt;0,BY38/BZ38,0)</f>
        <v>1.09581947870894</v>
      </c>
    </row>
    <row r="39" customFormat="false" ht="14.25" hidden="false" customHeight="false" outlineLevel="0" collapsed="false">
      <c r="A39" s="61" t="n">
        <v>1879</v>
      </c>
      <c r="B39" s="50" t="n">
        <f aca="false">Economy!P38</f>
        <v>311.453665274601</v>
      </c>
      <c r="C39" s="48" t="n">
        <v>36420000</v>
      </c>
      <c r="D39" s="65" t="n">
        <f aca="false">Japan!B39</f>
        <v>580</v>
      </c>
      <c r="E39" s="71" t="n">
        <v>0.392</v>
      </c>
      <c r="F39" s="50" t="n">
        <f aca="false">IF(C39&gt;0,D39*1000000/C39,0)</f>
        <v>15.9253157605711</v>
      </c>
      <c r="G39" s="67" t="n">
        <f aca="false">IF(AND(E39&gt;0,F38&gt;0,B39&gt;0),MIN(conv_cap,conv_beta*jp_uplift*E39*MAX(0,LN(B39/(F38*H38)))),0)</f>
        <v>0.0113638307485688</v>
      </c>
      <c r="H39" s="68" t="n">
        <f aca="false">H38*(1+G39)</f>
        <v>1.12281689152469</v>
      </c>
      <c r="I39" s="50" t="n">
        <f aca="false">D39*H39</f>
        <v>651.233797084323</v>
      </c>
      <c r="J39" s="70" t="n">
        <f aca="false">IF(C39&gt;0,I39*1000000/C39/Economy!Q39,0)</f>
        <v>0.0889612613872323</v>
      </c>
      <c r="K39" s="65" t="n">
        <f aca="false">Gulf!B39</f>
        <v>0</v>
      </c>
      <c r="L39" s="50" t="n">
        <f aca="false">Gulf!B39*Gulf!C39*Economy!Q39/1000000</f>
        <v>0</v>
      </c>
      <c r="M39" s="71" t="n">
        <v>0</v>
      </c>
      <c r="N39" s="50" t="n">
        <f aca="false">IF(K39&gt;0,L39*1000000/K39,0)</f>
        <v>0</v>
      </c>
      <c r="O39" s="67" t="n">
        <f aca="false">IF(AND(M39&gt;0,N38&gt;0,B39&gt;0),MIN(conv_cap,conv_beta*1*M39*MAX(0,LN(B39/(N38*P38)))),0)</f>
        <v>0</v>
      </c>
      <c r="P39" s="68" t="n">
        <f aca="false">P38*(1+O39)</f>
        <v>1</v>
      </c>
      <c r="Q39" s="50" t="n">
        <f aca="false">L39*P39</f>
        <v>0</v>
      </c>
      <c r="R39" s="70" t="n">
        <f aca="false">IF(K39&gt;0,Q39*1000000/K39/Economy!Q39,0)</f>
        <v>0</v>
      </c>
      <c r="S39" s="65" t="n">
        <f aca="false">People!U39</f>
        <v>6164000</v>
      </c>
      <c r="T39" s="48" t="n">
        <v>105</v>
      </c>
      <c r="U39" s="71" t="n">
        <v>0.327</v>
      </c>
      <c r="V39" s="50" t="n">
        <f aca="false">IF(S39&gt;0,T39*1000000/S39,0)</f>
        <v>17.0343932511356</v>
      </c>
      <c r="W39" s="67" t="n">
        <f aca="false">IF(AND(U39&gt;0,V38&gt;0,B39&gt;0),MIN(conv_cap,conv_beta*1*U39*MAX(0,LN(B39/(V38*X38)))),0)</f>
        <v>0.00944509369275053</v>
      </c>
      <c r="X39" s="68" t="n">
        <f aca="false">X38*(1+W39)</f>
        <v>1.02800053262765</v>
      </c>
      <c r="Y39" s="50" t="n">
        <f aca="false">T39*X39</f>
        <v>107.940055925904</v>
      </c>
      <c r="Z39" s="70" t="n">
        <f aca="false">IF(S39&gt;0,Y39*1000000/S39/Economy!Q39,0)</f>
        <v>0.087121220572917</v>
      </c>
      <c r="AA39" s="48" t="n">
        <v>0</v>
      </c>
      <c r="AB39" s="48" t="n">
        <v>0</v>
      </c>
      <c r="AC39" s="71" t="n">
        <v>0</v>
      </c>
      <c r="AD39" s="50" t="n">
        <f aca="false">IF(AA39&gt;0,AB39*1000000/AA39,0)</f>
        <v>0</v>
      </c>
      <c r="AE39" s="67" t="n">
        <f aca="false">IF(AND(AC39&gt;0,AD38&gt;0,B39&gt;0),MIN(conv_cap,conv_beta*1*AC39*MAX(0,LN(B39/(AD38*AF38)))),0)</f>
        <v>0</v>
      </c>
      <c r="AF39" s="68" t="n">
        <f aca="false">AF38*(1+AE39)</f>
        <v>1</v>
      </c>
      <c r="AG39" s="50" t="n">
        <f aca="false">AB39*AF39</f>
        <v>0</v>
      </c>
      <c r="AH39" s="70" t="n">
        <f aca="false">IF(AA39&gt;0,AG39*1000000/AA39/Economy!Q39,0)</f>
        <v>0</v>
      </c>
      <c r="AI39" s="48" t="n">
        <v>370600000</v>
      </c>
      <c r="AJ39" s="48" t="n">
        <v>3650</v>
      </c>
      <c r="AK39" s="71" t="n">
        <v>0.117</v>
      </c>
      <c r="AL39" s="50" t="n">
        <f aca="false">IF(AI39&gt;0,AJ39*1000000/AI39,0)</f>
        <v>9.84889368591473</v>
      </c>
      <c r="AM39" s="67" t="n">
        <f aca="false">IF(AND(AK39&gt;0,AL38&gt;0,B39&gt;0),MIN(conv_cap,conv_beta*1*AK39*MAX(0,LN(B39/(AL38*AN38)))),0)</f>
        <v>0.0039895721420879</v>
      </c>
      <c r="AN39" s="68" t="n">
        <f aca="false">AN38*(1+AM39)</f>
        <v>1.0500795945489</v>
      </c>
      <c r="AO39" s="50" t="n">
        <f aca="false">AJ39*AN39</f>
        <v>3832.79052010348</v>
      </c>
      <c r="AP39" s="70" t="n">
        <f aca="false">IF(AI39&gt;0,AO39*1000000/AI39/Economy!Q39,0)</f>
        <v>0.0514533447187092</v>
      </c>
      <c r="AQ39" s="48" t="n">
        <v>10600000</v>
      </c>
      <c r="AR39" s="48" t="n">
        <v>180</v>
      </c>
      <c r="AS39" s="71" t="n">
        <v>0</v>
      </c>
      <c r="AT39" s="50" t="n">
        <f aca="false">IF(AQ39&gt;0,AR39*1000000/AQ39,0)</f>
        <v>16.9811320754717</v>
      </c>
      <c r="AU39" s="67" t="n">
        <f aca="false">IF(AND(AS39&gt;0,AT38&gt;0,B39&gt;0),MIN(conv_cap,conv_beta*1*AS39*MAX(0,LN(B39/(AT38*AV38)))),0)</f>
        <v>0</v>
      </c>
      <c r="AV39" s="68" t="n">
        <f aca="false">AV38*(1+AU39)</f>
        <v>1</v>
      </c>
      <c r="AW39" s="50" t="n">
        <f aca="false">AR39*AV39</f>
        <v>180</v>
      </c>
      <c r="AX39" s="70" t="n">
        <f aca="false">IF(AQ39&gt;0,AW39*1000000/AQ39/Economy!Q39,0)</f>
        <v>0.0844832441565756</v>
      </c>
      <c r="AY39" s="48" t="n">
        <v>59000000</v>
      </c>
      <c r="AZ39" s="48" t="n">
        <v>1230</v>
      </c>
      <c r="BA39" s="71" t="n">
        <v>0</v>
      </c>
      <c r="BB39" s="50" t="n">
        <f aca="false">IF(AY39&gt;0,AZ39*1000000/AY39,0)</f>
        <v>20.8474576271186</v>
      </c>
      <c r="BC39" s="67" t="n">
        <f aca="false">IF(AND(BA39&gt;0,BB38&gt;0,B39&gt;0),MIN(conv_cap,conv_beta*1*BA39*MAX(0,LN(B39/(BB38*BD38)))),0)</f>
        <v>0</v>
      </c>
      <c r="BD39" s="68" t="n">
        <f aca="false">BD38*(1+BC39)</f>
        <v>1</v>
      </c>
      <c r="BE39" s="50" t="n">
        <f aca="false">AZ39*BD39</f>
        <v>1230</v>
      </c>
      <c r="BF39" s="70" t="n">
        <f aca="false">IF(AY39&gt;0,BE39*1000000/AY39/Economy!Q39,0)</f>
        <v>0.103718694662282</v>
      </c>
      <c r="BG39" s="48" t="n">
        <v>24400000</v>
      </c>
      <c r="BH39" s="48" t="n">
        <v>1360</v>
      </c>
      <c r="BI39" s="71" t="n">
        <v>0.08</v>
      </c>
      <c r="BJ39" s="50" t="n">
        <f aca="false">IF(BG39&gt;0,BH39*1000000/BG39,0)</f>
        <v>55.7377049180328</v>
      </c>
      <c r="BK39" s="67" t="n">
        <f aca="false">IF(AND(BI39&gt;0,BJ38&gt;0,B39&gt;0),MIN(conv_cap,conv_beta*1*BI39*MAX(0,LN(B39/(BJ38*BL38)))),0)</f>
        <v>0.00138294332378337</v>
      </c>
      <c r="BL39" s="68" t="n">
        <f aca="false">BL38*(1+BK39)</f>
        <v>1.01083653263493</v>
      </c>
      <c r="BM39" s="50" t="n">
        <f aca="false">BH39*BL39</f>
        <v>1374.73768438351</v>
      </c>
      <c r="BN39" s="70" t="n">
        <f aca="false">IF(BG39&gt;0,BM39*1000000/BG39/Economy!Q39,0)</f>
        <v>0.280307006847628</v>
      </c>
      <c r="BO39" s="48" t="n">
        <v>12600000</v>
      </c>
      <c r="BP39" s="48" t="n">
        <v>590</v>
      </c>
      <c r="BQ39" s="71" t="n">
        <v>0</v>
      </c>
      <c r="BR39" s="50" t="n">
        <f aca="false">IF(BO39&gt;0,BP39*1000000/BO39,0)</f>
        <v>46.8253968253968</v>
      </c>
      <c r="BS39" s="67" t="n">
        <f aca="false">IF(AND(BQ39&gt;0,BR38&gt;0,B39&gt;0),MIN(conv_cap,conv_beta*1*BQ39*MAX(0,LN(B39/(BR38*BT38)))),0)</f>
        <v>0</v>
      </c>
      <c r="BT39" s="68" t="n">
        <f aca="false">BT38*(1+BS39)</f>
        <v>1</v>
      </c>
      <c r="BU39" s="50"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1.04147658326364</v>
      </c>
      <c r="BX39" s="66" t="n">
        <f aca="false">MIN(mkt_cap,mkt_elast*MAX(0,BW39-1))</f>
        <v>0.0207382916318182</v>
      </c>
      <c r="BY39" s="50" t="n">
        <f aca="false">I39+Q39+Y39+AG39</f>
        <v>759.173853010226</v>
      </c>
      <c r="BZ39" s="50" t="n">
        <f aca="false">D39+L39+T39+AB39</f>
        <v>685</v>
      </c>
      <c r="CA39" s="68" t="n">
        <f aca="false">IF(BZ39&gt;0,BY39/BZ39,0)</f>
        <v>1.10828299709522</v>
      </c>
    </row>
    <row r="40" customFormat="false" ht="14.25" hidden="false" customHeight="false" outlineLevel="0" collapsed="false">
      <c r="A40" s="61" t="n">
        <v>1880</v>
      </c>
      <c r="B40" s="50" t="n">
        <f aca="false">Economy!P39</f>
        <v>309.03558824671</v>
      </c>
      <c r="C40" s="48" t="n">
        <v>36600000</v>
      </c>
      <c r="D40" s="65" t="n">
        <f aca="false">Japan!B40</f>
        <v>600</v>
      </c>
      <c r="E40" s="71" t="n">
        <v>0.4</v>
      </c>
      <c r="F40" s="50" t="n">
        <f aca="false">IF(C40&gt;0,D40*1000000/C40,0)</f>
        <v>16.3934426229508</v>
      </c>
      <c r="G40" s="67" t="n">
        <f aca="false">IF(AND(E40&gt;0,F39&gt;0,B40&gt;0),MIN(conv_cap,conv_beta*jp_uplift*E40*MAX(0,LN(B40/(F39*H39)))),0)</f>
        <v>0.0113988232153749</v>
      </c>
      <c r="H40" s="68" t="n">
        <f aca="false">H39*(1+G40)</f>
        <v>1.13561568277442</v>
      </c>
      <c r="I40" s="50" t="n">
        <f aca="false">D40*H40</f>
        <v>681.369409664653</v>
      </c>
      <c r="J40" s="70" t="n">
        <f aca="false">IF(C40&gt;0,I40*1000000/C40/Economy!Q40,0)</f>
        <v>0.0895031275831038</v>
      </c>
      <c r="K40" s="65" t="n">
        <f aca="false">Gulf!B40</f>
        <v>0</v>
      </c>
      <c r="L40" s="50" t="n">
        <f aca="false">Gulf!B40*Gulf!C40*Economy!Q40/1000000</f>
        <v>0</v>
      </c>
      <c r="M40" s="71" t="n">
        <v>0</v>
      </c>
      <c r="N40" s="50" t="n">
        <f aca="false">IF(K40&gt;0,L40*1000000/K40,0)</f>
        <v>0</v>
      </c>
      <c r="O40" s="67" t="n">
        <f aca="false">IF(AND(M40&gt;0,N39&gt;0,B40&gt;0),MIN(conv_cap,conv_beta*1*M40*MAX(0,LN(B40/(N39*P39)))),0)</f>
        <v>0</v>
      </c>
      <c r="P40" s="68" t="n">
        <f aca="false">P39*(1+O40)</f>
        <v>1</v>
      </c>
      <c r="Q40" s="50" t="n">
        <f aca="false">L40*P40</f>
        <v>0</v>
      </c>
      <c r="R40" s="70" t="n">
        <f aca="false">IF(K40&gt;0,Q40*1000000/K40/Economy!Q40,0)</f>
        <v>0</v>
      </c>
      <c r="S40" s="65" t="n">
        <f aca="false">People!U40</f>
        <v>6218000</v>
      </c>
      <c r="T40" s="48" t="n">
        <v>107</v>
      </c>
      <c r="U40" s="71" t="n">
        <v>0.336</v>
      </c>
      <c r="V40" s="50" t="n">
        <f aca="false">IF(S40&gt;0,T40*1000000/S40,0)</f>
        <v>17.2081055001608</v>
      </c>
      <c r="W40" s="67" t="n">
        <f aca="false">IF(AND(U40&gt;0,V39&gt;0,B40&gt;0),MIN(conv_cap,conv_beta*1*U40*MAX(0,LN(B40/(V39*X39)))),0)</f>
        <v>0.00964523725110152</v>
      </c>
      <c r="X40" s="68" t="n">
        <f aca="false">X39*(1+W40)</f>
        <v>1.03791584165911</v>
      </c>
      <c r="Y40" s="50" t="n">
        <f aca="false">T40*X40</f>
        <v>111.056995057524</v>
      </c>
      <c r="Z40" s="70" t="n">
        <f aca="false">IF(S40&gt;0,Y40*1000000/S40/Economy!Q40,0)</f>
        <v>0.0858681024209524</v>
      </c>
      <c r="AA40" s="48" t="n">
        <v>0</v>
      </c>
      <c r="AB40" s="48" t="n">
        <v>0</v>
      </c>
      <c r="AC40" s="71" t="n">
        <v>0</v>
      </c>
      <c r="AD40" s="50" t="n">
        <f aca="false">IF(AA40&gt;0,AB40*1000000/AA40,0)</f>
        <v>0</v>
      </c>
      <c r="AE40" s="67" t="n">
        <f aca="false">IF(AND(AC40&gt;0,AD39&gt;0,B40&gt;0),MIN(conv_cap,conv_beta*1*AC40*MAX(0,LN(B40/(AD39*AF39)))),0)</f>
        <v>0</v>
      </c>
      <c r="AF40" s="68" t="n">
        <f aca="false">AF39*(1+AE40)</f>
        <v>1</v>
      </c>
      <c r="AG40" s="50" t="n">
        <f aca="false">AB40*AF40</f>
        <v>0</v>
      </c>
      <c r="AH40" s="70" t="n">
        <f aca="false">IF(AA40&gt;0,AG40*1000000/AA40/Economy!Q40,0)</f>
        <v>0</v>
      </c>
      <c r="AI40" s="48" t="n">
        <v>372000000</v>
      </c>
      <c r="AJ40" s="48" t="n">
        <v>3667</v>
      </c>
      <c r="AK40" s="71" t="n">
        <v>0.121</v>
      </c>
      <c r="AL40" s="50" t="n">
        <f aca="false">IF(AI40&gt;0,AJ40*1000000/AI40,0)</f>
        <v>9.85752688172043</v>
      </c>
      <c r="AM40" s="67" t="n">
        <f aca="false">IF(AND(AK40&gt;0,AL39&gt;0,B40&gt;0),MIN(conv_cap,conv_beta*1*AK40*MAX(0,LN(B40/(AL39*AN39)))),0)</f>
        <v>0.00411064992651997</v>
      </c>
      <c r="AN40" s="68" t="n">
        <f aca="false">AN39*(1+AM40)</f>
        <v>1.05439610415707</v>
      </c>
      <c r="AO40" s="50" t="n">
        <f aca="false">AJ40*AN40</f>
        <v>3866.47051394398</v>
      </c>
      <c r="AP40" s="70" t="n">
        <f aca="false">IF(AI40&gt;0,AO40*1000000/AI40/Economy!Q40,0)</f>
        <v>0.0499698939457194</v>
      </c>
      <c r="AQ40" s="48" t="n">
        <v>10670000</v>
      </c>
      <c r="AR40" s="48" t="n">
        <v>183</v>
      </c>
      <c r="AS40" s="71" t="n">
        <v>0.1</v>
      </c>
      <c r="AT40" s="50" t="n">
        <f aca="false">IF(AQ40&gt;0,AR40*1000000/AQ40,0)</f>
        <v>17.1508903467666</v>
      </c>
      <c r="AU40" s="67" t="n">
        <f aca="false">IF(AND(AS40&gt;0,AT39&gt;0,B40&gt;0),MIN(conv_cap,conv_beta*1*AS40*MAX(0,LN(B40/(AT39*AV39)))),0)</f>
        <v>0.00290135359281318</v>
      </c>
      <c r="AV40" s="68" t="n">
        <f aca="false">AV39*(1+AU40)</f>
        <v>1.00290135359281</v>
      </c>
      <c r="AW40" s="50" t="n">
        <f aca="false">AR40*AV40</f>
        <v>183.530947707485</v>
      </c>
      <c r="AX40" s="70" t="n">
        <f aca="false">IF(AQ40&gt;0,AW40*1000000/AQ40/Economy!Q40,0)</f>
        <v>0.0826954381927605</v>
      </c>
      <c r="AY40" s="48" t="n">
        <v>60000000</v>
      </c>
      <c r="AZ40" s="48" t="n">
        <v>1267</v>
      </c>
      <c r="BA40" s="71" t="n">
        <v>0.05</v>
      </c>
      <c r="BB40" s="50" t="n">
        <f aca="false">IF(AY40&gt;0,AZ40*1000000/AY40,0)</f>
        <v>21.1166666666667</v>
      </c>
      <c r="BC40" s="67" t="n">
        <f aca="false">IF(AND(BA40&gt;0,BB39&gt;0,B40&gt;0),MIN(conv_cap,conv_beta*1*BA40*MAX(0,LN(B40/(BB39*BD39)))),0)</f>
        <v>0.00134811221906232</v>
      </c>
      <c r="BD40" s="68" t="n">
        <f aca="false">BD39*(1+BC40)</f>
        <v>1.00134811221906</v>
      </c>
      <c r="BE40" s="50" t="n">
        <f aca="false">AZ40*BD40</f>
        <v>1268.70805818155</v>
      </c>
      <c r="BF40" s="70" t="n">
        <f aca="false">IF(AY40&gt;0,BE40*1000000/AY40/Economy!Q40,0)</f>
        <v>0.101659299533778</v>
      </c>
      <c r="BG40" s="48" t="n">
        <v>24700000</v>
      </c>
      <c r="BH40" s="48" t="n">
        <v>1400</v>
      </c>
      <c r="BI40" s="71" t="n">
        <v>0.083</v>
      </c>
      <c r="BJ40" s="50" t="n">
        <f aca="false">IF(BG40&gt;0,BH40*1000000/BG40,0)</f>
        <v>56.6801619433198</v>
      </c>
      <c r="BK40" s="67" t="n">
        <f aca="false">IF(AND(BI40&gt;0,BJ39&gt;0,B40&gt;0),MIN(conv_cap,conv_beta*1*BI40*MAX(0,LN(B40/(BJ39*BL39)))),0)</f>
        <v>0.00141267772712135</v>
      </c>
      <c r="BL40" s="68" t="n">
        <f aca="false">BL39*(1+BK40)</f>
        <v>1.01226451889035</v>
      </c>
      <c r="BM40" s="50" t="n">
        <f aca="false">BH40*BL40</f>
        <v>1417.17032644649</v>
      </c>
      <c r="BN40" s="70" t="n">
        <f aca="false">IF(BG40&gt;0,BM40*1000000/BG40/Economy!Q40,0)</f>
        <v>0.275842869520104</v>
      </c>
      <c r="BO40" s="48" t="n">
        <v>12700000</v>
      </c>
      <c r="BP40" s="48" t="n">
        <v>600</v>
      </c>
      <c r="BQ40" s="71" t="n">
        <v>0</v>
      </c>
      <c r="BR40" s="50" t="n">
        <f aca="false">IF(BO40&gt;0,BP40*1000000/BO40,0)</f>
        <v>47.244094488189</v>
      </c>
      <c r="BS40" s="67" t="n">
        <f aca="false">IF(AND(BQ40&gt;0,BR39&gt;0,B40&gt;0),MIN(conv_cap,conv_beta*1*BQ40*MAX(0,LN(B40/(BR39*BT39)))),0)</f>
        <v>0</v>
      </c>
      <c r="BT40" s="68" t="n">
        <f aca="false">BT39*(1+BS40)</f>
        <v>1</v>
      </c>
      <c r="BU40" s="50"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1.04638407708545</v>
      </c>
      <c r="BX40" s="66" t="n">
        <f aca="false">MIN(mkt_cap,mkt_elast*MAX(0,BW40-1))</f>
        <v>0.0231920385427273</v>
      </c>
      <c r="BY40" s="50" t="n">
        <f aca="false">I40+Q40+Y40+AG40</f>
        <v>792.426404722177</v>
      </c>
      <c r="BZ40" s="50" t="n">
        <f aca="false">D40+L40+T40+AB40</f>
        <v>707</v>
      </c>
      <c r="CA40" s="68" t="n">
        <f aca="false">IF(BZ40&gt;0,BY40/BZ40,0)</f>
        <v>1.12082942676404</v>
      </c>
    </row>
    <row r="41" customFormat="false" ht="14.25" hidden="false" customHeight="false" outlineLevel="0" collapsed="false">
      <c r="A41" s="61" t="n">
        <v>1881</v>
      </c>
      <c r="B41" s="50" t="n">
        <f aca="false">Economy!P40</f>
        <v>309.112679822262</v>
      </c>
      <c r="C41" s="48" t="n">
        <v>36940000</v>
      </c>
      <c r="D41" s="65" t="n">
        <f aca="false">Japan!B41</f>
        <v>610</v>
      </c>
      <c r="E41" s="71" t="n">
        <v>0.421</v>
      </c>
      <c r="F41" s="50" t="n">
        <f aca="false">IF(C41&gt;0,D41*1000000/C41,0)</f>
        <v>16.5132647536546</v>
      </c>
      <c r="G41" s="67" t="n">
        <f aca="false">IF(AND(E41&gt;0,F40&gt;0,B41&gt;0),MIN(conv_cap,conv_beta*jp_uplift*E41*MAX(0,LN(B41/(F40*H40)))),0)</f>
        <v>0.0118286243932845</v>
      </c>
      <c r="H41" s="68" t="n">
        <f aca="false">H40*(1+G41)</f>
        <v>1.14904845414108</v>
      </c>
      <c r="I41" s="50" t="n">
        <f aca="false">D41*H41</f>
        <v>700.919557026061</v>
      </c>
      <c r="J41" s="70" t="n">
        <f aca="false">IF(C41&gt;0,I41*1000000/C41/Economy!Q41,0)</f>
        <v>0.0916644509082571</v>
      </c>
      <c r="K41" s="65" t="n">
        <f aca="false">Gulf!B41</f>
        <v>0</v>
      </c>
      <c r="L41" s="50" t="n">
        <f aca="false">Gulf!B41*Gulf!C41*Economy!Q41/1000000</f>
        <v>0</v>
      </c>
      <c r="M41" s="71" t="n">
        <v>0</v>
      </c>
      <c r="N41" s="50" t="n">
        <f aca="false">IF(K41&gt;0,L41*1000000/K41,0)</f>
        <v>0</v>
      </c>
      <c r="O41" s="67" t="n">
        <f aca="false">IF(AND(M41&gt;0,N40&gt;0,B41&gt;0),MIN(conv_cap,conv_beta*1*M41*MAX(0,LN(B41/(N40*P40)))),0)</f>
        <v>0</v>
      </c>
      <c r="P41" s="68" t="n">
        <f aca="false">P40*(1+O41)</f>
        <v>1</v>
      </c>
      <c r="Q41" s="50" t="n">
        <f aca="false">L41*P41</f>
        <v>0</v>
      </c>
      <c r="R41" s="70" t="n">
        <f aca="false">IF(K41&gt;0,Q41*1000000/K41/Economy!Q41,0)</f>
        <v>0</v>
      </c>
      <c r="S41" s="65" t="n">
        <f aca="false">People!U41</f>
        <v>6273000</v>
      </c>
      <c r="T41" s="48" t="n">
        <v>109</v>
      </c>
      <c r="U41" s="71" t="n">
        <v>0.345</v>
      </c>
      <c r="V41" s="50" t="n">
        <f aca="false">IF(S41&gt;0,T41*1000000/S41,0)</f>
        <v>17.3760561135023</v>
      </c>
      <c r="W41" s="67" t="n">
        <f aca="false">IF(AND(U41&gt;0,V40&gt;0,B41&gt;0),MIN(conv_cap,conv_beta*1*U41*MAX(0,LN(B41/(V40*X40)))),0)</f>
        <v>0.0098363317189095</v>
      </c>
      <c r="X41" s="68" t="n">
        <f aca="false">X40*(1+W41)</f>
        <v>1.04812512617398</v>
      </c>
      <c r="Y41" s="50" t="n">
        <f aca="false">T41*X41</f>
        <v>114.245638752963</v>
      </c>
      <c r="Z41" s="70" t="n">
        <f aca="false">IF(S41&gt;0,Y41*1000000/S41/Economy!Q41,0)</f>
        <v>0.0879820338472014</v>
      </c>
      <c r="AA41" s="48" t="n">
        <v>0</v>
      </c>
      <c r="AB41" s="48" t="n">
        <v>0</v>
      </c>
      <c r="AC41" s="71" t="n">
        <v>0</v>
      </c>
      <c r="AD41" s="50" t="n">
        <f aca="false">IF(AA41&gt;0,AB41*1000000/AA41,0)</f>
        <v>0</v>
      </c>
      <c r="AE41" s="67" t="n">
        <f aca="false">IF(AND(AC41&gt;0,AD40&gt;0,B41&gt;0),MIN(conv_cap,conv_beta*1*AC41*MAX(0,LN(B41/(AD40*AF40)))),0)</f>
        <v>0</v>
      </c>
      <c r="AF41" s="68" t="n">
        <f aca="false">AF40*(1+AE41)</f>
        <v>1</v>
      </c>
      <c r="AG41" s="50" t="n">
        <f aca="false">AB41*AF41</f>
        <v>0</v>
      </c>
      <c r="AH41" s="70" t="n">
        <f aca="false">IF(AA41&gt;0,AG41*1000000/AA41/Economy!Q41,0)</f>
        <v>0</v>
      </c>
      <c r="AI41" s="48" t="n">
        <v>373400000</v>
      </c>
      <c r="AJ41" s="48" t="n">
        <v>3683</v>
      </c>
      <c r="AK41" s="71" t="n">
        <v>0.125</v>
      </c>
      <c r="AL41" s="50" t="n">
        <f aca="false">IF(AI41&gt;0,AJ41*1000000/AI41,0)</f>
        <v>9.86341724692019</v>
      </c>
      <c r="AM41" s="67" t="n">
        <f aca="false">IF(AND(AK41&gt;0,AL40&gt;0,B41&gt;0),MIN(conv_cap,conv_beta*1*AK41*MAX(0,LN(B41/(AL40*AN40)))),0)</f>
        <v>0.00424062795791318</v>
      </c>
      <c r="AN41" s="68" t="n">
        <f aca="false">AN40*(1+AM41)</f>
        <v>1.05886740575508</v>
      </c>
      <c r="AO41" s="50" t="n">
        <f aca="false">AJ41*AN41</f>
        <v>3899.80865539594</v>
      </c>
      <c r="AP41" s="70" t="n">
        <f aca="false">IF(AI41&gt;0,AO41*1000000/AI41/Economy!Q41,0)</f>
        <v>0.0504543528122041</v>
      </c>
      <c r="AQ41" s="48" t="n">
        <v>10730000</v>
      </c>
      <c r="AR41" s="48" t="n">
        <v>187</v>
      </c>
      <c r="AS41" s="71" t="n">
        <v>0.129</v>
      </c>
      <c r="AT41" s="50" t="n">
        <f aca="false">IF(AQ41&gt;0,AR41*1000000/AQ41,0)</f>
        <v>17.4277726001864</v>
      </c>
      <c r="AU41" s="67" t="n">
        <f aca="false">IF(AND(AS41&gt;0,AT40&gt;0,B41&gt;0),MIN(conv_cap,conv_beta*1*AS41*MAX(0,LN(B41/(AT40*AV40)))),0)</f>
        <v>0.00372649863234775</v>
      </c>
      <c r="AV41" s="68" t="n">
        <f aca="false">AV40*(1+AU41)</f>
        <v>1.00663866411536</v>
      </c>
      <c r="AW41" s="50" t="n">
        <f aca="false">AR41*AV41</f>
        <v>188.241430189572</v>
      </c>
      <c r="AX41" s="70" t="n">
        <f aca="false">IF(AQ41&gt;0,AW41*1000000/AQ41/Economy!Q41,0)</f>
        <v>0.0847510614915838</v>
      </c>
      <c r="AY41" s="48" t="n">
        <v>61000000</v>
      </c>
      <c r="AZ41" s="48" t="n">
        <v>1303</v>
      </c>
      <c r="BA41" s="71" t="n">
        <v>0.053</v>
      </c>
      <c r="BB41" s="50" t="n">
        <f aca="false">IF(AY41&gt;0,AZ41*1000000/AY41,0)</f>
        <v>21.3606557377049</v>
      </c>
      <c r="BC41" s="67" t="n">
        <f aca="false">IF(AND(BA41&gt;0,BB40&gt;0,B41&gt;0),MIN(conv_cap,conv_beta*1*BA41*MAX(0,LN(B41/(BB40*BD40)))),0)</f>
        <v>0.00142161690523535</v>
      </c>
      <c r="BD41" s="68" t="n">
        <f aca="false">BD40*(1+BC41)</f>
        <v>1.00277164562342</v>
      </c>
      <c r="BE41" s="50" t="n">
        <f aca="false">AZ41*BD41</f>
        <v>1306.61145424731</v>
      </c>
      <c r="BF41" s="70" t="n">
        <f aca="false">IF(AY41&gt;0,BE41*1000000/AY41/Economy!Q41,0)</f>
        <v>0.103477584085477</v>
      </c>
      <c r="BG41" s="48" t="n">
        <v>24900000</v>
      </c>
      <c r="BH41" s="48" t="n">
        <v>1440</v>
      </c>
      <c r="BI41" s="71" t="n">
        <v>0.087</v>
      </c>
      <c r="BJ41" s="50" t="n">
        <f aca="false">IF(BG41&gt;0,BH41*1000000/BG41,0)</f>
        <v>57.8313253012048</v>
      </c>
      <c r="BK41" s="67" t="n">
        <f aca="false">IF(AND(BI41&gt;0,BJ40&gt;0,B41&gt;0),MIN(conv_cap,conv_beta*1*BI41*MAX(0,LN(B41/(BJ40*BL40)))),0)</f>
        <v>0.00146515976078355</v>
      </c>
      <c r="BL41" s="68" t="n">
        <f aca="false">BL40*(1+BK41)</f>
        <v>1.01374764813069</v>
      </c>
      <c r="BM41" s="50" t="n">
        <f aca="false">BH41*BL41</f>
        <v>1459.7966133082</v>
      </c>
      <c r="BN41" s="70" t="n">
        <f aca="false">IF(BG41&gt;0,BM41*1000000/BG41/Economy!Q41,0)</f>
        <v>0.283219178803756</v>
      </c>
      <c r="BO41" s="48" t="n">
        <v>12700000</v>
      </c>
      <c r="BP41" s="48" t="n">
        <v>610</v>
      </c>
      <c r="BQ41" s="71" t="n">
        <v>0</v>
      </c>
      <c r="BR41" s="50" t="n">
        <f aca="false">IF(BO41&gt;0,BP41*1000000/BO41,0)</f>
        <v>48.0314960629921</v>
      </c>
      <c r="BS41" s="67" t="n">
        <f aca="false">IF(AND(BQ41&gt;0,BR40&gt;0,B41&gt;0),MIN(conv_cap,conv_beta*1*BQ41*MAX(0,LN(B41/(BR40*BT40)))),0)</f>
        <v>0</v>
      </c>
      <c r="BT41" s="68" t="n">
        <f aca="false">BT40*(1+BS41)</f>
        <v>1</v>
      </c>
      <c r="BU41" s="50"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1.05153159257973</v>
      </c>
      <c r="BX41" s="66" t="n">
        <f aca="false">MIN(mkt_cap,mkt_elast*MAX(0,BW41-1))</f>
        <v>0.025765796289864</v>
      </c>
      <c r="BY41" s="50" t="n">
        <f aca="false">I41+Q41+Y41+AG41</f>
        <v>815.165195779024</v>
      </c>
      <c r="BZ41" s="50" t="n">
        <f aca="false">D41+L41+T41+AB41</f>
        <v>719</v>
      </c>
      <c r="CA41" s="68" t="n">
        <f aca="false">IF(BZ41&gt;0,BY41/BZ41,0)</f>
        <v>1.13374853376777</v>
      </c>
    </row>
    <row r="42" customFormat="false" ht="14.25" hidden="false" customHeight="false" outlineLevel="0" collapsed="false">
      <c r="A42" s="61" t="n">
        <v>1882</v>
      </c>
      <c r="B42" s="50" t="n">
        <f aca="false">Economy!P41</f>
        <v>311.518292496295</v>
      </c>
      <c r="C42" s="48" t="n">
        <v>37280000</v>
      </c>
      <c r="D42" s="65" t="n">
        <f aca="false">Japan!B42</f>
        <v>620</v>
      </c>
      <c r="E42" s="71" t="n">
        <v>0.443</v>
      </c>
      <c r="F42" s="50" t="n">
        <f aca="false">IF(C42&gt;0,D42*1000000/C42,0)</f>
        <v>16.6309012875536</v>
      </c>
      <c r="G42" s="67" t="n">
        <f aca="false">IF(AND(E42&gt;0,F41&gt;0,B42&gt;0),MIN(conv_cap,conv_beta*jp_uplift*E42*MAX(0,LN(B42/(F41*H41)))),0)</f>
        <v>0.0123967343983245</v>
      </c>
      <c r="H42" s="68" t="n">
        <f aca="false">H41*(1+G42)</f>
        <v>1.16329290263788</v>
      </c>
      <c r="I42" s="50" t="n">
        <f aca="false">D42*H42</f>
        <v>721.241599635483</v>
      </c>
      <c r="J42" s="70" t="n">
        <f aca="false">IF(C42&gt;0,I42*1000000/C42/Economy!Q42,0)</f>
        <v>0.0934618813153733</v>
      </c>
      <c r="K42" s="65" t="n">
        <f aca="false">Gulf!B42</f>
        <v>0</v>
      </c>
      <c r="L42" s="50" t="n">
        <f aca="false">Gulf!B42*Gulf!C42*Economy!Q42/1000000</f>
        <v>0</v>
      </c>
      <c r="M42" s="71" t="n">
        <v>0</v>
      </c>
      <c r="N42" s="50" t="n">
        <f aca="false">IF(K42&gt;0,L42*1000000/K42,0)</f>
        <v>0</v>
      </c>
      <c r="O42" s="67" t="n">
        <f aca="false">IF(AND(M42&gt;0,N41&gt;0,B42&gt;0),MIN(conv_cap,conv_beta*1*M42*MAX(0,LN(B42/(N41*P41)))),0)</f>
        <v>0</v>
      </c>
      <c r="P42" s="68" t="n">
        <f aca="false">P41*(1+O42)</f>
        <v>1</v>
      </c>
      <c r="Q42" s="50" t="n">
        <f aca="false">L42*P42</f>
        <v>0</v>
      </c>
      <c r="R42" s="70" t="n">
        <f aca="false">IF(K42&gt;0,Q42*1000000/K42/Economy!Q42,0)</f>
        <v>0</v>
      </c>
      <c r="S42" s="65" t="n">
        <f aca="false">People!U42</f>
        <v>6327000</v>
      </c>
      <c r="T42" s="48" t="n">
        <v>111</v>
      </c>
      <c r="U42" s="71" t="n">
        <v>0.355</v>
      </c>
      <c r="V42" s="50" t="n">
        <f aca="false">IF(S42&gt;0,T42*1000000/S42,0)</f>
        <v>17.5438596491228</v>
      </c>
      <c r="W42" s="67" t="n">
        <f aca="false">IF(AND(U42&gt;0,V41&gt;0,B42&gt;0),MIN(conv_cap,conv_beta*1*U42*MAX(0,LN(B42/(V41*X41)))),0)</f>
        <v>0.0100797347922769</v>
      </c>
      <c r="X42" s="68" t="n">
        <f aca="false">X41*(1+W42)</f>
        <v>1.05868994947493</v>
      </c>
      <c r="Y42" s="50" t="n">
        <f aca="false">T42*X42</f>
        <v>117.514584391717</v>
      </c>
      <c r="Z42" s="70" t="n">
        <f aca="false">IF(S42&gt;0,Y42*1000000/S42/Economy!Q42,0)</f>
        <v>0.0897270912344208</v>
      </c>
      <c r="AA42" s="48" t="n">
        <v>0</v>
      </c>
      <c r="AB42" s="48" t="n">
        <v>0</v>
      </c>
      <c r="AC42" s="71" t="n">
        <v>0</v>
      </c>
      <c r="AD42" s="50" t="n">
        <f aca="false">IF(AA42&gt;0,AB42*1000000/AA42,0)</f>
        <v>0</v>
      </c>
      <c r="AE42" s="67" t="n">
        <f aca="false">IF(AND(AC42&gt;0,AD41&gt;0,B42&gt;0),MIN(conv_cap,conv_beta*1*AC42*MAX(0,LN(B42/(AD41*AF41)))),0)</f>
        <v>0</v>
      </c>
      <c r="AF42" s="68" t="n">
        <f aca="false">AF41*(1+AE42)</f>
        <v>1</v>
      </c>
      <c r="AG42" s="50" t="n">
        <f aca="false">AB42*AF42</f>
        <v>0</v>
      </c>
      <c r="AH42" s="70" t="n">
        <f aca="false">IF(AA42&gt;0,AG42*1000000/AA42/Economy!Q42,0)</f>
        <v>0</v>
      </c>
      <c r="AI42" s="48" t="n">
        <v>374800000</v>
      </c>
      <c r="AJ42" s="48" t="n">
        <v>3700</v>
      </c>
      <c r="AK42" s="71" t="n">
        <v>0.129</v>
      </c>
      <c r="AL42" s="50" t="n">
        <f aca="false">IF(AI42&gt;0,AJ42*1000000/AI42,0)</f>
        <v>9.87193169690502</v>
      </c>
      <c r="AM42" s="67" t="n">
        <f aca="false">IF(AND(AK42&gt;0,AL41&gt;0,B42&gt;0),MIN(conv_cap,conv_beta*1*AK42*MAX(0,LN(B42/(AL41*AN41)))),0)</f>
        <v>0.00438009892508339</v>
      </c>
      <c r="AN42" s="68" t="n">
        <f aca="false">AN41*(1+AM42)</f>
        <v>1.06350534974083</v>
      </c>
      <c r="AO42" s="50" t="n">
        <f aca="false">AJ42*AN42</f>
        <v>3934.96979404107</v>
      </c>
      <c r="AP42" s="70" t="n">
        <f aca="false">IF(AI42&gt;0,AO42*1000000/AI42/Economy!Q42,0)</f>
        <v>0.0507190926180413</v>
      </c>
      <c r="AQ42" s="48" t="n">
        <v>10800000</v>
      </c>
      <c r="AR42" s="48" t="n">
        <v>190</v>
      </c>
      <c r="AS42" s="71" t="n">
        <v>0.157</v>
      </c>
      <c r="AT42" s="50" t="n">
        <f aca="false">IF(AQ42&gt;0,AR42*1000000/AQ42,0)</f>
        <v>17.5925925925926</v>
      </c>
      <c r="AU42" s="67" t="n">
        <f aca="false">IF(AND(AS42&gt;0,AT41&gt;0,B42&gt;0),MIN(conv_cap,conv_beta*1*AS42*MAX(0,LN(B42/(AT41*AV41)))),0)</f>
        <v>0.00451653875170003</v>
      </c>
      <c r="AV42" s="68" t="n">
        <f aca="false">AV41*(1+AU42)</f>
        <v>1.01118518665079</v>
      </c>
      <c r="AW42" s="50" t="n">
        <f aca="false">AR42*AV42</f>
        <v>192.125185463651</v>
      </c>
      <c r="AX42" s="70" t="n">
        <f aca="false">IF(AQ42&gt;0,AW42*1000000/AQ42/Economy!Q42,0)</f>
        <v>0.0859389807942614</v>
      </c>
      <c r="AY42" s="48" t="n">
        <v>62000000</v>
      </c>
      <c r="AZ42" s="48" t="n">
        <v>1340</v>
      </c>
      <c r="BA42" s="71" t="n">
        <v>0.055</v>
      </c>
      <c r="BB42" s="50" t="n">
        <f aca="false">IF(AY42&gt;0,AZ42*1000000/AY42,0)</f>
        <v>21.6129032258065</v>
      </c>
      <c r="BC42" s="67" t="n">
        <f aca="false">IF(AND(BA42&gt;0,BB41&gt;0,B42&gt;0),MIN(conv_cap,conv_beta*1*BA42*MAX(0,LN(B42/(BB41*BD41)))),0)</f>
        <v>0.0014724267446681</v>
      </c>
      <c r="BD42" s="68" t="n">
        <f aca="false">BD41*(1+BC42)</f>
        <v>1.00424815341323</v>
      </c>
      <c r="BE42" s="50" t="n">
        <f aca="false">AZ42*BD42</f>
        <v>1345.69252557373</v>
      </c>
      <c r="BF42" s="70" t="n">
        <f aca="false">IF(AY42&gt;0,BE42*1000000/AY42/Economy!Q42,0)</f>
        <v>0.104853710890894</v>
      </c>
      <c r="BG42" s="48" t="n">
        <v>25200000</v>
      </c>
      <c r="BH42" s="48" t="n">
        <v>1480</v>
      </c>
      <c r="BI42" s="71" t="n">
        <v>0.09</v>
      </c>
      <c r="BJ42" s="50" t="n">
        <f aca="false">IF(BG42&gt;0,BH42*1000000/BG42,0)</f>
        <v>58.7301587301587</v>
      </c>
      <c r="BK42" s="67" t="n">
        <f aca="false">IF(AND(BI42&gt;0,BJ41&gt;0,B42&gt;0),MIN(conv_cap,conv_beta*1*BI42*MAX(0,LN(B42/(BJ41*BL41)))),0)</f>
        <v>0.00150324611835016</v>
      </c>
      <c r="BL42" s="68" t="n">
        <f aca="false">BL41*(1+BK42)</f>
        <v>1.01527156034773</v>
      </c>
      <c r="BM42" s="50" t="n">
        <f aca="false">BH42*BL42</f>
        <v>1502.60190931464</v>
      </c>
      <c r="BN42" s="70" t="n">
        <f aca="false">IF(BG42&gt;0,BM42*1000000/BG42/Economy!Q42,0)</f>
        <v>0.2880534294369</v>
      </c>
      <c r="BO42" s="48" t="n">
        <v>12800000</v>
      </c>
      <c r="BP42" s="48" t="n">
        <v>620</v>
      </c>
      <c r="BQ42" s="71" t="n">
        <v>0</v>
      </c>
      <c r="BR42" s="50" t="n">
        <f aca="false">IF(BO42&gt;0,BP42*1000000/BO42,0)</f>
        <v>48.4375</v>
      </c>
      <c r="BS42" s="67" t="n">
        <f aca="false">IF(AND(BQ42&gt;0,BR41&gt;0,B42&gt;0),MIN(conv_cap,conv_beta*1*BQ42*MAX(0,LN(B42/(BR41*BT41)))),0)</f>
        <v>0</v>
      </c>
      <c r="BT42" s="68" t="n">
        <f aca="false">BT41*(1+BS42)</f>
        <v>1</v>
      </c>
      <c r="BU42" s="50"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1.05696531969815</v>
      </c>
      <c r="BX42" s="66" t="n">
        <f aca="false">MIN(mkt_cap,mkt_elast*MAX(0,BW42-1))</f>
        <v>0.0284826598490743</v>
      </c>
      <c r="BY42" s="50" t="n">
        <f aca="false">I42+Q42+Y42+AG42</f>
        <v>838.7561840272</v>
      </c>
      <c r="BZ42" s="50" t="n">
        <f aca="false">D42+L42+T42+AB42</f>
        <v>731</v>
      </c>
      <c r="CA42" s="68" t="n">
        <f aca="false">IF(BZ42&gt;0,BY42/BZ42,0)</f>
        <v>1.14740928047497</v>
      </c>
    </row>
    <row r="43" customFormat="false" ht="14.25" hidden="false" customHeight="false" outlineLevel="0" collapsed="false">
      <c r="A43" s="61" t="n">
        <v>1883</v>
      </c>
      <c r="B43" s="50" t="n">
        <f aca="false">Economy!P42</f>
        <v>313.4513843164</v>
      </c>
      <c r="C43" s="48" t="n">
        <v>37620000</v>
      </c>
      <c r="D43" s="65" t="n">
        <f aca="false">Japan!B43</f>
        <v>630</v>
      </c>
      <c r="E43" s="71" t="n">
        <v>0.464</v>
      </c>
      <c r="F43" s="50" t="n">
        <f aca="false">IF(C43&gt;0,D43*1000000/C43,0)</f>
        <v>16.7464114832536</v>
      </c>
      <c r="G43" s="67" t="n">
        <f aca="false">IF(AND(E43&gt;0,F42&gt;0,B43&gt;0),MIN(conv_cap,conv_beta*jp_uplift*E43*MAX(0,LN(B43/(F42*H42)))),0)</f>
        <v>0.0129229897120412</v>
      </c>
      <c r="H43" s="68" t="n">
        <f aca="false">H42*(1+G43)</f>
        <v>1.17832612485076</v>
      </c>
      <c r="I43" s="50" t="n">
        <f aca="false">D43*H43</f>
        <v>742.345458655976</v>
      </c>
      <c r="J43" s="70" t="n">
        <f aca="false">IF(C43&gt;0,I43*1000000/C43/Economy!Q43,0)</f>
        <v>0.0957899715932932</v>
      </c>
      <c r="K43" s="65" t="n">
        <f aca="false">Gulf!B43</f>
        <v>0</v>
      </c>
      <c r="L43" s="50" t="n">
        <f aca="false">Gulf!B43*Gulf!C43*Economy!Q43/1000000</f>
        <v>0</v>
      </c>
      <c r="M43" s="71" t="n">
        <v>0</v>
      </c>
      <c r="N43" s="50" t="n">
        <f aca="false">IF(K43&gt;0,L43*1000000/K43,0)</f>
        <v>0</v>
      </c>
      <c r="O43" s="67" t="n">
        <f aca="false">IF(AND(M43&gt;0,N42&gt;0,B43&gt;0),MIN(conv_cap,conv_beta*1*M43*MAX(0,LN(B43/(N42*P42)))),0)</f>
        <v>0</v>
      </c>
      <c r="P43" s="68" t="n">
        <f aca="false">P42*(1+O43)</f>
        <v>1</v>
      </c>
      <c r="Q43" s="50" t="n">
        <f aca="false">L43*P43</f>
        <v>0</v>
      </c>
      <c r="R43" s="70" t="n">
        <f aca="false">IF(K43&gt;0,Q43*1000000/K43/Economy!Q43,0)</f>
        <v>0</v>
      </c>
      <c r="S43" s="65" t="n">
        <f aca="false">People!U43</f>
        <v>6382000</v>
      </c>
      <c r="T43" s="48" t="n">
        <v>113</v>
      </c>
      <c r="U43" s="71" t="n">
        <v>0.364</v>
      </c>
      <c r="V43" s="50" t="n">
        <f aca="false">IF(S43&gt;0,T43*1000000/S43,0)</f>
        <v>17.7060482607333</v>
      </c>
      <c r="W43" s="67" t="n">
        <f aca="false">IF(AND(U43&gt;0,V42&gt;0,B43&gt;0),MIN(conv_cap,conv_beta*1*U43*MAX(0,LN(B43/(V42*X42)))),0)</f>
        <v>0.0102863051778661</v>
      </c>
      <c r="X43" s="68" t="n">
        <f aca="false">X42*(1+W43)</f>
        <v>1.06957995738397</v>
      </c>
      <c r="Y43" s="50" t="n">
        <f aca="false">T43*X43</f>
        <v>120.862535184389</v>
      </c>
      <c r="Z43" s="70" t="n">
        <f aca="false">IF(S43&gt;0,Y43*1000000/S43/Economy!Q43,0)</f>
        <v>0.0919322055541439</v>
      </c>
      <c r="AA43" s="48" t="n">
        <v>0</v>
      </c>
      <c r="AB43" s="48" t="n">
        <v>0</v>
      </c>
      <c r="AC43" s="71" t="n">
        <v>0</v>
      </c>
      <c r="AD43" s="50" t="n">
        <f aca="false">IF(AA43&gt;0,AB43*1000000/AA43,0)</f>
        <v>0</v>
      </c>
      <c r="AE43" s="67" t="n">
        <f aca="false">IF(AND(AC43&gt;0,AD42&gt;0,B43&gt;0),MIN(conv_cap,conv_beta*1*AC43*MAX(0,LN(B43/(AD42*AF42)))),0)</f>
        <v>0</v>
      </c>
      <c r="AF43" s="68" t="n">
        <f aca="false">AF42*(1+AE43)</f>
        <v>1</v>
      </c>
      <c r="AG43" s="50" t="n">
        <f aca="false">AB43*AF43</f>
        <v>0</v>
      </c>
      <c r="AH43" s="70" t="n">
        <f aca="false">IF(AA43&gt;0,AG43*1000000/AA43/Economy!Q43,0)</f>
        <v>0</v>
      </c>
      <c r="AI43" s="48" t="n">
        <v>376200000</v>
      </c>
      <c r="AJ43" s="48" t="n">
        <v>3717</v>
      </c>
      <c r="AK43" s="71" t="n">
        <v>0.133</v>
      </c>
      <c r="AL43" s="50" t="n">
        <f aca="false">IF(AI43&gt;0,AJ43*1000000/AI43,0)</f>
        <v>9.88038277511962</v>
      </c>
      <c r="AM43" s="67" t="n">
        <f aca="false">IF(AND(AK43&gt;0,AL42&gt;0,B43&gt;0),MIN(conv_cap,conv_beta*1*AK43*MAX(0,LN(B43/(AL42*AN42)))),0)</f>
        <v>0.00451718319202386</v>
      </c>
      <c r="AN43" s="68" t="n">
        <f aca="false">AN42*(1+AM43)</f>
        <v>1.06830939823131</v>
      </c>
      <c r="AO43" s="50" t="n">
        <f aca="false">AJ43*AN43</f>
        <v>3970.90603322576</v>
      </c>
      <c r="AP43" s="70" t="n">
        <f aca="false">IF(AI43&gt;0,AO43*1000000/AI43/Economy!Q43,0)</f>
        <v>0.0512393484309854</v>
      </c>
      <c r="AQ43" s="48" t="n">
        <v>10870000</v>
      </c>
      <c r="AR43" s="48" t="n">
        <v>193</v>
      </c>
      <c r="AS43" s="71" t="n">
        <v>0.186</v>
      </c>
      <c r="AT43" s="50" t="n">
        <f aca="false">IF(AQ43&gt;0,AR43*1000000/AQ43,0)</f>
        <v>17.7552897884085</v>
      </c>
      <c r="AU43" s="67" t="n">
        <f aca="false">IF(AND(AS43&gt;0,AT42&gt;0,B43&gt;0),MIN(conv_cap,conv_beta*1*AS43*MAX(0,LN(B43/(AT42*AV42)))),0)</f>
        <v>0.00533642042833575</v>
      </c>
      <c r="AV43" s="68" t="n">
        <f aca="false">AV42*(1+AU43)</f>
        <v>1.01658129593767</v>
      </c>
      <c r="AW43" s="50" t="n">
        <f aca="false">AR43*AV43</f>
        <v>196.20019011597</v>
      </c>
      <c r="AX43" s="70" t="n">
        <f aca="false">IF(AQ43&gt;0,AW43*1000000/AQ43/Economy!Q43,0)</f>
        <v>0.0876198810817918</v>
      </c>
      <c r="AY43" s="48" t="n">
        <v>63000000</v>
      </c>
      <c r="AZ43" s="48" t="n">
        <v>1377</v>
      </c>
      <c r="BA43" s="71" t="n">
        <v>0.058</v>
      </c>
      <c r="BB43" s="50" t="n">
        <f aca="false">IF(AY43&gt;0,AZ43*1000000/AY43,0)</f>
        <v>21.8571428571429</v>
      </c>
      <c r="BC43" s="67" t="n">
        <f aca="false">IF(AND(BA43&gt;0,BB42&gt;0,B43&gt;0),MIN(conv_cap,conv_beta*1*BA43*MAX(0,LN(B43/(BB42*BD42)))),0)</f>
        <v>0.0015486664742138</v>
      </c>
      <c r="BD43" s="68" t="n">
        <f aca="false">BD42*(1+BC43)</f>
        <v>1.00580339886021</v>
      </c>
      <c r="BE43" s="50" t="n">
        <f aca="false">AZ43*BD43</f>
        <v>1384.99128023051</v>
      </c>
      <c r="BF43" s="70" t="n">
        <f aca="false">IF(AY43&gt;0,BE43*1000000/AY43/Economy!Q43,0)</f>
        <v>0.106718391141201</v>
      </c>
      <c r="BG43" s="48" t="n">
        <v>25500000</v>
      </c>
      <c r="BH43" s="48" t="n">
        <v>1520</v>
      </c>
      <c r="BI43" s="71" t="n">
        <v>0.093</v>
      </c>
      <c r="BJ43" s="50" t="n">
        <f aca="false">IF(BG43&gt;0,BH43*1000000/BG43,0)</f>
        <v>59.6078431372549</v>
      </c>
      <c r="BK43" s="67" t="n">
        <f aca="false">IF(AND(BI43&gt;0,BJ42&gt;0,B43&gt;0),MIN(conv_cap,conv_beta*1*BI43*MAX(0,LN(B43/(BJ42*BL42)))),0)</f>
        <v>0.00154336734354566</v>
      </c>
      <c r="BL43" s="68" t="n">
        <f aca="false">BL42*(1+BK43)</f>
        <v>1.0168384973188</v>
      </c>
      <c r="BM43" s="50" t="n">
        <f aca="false">BH43*BL43</f>
        <v>1545.59451592458</v>
      </c>
      <c r="BN43" s="70" t="n">
        <f aca="false">IF(BG43&gt;0,BM43*1000000/BG43/Economy!Q43,0)</f>
        <v>0.294230823515055</v>
      </c>
      <c r="BO43" s="48" t="n">
        <v>12900000</v>
      </c>
      <c r="BP43" s="48" t="n">
        <v>630</v>
      </c>
      <c r="BQ43" s="71" t="n">
        <v>0</v>
      </c>
      <c r="BR43" s="50" t="n">
        <f aca="false">IF(BO43&gt;0,BP43*1000000/BO43,0)</f>
        <v>48.8372093023256</v>
      </c>
      <c r="BS43" s="67" t="n">
        <f aca="false">IF(AND(BQ43&gt;0,BR42&gt;0,B43&gt;0),MIN(conv_cap,conv_beta*1*BQ43*MAX(0,LN(B43/(BR42*BT42)))),0)</f>
        <v>0</v>
      </c>
      <c r="BT43" s="68" t="n">
        <f aca="false">BT42*(1+BS43)</f>
        <v>1</v>
      </c>
      <c r="BU43" s="50"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1.06268086842947</v>
      </c>
      <c r="BX43" s="66" t="n">
        <f aca="false">MIN(mkt_cap,mkt_elast*MAX(0,BW43-1))</f>
        <v>0.0313404342147331</v>
      </c>
      <c r="BY43" s="50" t="n">
        <f aca="false">I43+Q43+Y43+AG43</f>
        <v>863.207993840365</v>
      </c>
      <c r="BZ43" s="50" t="n">
        <f aca="false">D43+L43+T43+AB43</f>
        <v>743</v>
      </c>
      <c r="CA43" s="68" t="n">
        <f aca="false">IF(BZ43&gt;0,BY43/BZ43,0)</f>
        <v>1.16178734029659</v>
      </c>
    </row>
    <row r="44" customFormat="false" ht="14.25" hidden="false" customHeight="false" outlineLevel="0" collapsed="false">
      <c r="A44" s="61" t="n">
        <v>1884</v>
      </c>
      <c r="B44" s="50" t="n">
        <f aca="false">Economy!P43</f>
        <v>315.308091572328</v>
      </c>
      <c r="C44" s="48" t="n">
        <v>37960000</v>
      </c>
      <c r="D44" s="65" t="n">
        <f aca="false">Japan!B44</f>
        <v>640</v>
      </c>
      <c r="E44" s="71" t="n">
        <v>0.486</v>
      </c>
      <c r="F44" s="50" t="n">
        <f aca="false">IF(C44&gt;0,D44*1000000/C44,0)</f>
        <v>16.8598524762908</v>
      </c>
      <c r="G44" s="67" t="n">
        <f aca="false">IF(AND(E44&gt;0,F43&gt;0,B44&gt;0),MIN(conv_cap,conv_beta*jp_uplift*E44*MAX(0,LN(B44/(F43*H43)))),0)</f>
        <v>0.0134683787156153</v>
      </c>
      <c r="H44" s="68" t="n">
        <f aca="false">H43*(1+G44)</f>
        <v>1.19419626735075</v>
      </c>
      <c r="I44" s="50" t="n">
        <f aca="false">D44*H44</f>
        <v>764.28561110448</v>
      </c>
      <c r="J44" s="70" t="n">
        <f aca="false">IF(C44&gt;0,I44*1000000/C44/Economy!Q44,0)</f>
        <v>0.0977377325013146</v>
      </c>
      <c r="K44" s="65" t="n">
        <f aca="false">Gulf!B44</f>
        <v>0</v>
      </c>
      <c r="L44" s="50" t="n">
        <f aca="false">Gulf!B44*Gulf!C44*Economy!Q44/1000000</f>
        <v>0</v>
      </c>
      <c r="M44" s="71" t="n">
        <v>0</v>
      </c>
      <c r="N44" s="50" t="n">
        <f aca="false">IF(K44&gt;0,L44*1000000/K44,0)</f>
        <v>0</v>
      </c>
      <c r="O44" s="67" t="n">
        <f aca="false">IF(AND(M44&gt;0,N43&gt;0,B44&gt;0),MIN(conv_cap,conv_beta*1*M44*MAX(0,LN(B44/(N43*P43)))),0)</f>
        <v>0</v>
      </c>
      <c r="P44" s="68" t="n">
        <f aca="false">P43*(1+O44)</f>
        <v>1</v>
      </c>
      <c r="Q44" s="50" t="n">
        <f aca="false">L44*P44</f>
        <v>0</v>
      </c>
      <c r="R44" s="70" t="n">
        <f aca="false">IF(K44&gt;0,Q44*1000000/K44/Economy!Q44,0)</f>
        <v>0</v>
      </c>
      <c r="S44" s="65" t="n">
        <f aca="false">People!U44</f>
        <v>6436000</v>
      </c>
      <c r="T44" s="48" t="n">
        <v>115</v>
      </c>
      <c r="U44" s="71" t="n">
        <v>0.373</v>
      </c>
      <c r="V44" s="50" t="n">
        <f aca="false">IF(S44&gt;0,T44*1000000/S44,0)</f>
        <v>17.8682411435674</v>
      </c>
      <c r="W44" s="67" t="n">
        <f aca="false">IF(AND(U44&gt;0,V43&gt;0,B44&gt;0),MIN(conv_cap,conv_beta*1*U44*MAX(0,LN(B44/(V43*X43)))),0)</f>
        <v>0.0104901696798229</v>
      </c>
      <c r="X44" s="68" t="n">
        <f aca="false">X43*(1+W44)</f>
        <v>1.08080003262307</v>
      </c>
      <c r="Y44" s="50" t="n">
        <f aca="false">T44*X44</f>
        <v>124.292003751652</v>
      </c>
      <c r="Z44" s="70" t="n">
        <f aca="false">IF(S44&gt;0,Y44*1000000/S44/Economy!Q44,0)</f>
        <v>0.0937475515091479</v>
      </c>
      <c r="AA44" s="48" t="n">
        <v>0</v>
      </c>
      <c r="AB44" s="48" t="n">
        <v>0</v>
      </c>
      <c r="AC44" s="71" t="n">
        <v>0</v>
      </c>
      <c r="AD44" s="50" t="n">
        <f aca="false">IF(AA44&gt;0,AB44*1000000/AA44,0)</f>
        <v>0</v>
      </c>
      <c r="AE44" s="67" t="n">
        <f aca="false">IF(AND(AC44&gt;0,AD43&gt;0,B44&gt;0),MIN(conv_cap,conv_beta*1*AC44*MAX(0,LN(B44/(AD43*AF43)))),0)</f>
        <v>0</v>
      </c>
      <c r="AF44" s="68" t="n">
        <f aca="false">AF43*(1+AE44)</f>
        <v>1</v>
      </c>
      <c r="AG44" s="50" t="n">
        <f aca="false">AB44*AF44</f>
        <v>0</v>
      </c>
      <c r="AH44" s="70" t="n">
        <f aca="false">IF(AA44&gt;0,AG44*1000000/AA44/Economy!Q44,0)</f>
        <v>0</v>
      </c>
      <c r="AI44" s="48" t="n">
        <v>377600000</v>
      </c>
      <c r="AJ44" s="48" t="n">
        <v>3733</v>
      </c>
      <c r="AK44" s="71" t="n">
        <v>0.138</v>
      </c>
      <c r="AL44" s="50" t="n">
        <f aca="false">IF(AI44&gt;0,AJ44*1000000/AI44,0)</f>
        <v>9.88612288135593</v>
      </c>
      <c r="AM44" s="67" t="n">
        <f aca="false">IF(AND(AK44&gt;0,AL43&gt;0,B44&gt;0),MIN(conv_cap,conv_beta*1*AK44*MAX(0,LN(B44/(AL43*AN43)))),0)</f>
        <v>0.00468775177843996</v>
      </c>
      <c r="AN44" s="68" t="n">
        <f aca="false">AN43*(1+AM44)</f>
        <v>1.07331736751279</v>
      </c>
      <c r="AO44" s="50" t="n">
        <f aca="false">AJ44*AN44</f>
        <v>4006.69373292524</v>
      </c>
      <c r="AP44" s="70" t="n">
        <f aca="false">IF(AI44&gt;0,AO44*1000000/AI44/Economy!Q44,0)</f>
        <v>0.0515094533297325</v>
      </c>
      <c r="AQ44" s="48" t="n">
        <v>10930000</v>
      </c>
      <c r="AR44" s="48" t="n">
        <v>197</v>
      </c>
      <c r="AS44" s="71" t="n">
        <v>0.214</v>
      </c>
      <c r="AT44" s="50" t="n">
        <f aca="false">IF(AQ44&gt;0,AR44*1000000/AQ44,0)</f>
        <v>18.0237877401647</v>
      </c>
      <c r="AU44" s="67" t="n">
        <f aca="false">IF(AND(AS44&gt;0,AT43&gt;0,B44&gt;0),MIN(conv_cap,conv_beta*1*AS44*MAX(0,LN(B44/(AT43*AV43)))),0)</f>
        <v>0.00612130182665237</v>
      </c>
      <c r="AV44" s="68" t="n">
        <f aca="false">AV43*(1+AU44)</f>
        <v>1.02280409688143</v>
      </c>
      <c r="AW44" s="50" t="n">
        <f aca="false">AR44*AV44</f>
        <v>201.492407085642</v>
      </c>
      <c r="AX44" s="70" t="n">
        <f aca="false">IF(AQ44&gt;0,AW44*1000000/AQ44/Economy!Q44,0)</f>
        <v>0.0894893395240862</v>
      </c>
      <c r="AY44" s="48" t="n">
        <v>64000000</v>
      </c>
      <c r="AZ44" s="48" t="n">
        <v>1413</v>
      </c>
      <c r="BA44" s="71" t="n">
        <v>0.06</v>
      </c>
      <c r="BB44" s="50" t="n">
        <f aca="false">IF(AY44&gt;0,AZ44*1000000/AY44,0)</f>
        <v>22.078125</v>
      </c>
      <c r="BC44" s="67" t="n">
        <f aca="false">IF(AND(BA44&gt;0,BB43&gt;0,B44&gt;0),MIN(conv_cap,conv_beta*1*BA44*MAX(0,LN(B44/(BB43*BD43)))),0)</f>
        <v>0.00159794149977855</v>
      </c>
      <c r="BD44" s="68" t="n">
        <f aca="false">BD43*(1+BC44)</f>
        <v>1.00741061385187</v>
      </c>
      <c r="BE44" s="50" t="n">
        <f aca="false">AZ44*BD44</f>
        <v>1423.47119737269</v>
      </c>
      <c r="BF44" s="70" t="n">
        <f aca="false">IF(AY44&gt;0,BE44*1000000/AY44/Economy!Q44,0)</f>
        <v>0.107969599315283</v>
      </c>
      <c r="BG44" s="48" t="n">
        <v>25700000</v>
      </c>
      <c r="BH44" s="48" t="n">
        <v>1560</v>
      </c>
      <c r="BI44" s="71" t="n">
        <v>0.097</v>
      </c>
      <c r="BJ44" s="50" t="n">
        <f aca="false">IF(BG44&gt;0,BH44*1000000/BG44,0)</f>
        <v>60.7003891050584</v>
      </c>
      <c r="BK44" s="67" t="n">
        <f aca="false">IF(AND(BI44&gt;0,BJ43&gt;0,B44&gt;0),MIN(conv_cap,conv_beta*1*BI44*MAX(0,LN(B44/(BJ43*BL43)))),0)</f>
        <v>0.00159959282322346</v>
      </c>
      <c r="BL44" s="68" t="n">
        <f aca="false">BL43*(1+BK44)</f>
        <v>1.01846502488149</v>
      </c>
      <c r="BM44" s="50" t="n">
        <f aca="false">BH44*BL44</f>
        <v>1588.80543881513</v>
      </c>
      <c r="BN44" s="70" t="n">
        <f aca="false">IF(BG44&gt;0,BM44*1000000/BG44/Economy!Q44,0)</f>
        <v>0.300103025729124</v>
      </c>
      <c r="BO44" s="48" t="n">
        <v>12900000</v>
      </c>
      <c r="BP44" s="48" t="n">
        <v>640</v>
      </c>
      <c r="BQ44" s="71" t="n">
        <v>0</v>
      </c>
      <c r="BR44" s="50" t="n">
        <f aca="false">IF(BO44&gt;0,BP44*1000000/BO44,0)</f>
        <v>49.6124031007752</v>
      </c>
      <c r="BS44" s="67" t="n">
        <f aca="false">IF(AND(BQ44&gt;0,BR43&gt;0,B44&gt;0),MIN(conv_cap,conv_beta*1*BQ44*MAX(0,LN(B44/(BR43*BT43)))),0)</f>
        <v>0</v>
      </c>
      <c r="BT44" s="68" t="n">
        <f aca="false">BT43*(1+BS44)</f>
        <v>1</v>
      </c>
      <c r="BU44" s="50"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1.06869544924859</v>
      </c>
      <c r="BX44" s="66" t="n">
        <f aca="false">MIN(mkt_cap,mkt_elast*MAX(0,BW44-1))</f>
        <v>0.0343477246242959</v>
      </c>
      <c r="BY44" s="50" t="n">
        <f aca="false">I44+Q44+Y44+AG44</f>
        <v>888.577614856132</v>
      </c>
      <c r="BZ44" s="50" t="n">
        <f aca="false">D44+L44+T44+AB44</f>
        <v>755</v>
      </c>
      <c r="CA44" s="68" t="n">
        <f aca="false">IF(BZ44&gt;0,BY44/BZ44,0)</f>
        <v>1.17692399318693</v>
      </c>
    </row>
    <row r="45" customFormat="false" ht="14.25" hidden="false" customHeight="false" outlineLevel="0" collapsed="false">
      <c r="A45" s="61" t="n">
        <v>1885</v>
      </c>
      <c r="B45" s="50" t="n">
        <f aca="false">Economy!P44</f>
        <v>310.97709128109</v>
      </c>
      <c r="C45" s="48" t="n">
        <v>38300000</v>
      </c>
      <c r="D45" s="65" t="n">
        <f aca="false">Japan!B45</f>
        <v>650</v>
      </c>
      <c r="E45" s="71" t="n">
        <v>0.507</v>
      </c>
      <c r="F45" s="50" t="n">
        <f aca="false">IF(C45&gt;0,D45*1000000/C45,0)</f>
        <v>16.9712793733681</v>
      </c>
      <c r="G45" s="67" t="n">
        <f aca="false">IF(AND(E45&gt;0,F44&gt;0,B45&gt;0),MIN(conv_cap,conv_beta*jp_uplift*E45*MAX(0,LN(B45/(F44*H44)))),0)</f>
        <v>0.013878165076118</v>
      </c>
      <c r="H45" s="68" t="n">
        <f aca="false">H44*(1+G45)</f>
        <v>1.21076952028233</v>
      </c>
      <c r="I45" s="50" t="n">
        <f aca="false">D45*H45</f>
        <v>787.000188183512</v>
      </c>
      <c r="J45" s="70" t="n">
        <f aca="false">IF(C45&gt;0,I45*1000000/C45/Economy!Q45,0)</f>
        <v>0.100235647734001</v>
      </c>
      <c r="K45" s="65" t="n">
        <f aca="false">Gulf!B45</f>
        <v>0</v>
      </c>
      <c r="L45" s="50" t="n">
        <f aca="false">Gulf!B45*Gulf!C45*Economy!Q45/1000000</f>
        <v>0</v>
      </c>
      <c r="M45" s="71" t="n">
        <v>0</v>
      </c>
      <c r="N45" s="50" t="n">
        <f aca="false">IF(K45&gt;0,L45*1000000/K45,0)</f>
        <v>0</v>
      </c>
      <c r="O45" s="67" t="n">
        <f aca="false">IF(AND(M45&gt;0,N44&gt;0,B45&gt;0),MIN(conv_cap,conv_beta*1*M45*MAX(0,LN(B45/(N44*P44)))),0)</f>
        <v>0</v>
      </c>
      <c r="P45" s="68" t="n">
        <f aca="false">P44*(1+O45)</f>
        <v>1</v>
      </c>
      <c r="Q45" s="50" t="n">
        <f aca="false">L45*P45</f>
        <v>0</v>
      </c>
      <c r="R45" s="70" t="n">
        <f aca="false">IF(K45&gt;0,Q45*1000000/K45/Economy!Q45,0)</f>
        <v>0</v>
      </c>
      <c r="S45" s="65" t="n">
        <f aca="false">People!U45</f>
        <v>6491000</v>
      </c>
      <c r="T45" s="48" t="n">
        <v>116</v>
      </c>
      <c r="U45" s="71" t="n">
        <v>0.382</v>
      </c>
      <c r="V45" s="50" t="n">
        <f aca="false">IF(S45&gt;0,T45*1000000/S45,0)</f>
        <v>17.8708981666923</v>
      </c>
      <c r="W45" s="67" t="n">
        <f aca="false">IF(AND(U45&gt;0,V44&gt;0,B45&gt;0),MIN(conv_cap,conv_beta*1*U45*MAX(0,LN(B45/(V44*X44)))),0)</f>
        <v>0.0106157525376737</v>
      </c>
      <c r="X45" s="68" t="n">
        <f aca="false">X44*(1+W45)</f>
        <v>1.0922735383121</v>
      </c>
      <c r="Y45" s="50" t="n">
        <f aca="false">T45*X45</f>
        <v>126.703730444204</v>
      </c>
      <c r="Z45" s="70" t="n">
        <f aca="false">IF(S45&gt;0,Y45*1000000/S45/Economy!Q45,0)</f>
        <v>0.0952190691382843</v>
      </c>
      <c r="AA45" s="48" t="n">
        <v>0</v>
      </c>
      <c r="AB45" s="48" t="n">
        <v>0</v>
      </c>
      <c r="AC45" s="71" t="n">
        <v>0</v>
      </c>
      <c r="AD45" s="50" t="n">
        <f aca="false">IF(AA45&gt;0,AB45*1000000/AA45,0)</f>
        <v>0</v>
      </c>
      <c r="AE45" s="67" t="n">
        <f aca="false">IF(AND(AC45&gt;0,AD44&gt;0,B45&gt;0),MIN(conv_cap,conv_beta*1*AC45*MAX(0,LN(B45/(AD44*AF44)))),0)</f>
        <v>0</v>
      </c>
      <c r="AF45" s="68" t="n">
        <f aca="false">AF44*(1+AE45)</f>
        <v>1</v>
      </c>
      <c r="AG45" s="50" t="n">
        <f aca="false">AB45*AF45</f>
        <v>0</v>
      </c>
      <c r="AH45" s="70" t="n">
        <f aca="false">IF(AA45&gt;0,AG45*1000000/AA45/Economy!Q45,0)</f>
        <v>0</v>
      </c>
      <c r="AI45" s="48" t="n">
        <v>379000000</v>
      </c>
      <c r="AJ45" s="48" t="n">
        <v>3750</v>
      </c>
      <c r="AK45" s="71" t="n">
        <v>0.142</v>
      </c>
      <c r="AL45" s="50" t="n">
        <f aca="false">IF(AI45&gt;0,AJ45*1000000/AI45,0)</f>
        <v>9.89445910290237</v>
      </c>
      <c r="AM45" s="67" t="n">
        <f aca="false">IF(AND(AK45&gt;0,AL44&gt;0,B45&gt;0),MIN(conv_cap,conv_beta*1*AK45*MAX(0,LN(B45/(AL44*AN44)))),0)</f>
        <v>0.00479652287073204</v>
      </c>
      <c r="AN45" s="68" t="n">
        <f aca="false">AN44*(1+AM45)</f>
        <v>1.07846555881362</v>
      </c>
      <c r="AO45" s="50" t="n">
        <f aca="false">AJ45*AN45</f>
        <v>4044.24584555107</v>
      </c>
      <c r="AP45" s="70" t="n">
        <f aca="false">IF(AI45&gt;0,AO45*1000000/AI45/Economy!Q45,0)</f>
        <v>0.0520528456857078</v>
      </c>
      <c r="AQ45" s="48" t="n">
        <v>11000000</v>
      </c>
      <c r="AR45" s="48" t="n">
        <v>200</v>
      </c>
      <c r="AS45" s="71" t="n">
        <v>0.243</v>
      </c>
      <c r="AT45" s="50" t="n">
        <f aca="false">IF(AQ45&gt;0,AR45*1000000/AQ45,0)</f>
        <v>18.1818181818182</v>
      </c>
      <c r="AU45" s="67" t="n">
        <f aca="false">IF(AND(AS45&gt;0,AT44&gt;0,B45&gt;0),MIN(conv_cap,conv_beta*1*AS45*MAX(0,LN(B45/(AT44*AV44)))),0)</f>
        <v>0.00686591360904611</v>
      </c>
      <c r="AV45" s="68" t="n">
        <f aca="false">AV44*(1+AU45)</f>
        <v>1.0298265814496</v>
      </c>
      <c r="AW45" s="50" t="n">
        <f aca="false">AR45*AV45</f>
        <v>205.965316289919</v>
      </c>
      <c r="AX45" s="70" t="n">
        <f aca="false">IF(AQ45&gt;0,AW45*1000000/AQ45/Economy!Q45,0)</f>
        <v>0.0913371690864388</v>
      </c>
      <c r="AY45" s="48" t="n">
        <v>65000000</v>
      </c>
      <c r="AZ45" s="48" t="n">
        <v>1450</v>
      </c>
      <c r="BA45" s="71" t="n">
        <v>0.062</v>
      </c>
      <c r="BB45" s="50" t="n">
        <f aca="false">IF(AY45&gt;0,AZ45*1000000/AY45,0)</f>
        <v>22.3076923076923</v>
      </c>
      <c r="BC45" s="67" t="n">
        <f aca="false">IF(AND(BA45&gt;0,BB44&gt;0,B45&gt;0),MIN(conv_cap,conv_beta*1*BA45*MAX(0,LN(B45/(BB44*BD44)))),0)</f>
        <v>0.00163540416827336</v>
      </c>
      <c r="BD45" s="68" t="n">
        <f aca="false">BD44*(1+BC45)</f>
        <v>1.00905813736892</v>
      </c>
      <c r="BE45" s="50" t="n">
        <f aca="false">AZ45*BD45</f>
        <v>1463.13429918494</v>
      </c>
      <c r="BF45" s="70" t="n">
        <f aca="false">IF(AY45&gt;0,BE45*1000000/AY45/Economy!Q45,0)</f>
        <v>0.109803699751215</v>
      </c>
      <c r="BG45" s="48" t="n">
        <v>26000000</v>
      </c>
      <c r="BH45" s="48" t="n">
        <v>1600</v>
      </c>
      <c r="BI45" s="71" t="n">
        <v>0.1</v>
      </c>
      <c r="BJ45" s="50" t="n">
        <f aca="false">IF(BG45&gt;0,BH45*1000000/BG45,0)</f>
        <v>61.5384615384615</v>
      </c>
      <c r="BK45" s="67" t="n">
        <f aca="false">IF(AND(BI45&gt;0,BJ44&gt;0,B45&gt;0),MIN(conv_cap,conv_beta*1*BI45*MAX(0,LN(B45/(BJ44*BL44)))),0)</f>
        <v>0.00161547252338462</v>
      </c>
      <c r="BL45" s="68" t="n">
        <f aca="false">BL44*(1+BK45)</f>
        <v>1.02011032714522</v>
      </c>
      <c r="BM45" s="50" t="n">
        <f aca="false">BH45*BL45</f>
        <v>1632.17652343235</v>
      </c>
      <c r="BN45" s="70" t="n">
        <f aca="false">IF(BG45&gt;0,BM45*1000000/BG45/Economy!Q45,0)</f>
        <v>0.306224488448846</v>
      </c>
      <c r="BO45" s="48" t="n">
        <v>13000000</v>
      </c>
      <c r="BP45" s="48" t="n">
        <v>650</v>
      </c>
      <c r="BQ45" s="71" t="n">
        <v>0</v>
      </c>
      <c r="BR45" s="50" t="n">
        <f aca="false">IF(BO45&gt;0,BP45*1000000/BO45,0)</f>
        <v>50</v>
      </c>
      <c r="BS45" s="67" t="n">
        <f aca="false">IF(AND(BQ45&gt;0,BR44&gt;0,B45&gt;0),MIN(conv_cap,conv_beta*1*BQ45*MAX(0,LN(B45/(BR44*BT44)))),0)</f>
        <v>0</v>
      </c>
      <c r="BT45" s="68" t="n">
        <f aca="false">BT44*(1+BS45)</f>
        <v>1</v>
      </c>
      <c r="BU45" s="50"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1.0749540492649</v>
      </c>
      <c r="BX45" s="66" t="n">
        <f aca="false">MIN(mkt_cap,mkt_elast*MAX(0,BW45-1))</f>
        <v>0.0374770246324497</v>
      </c>
      <c r="BY45" s="50" t="n">
        <f aca="false">I45+Q45+Y45+AG45</f>
        <v>913.703918627716</v>
      </c>
      <c r="BZ45" s="50" t="n">
        <f aca="false">D45+L45+T45+AB45</f>
        <v>766</v>
      </c>
      <c r="CA45" s="68" t="n">
        <f aca="false">IF(BZ45&gt;0,BY45/BZ45,0)</f>
        <v>1.19282495904402</v>
      </c>
    </row>
    <row r="46" customFormat="false" ht="14.25" hidden="false" customHeight="false" outlineLevel="0" collapsed="false">
      <c r="A46" s="61" t="n">
        <v>1886</v>
      </c>
      <c r="B46" s="50" t="n">
        <f aca="false">Economy!P45</f>
        <v>313.339023590175</v>
      </c>
      <c r="C46" s="48" t="n">
        <v>38640000</v>
      </c>
      <c r="D46" s="65" t="n">
        <f aca="false">Japan!B46</f>
        <v>680</v>
      </c>
      <c r="E46" s="71" t="n">
        <v>0.529</v>
      </c>
      <c r="F46" s="50" t="n">
        <f aca="false">IF(C46&gt;0,D46*1000000/C46,0)</f>
        <v>17.5983436853002</v>
      </c>
      <c r="G46" s="67" t="n">
        <f aca="false">IF(AND(E46&gt;0,F45&gt;0,B46&gt;0),MIN(conv_cap,conv_beta*jp_uplift*E46*MAX(0,LN(B46/(F45*H45)))),0)</f>
        <v>0.0144126428524862</v>
      </c>
      <c r="H46" s="68" t="n">
        <f aca="false">H45*(1+G46)</f>
        <v>1.22821990895483</v>
      </c>
      <c r="I46" s="50" t="n">
        <f aca="false">D46*H46</f>
        <v>835.189538089286</v>
      </c>
      <c r="J46" s="70" t="n">
        <f aca="false">IF(C46&gt;0,I46*1000000/C46/Economy!Q46,0)</f>
        <v>0.104925417858812</v>
      </c>
      <c r="K46" s="65" t="n">
        <f aca="false">Gulf!B46</f>
        <v>0</v>
      </c>
      <c r="L46" s="50" t="n">
        <f aca="false">Gulf!B46*Gulf!C46*Economy!Q46/1000000</f>
        <v>0</v>
      </c>
      <c r="M46" s="71" t="n">
        <v>0</v>
      </c>
      <c r="N46" s="50" t="n">
        <f aca="false">IF(K46&gt;0,L46*1000000/K46,0)</f>
        <v>0</v>
      </c>
      <c r="O46" s="67" t="n">
        <f aca="false">IF(AND(M46&gt;0,N45&gt;0,B46&gt;0),MIN(conv_cap,conv_beta*1*M46*MAX(0,LN(B46/(N45*P45)))),0)</f>
        <v>0</v>
      </c>
      <c r="P46" s="68" t="n">
        <f aca="false">P45*(1+O46)</f>
        <v>1</v>
      </c>
      <c r="Q46" s="50" t="n">
        <f aca="false">L46*P46</f>
        <v>0</v>
      </c>
      <c r="R46" s="70" t="n">
        <f aca="false">IF(K46&gt;0,Q46*1000000/K46/Economy!Q46,0)</f>
        <v>0</v>
      </c>
      <c r="S46" s="65" t="n">
        <f aca="false">People!U46</f>
        <v>6545000</v>
      </c>
      <c r="T46" s="48" t="n">
        <v>118</v>
      </c>
      <c r="U46" s="71" t="n">
        <v>0.431</v>
      </c>
      <c r="V46" s="50" t="n">
        <f aca="false">IF(S46&gt;0,T46*1000000/S46,0)</f>
        <v>18.0290297937357</v>
      </c>
      <c r="W46" s="67" t="n">
        <f aca="false">IF(AND(U46&gt;0,V45&gt;0,B46&gt;0),MIN(conv_cap,conv_beta*1*U46*MAX(0,LN(B46/(V45*X45)))),0)</f>
        <v>0.0119639170292685</v>
      </c>
      <c r="X46" s="68" t="n">
        <f aca="false">X45*(1+W46)</f>
        <v>1.10534140829773</v>
      </c>
      <c r="Y46" s="50" t="n">
        <f aca="false">T46*X46</f>
        <v>130.430286179132</v>
      </c>
      <c r="Z46" s="70" t="n">
        <f aca="false">IF(S46&gt;0,Y46*1000000/S46/Economy!Q46,0)</f>
        <v>0.0967389960313086</v>
      </c>
      <c r="AA46" s="48" t="n">
        <v>0</v>
      </c>
      <c r="AB46" s="48" t="n">
        <v>0</v>
      </c>
      <c r="AC46" s="71" t="n">
        <v>0</v>
      </c>
      <c r="AD46" s="50" t="n">
        <f aca="false">IF(AA46&gt;0,AB46*1000000/AA46,0)</f>
        <v>0</v>
      </c>
      <c r="AE46" s="67" t="n">
        <f aca="false">IF(AND(AC46&gt;0,AD45&gt;0,B46&gt;0),MIN(conv_cap,conv_beta*1*AC46*MAX(0,LN(B46/(AD45*AF45)))),0)</f>
        <v>0</v>
      </c>
      <c r="AF46" s="68" t="n">
        <f aca="false">AF45*(1+AE46)</f>
        <v>1</v>
      </c>
      <c r="AG46" s="50" t="n">
        <f aca="false">AB46*AF46</f>
        <v>0</v>
      </c>
      <c r="AH46" s="70" t="n">
        <f aca="false">IF(AA46&gt;0,AG46*1000000/AA46/Economy!Q46,0)</f>
        <v>0</v>
      </c>
      <c r="AI46" s="48" t="n">
        <v>380400000</v>
      </c>
      <c r="AJ46" s="48" t="n">
        <v>3767</v>
      </c>
      <c r="AK46" s="71" t="n">
        <v>0.146</v>
      </c>
      <c r="AL46" s="50" t="n">
        <f aca="false">IF(AI46&gt;0,AJ46*1000000/AI46,0)</f>
        <v>9.90273396424816</v>
      </c>
      <c r="AM46" s="67" t="n">
        <f aca="false">IF(AND(AK46&gt;0,AL45&gt;0,B46&gt;0),MIN(conv_cap,conv_beta*1*AK46*MAX(0,LN(B46/(AL45*AN45)))),0)</f>
        <v>0.00493446650818214</v>
      </c>
      <c r="AN46" s="68" t="n">
        <f aca="false">AN45*(1+AM46)</f>
        <v>1.08378721099381</v>
      </c>
      <c r="AO46" s="50" t="n">
        <f aca="false">AJ46*AN46</f>
        <v>4082.62642381369</v>
      </c>
      <c r="AP46" s="70" t="n">
        <f aca="false">IF(AI46&gt;0,AO46*1000000/AI46/Economy!Q46,0)</f>
        <v>0.0520993030307097</v>
      </c>
      <c r="AQ46" s="48" t="n">
        <v>11070000</v>
      </c>
      <c r="AR46" s="48" t="n">
        <v>203</v>
      </c>
      <c r="AS46" s="71" t="n">
        <v>0.271</v>
      </c>
      <c r="AT46" s="50" t="n">
        <f aca="false">IF(AQ46&gt;0,AR46*1000000/AQ46,0)</f>
        <v>18.3378500451671</v>
      </c>
      <c r="AU46" s="67" t="n">
        <f aca="false">IF(AND(AS46&gt;0,AT45&gt;0,B46&gt;0),MIN(conv_cap,conv_beta*1*AS46*MAX(0,LN(B46/(AT45*AV45)))),0)</f>
        <v>0.00763535246016734</v>
      </c>
      <c r="AV46" s="68" t="n">
        <f aca="false">AV45*(1+AU46)</f>
        <v>1.03768967037181</v>
      </c>
      <c r="AW46" s="50" t="n">
        <f aca="false">AR46*AV46</f>
        <v>210.651003085478</v>
      </c>
      <c r="AX46" s="70" t="n">
        <f aca="false">IF(AQ46&gt;0,AW46*1000000/AQ46/Economy!Q46,0)</f>
        <v>0.0923737746053263</v>
      </c>
      <c r="AY46" s="48" t="n">
        <v>66000000</v>
      </c>
      <c r="AZ46" s="48" t="n">
        <v>1487</v>
      </c>
      <c r="BA46" s="71" t="n">
        <v>0.065</v>
      </c>
      <c r="BB46" s="50" t="n">
        <f aca="false">IF(AY46&gt;0,AZ46*1000000/AY46,0)</f>
        <v>22.530303030303</v>
      </c>
      <c r="BC46" s="67" t="n">
        <f aca="false">IF(AND(BA46&gt;0,BB45&gt;0,B46&gt;0),MIN(conv_cap,conv_beta*1*BA46*MAX(0,LN(B46/(BB45*BD45)))),0)</f>
        <v>0.00171166893481671</v>
      </c>
      <c r="BD46" s="68" t="n">
        <f aca="false">BD45*(1+BC46)</f>
        <v>1.01078531083608</v>
      </c>
      <c r="BE46" s="50" t="n">
        <f aca="false">AZ46*BD46</f>
        <v>1503.03775721326</v>
      </c>
      <c r="BF46" s="70" t="n">
        <f aca="false">IF(AY46&gt;0,BE46*1000000/AY46/Economy!Q46,0)</f>
        <v>0.11054999685299</v>
      </c>
      <c r="BG46" s="48" t="n">
        <v>26300000</v>
      </c>
      <c r="BH46" s="48" t="n">
        <v>1640</v>
      </c>
      <c r="BI46" s="71" t="n">
        <v>0.106</v>
      </c>
      <c r="BJ46" s="50" t="n">
        <f aca="false">IF(BG46&gt;0,BH46*1000000/BG46,0)</f>
        <v>62.3574144486692</v>
      </c>
      <c r="BK46" s="67" t="n">
        <f aca="false">IF(AND(BI46&gt;0,BJ45&gt;0,B46&gt;0),MIN(conv_cap,conv_beta*1*BI46*MAX(0,LN(B46/(BJ45*BL45)))),0)</f>
        <v>0.00170417534678232</v>
      </c>
      <c r="BL46" s="68" t="n">
        <f aca="false">BL45*(1+BK46)</f>
        <v>1.02184877401574</v>
      </c>
      <c r="BM46" s="50" t="n">
        <f aca="false">BH46*BL46</f>
        <v>1675.83198938581</v>
      </c>
      <c r="BN46" s="70" t="n">
        <f aca="false">IF(BG46&gt;0,BM46*1000000/BG46/Economy!Q46,0)</f>
        <v>0.309319648083319</v>
      </c>
      <c r="BO46" s="48" t="n">
        <v>13100000</v>
      </c>
      <c r="BP46" s="48" t="n">
        <v>660</v>
      </c>
      <c r="BQ46" s="71" t="n">
        <v>0</v>
      </c>
      <c r="BR46" s="50" t="n">
        <f aca="false">IF(BO46&gt;0,BP46*1000000/BO46,0)</f>
        <v>50.381679389313</v>
      </c>
      <c r="BS46" s="67" t="n">
        <f aca="false">IF(AND(BQ46&gt;0,BR45&gt;0,B46&gt;0),MIN(conv_cap,conv_beta*1*BQ46*MAX(0,LN(B46/(BR45*BT45)))),0)</f>
        <v>0</v>
      </c>
      <c r="BT46" s="68" t="n">
        <f aca="false">BT45*(1+BS46)</f>
        <v>1</v>
      </c>
      <c r="BU46" s="50"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1.08161232532855</v>
      </c>
      <c r="BX46" s="66" t="n">
        <f aca="false">MIN(mkt_cap,mkt_elast*MAX(0,BW46-1))</f>
        <v>0.0408061626642753</v>
      </c>
      <c r="BY46" s="50" t="n">
        <f aca="false">I46+Q46+Y46+AG46</f>
        <v>965.619824268418</v>
      </c>
      <c r="BZ46" s="50" t="n">
        <f aca="false">D46+L46+T46+AB46</f>
        <v>798</v>
      </c>
      <c r="CA46" s="68" t="n">
        <f aca="false">IF(BZ46&gt;0,BY46/BZ46,0)</f>
        <v>1.21004990509827</v>
      </c>
    </row>
    <row r="47" customFormat="false" ht="14.25" hidden="false" customHeight="false" outlineLevel="0" collapsed="false">
      <c r="A47" s="61" t="n">
        <v>1887</v>
      </c>
      <c r="B47" s="50" t="n">
        <f aca="false">Economy!P46</f>
        <v>326.030753453098</v>
      </c>
      <c r="C47" s="48" t="n">
        <v>38980000</v>
      </c>
      <c r="D47" s="65" t="n">
        <f aca="false">Japan!B47</f>
        <v>710</v>
      </c>
      <c r="E47" s="71" t="n">
        <v>0.55</v>
      </c>
      <c r="F47" s="50" t="n">
        <f aca="false">IF(C47&gt;0,D47*1000000/C47,0)</f>
        <v>18.2144689584402</v>
      </c>
      <c r="G47" s="67" t="n">
        <f aca="false">IF(AND(E47&gt;0,F46&gt;0,B47&gt;0),MIN(conv_cap,conv_beta*jp_uplift*E47*MAX(0,LN(B47/(F46*H46)))),0)</f>
        <v>0.0149249156715536</v>
      </c>
      <c r="H47" s="68" t="n">
        <f aca="false">H46*(1+G47)</f>
        <v>1.24655098752211</v>
      </c>
      <c r="I47" s="50" t="n">
        <f aca="false">D47*H47</f>
        <v>885.051201140695</v>
      </c>
      <c r="J47" s="70" t="n">
        <f aca="false">IF(C47&gt;0,I47*1000000/C47/Economy!Q47,0)</f>
        <v>0.11021972945308</v>
      </c>
      <c r="K47" s="65" t="n">
        <f aca="false">Gulf!B47</f>
        <v>0</v>
      </c>
      <c r="L47" s="50" t="n">
        <f aca="false">Gulf!B47*Gulf!C47*Economy!Q47/1000000</f>
        <v>0</v>
      </c>
      <c r="M47" s="71" t="n">
        <v>0</v>
      </c>
      <c r="N47" s="50" t="n">
        <f aca="false">IF(K47&gt;0,L47*1000000/K47,0)</f>
        <v>0</v>
      </c>
      <c r="O47" s="67" t="n">
        <f aca="false">IF(AND(M47&gt;0,N46&gt;0,B47&gt;0),MIN(conv_cap,conv_beta*1*M47*MAX(0,LN(B47/(N46*P46)))),0)</f>
        <v>0</v>
      </c>
      <c r="P47" s="68" t="n">
        <f aca="false">P46*(1+O47)</f>
        <v>1</v>
      </c>
      <c r="Q47" s="50" t="n">
        <f aca="false">L47*P47</f>
        <v>0</v>
      </c>
      <c r="R47" s="70" t="n">
        <f aca="false">IF(K47&gt;0,Q47*1000000/K47/Economy!Q47,0)</f>
        <v>0</v>
      </c>
      <c r="S47" s="65" t="n">
        <f aca="false">People!U47</f>
        <v>6600000</v>
      </c>
      <c r="T47" s="48" t="n">
        <v>120</v>
      </c>
      <c r="U47" s="71" t="n">
        <v>0.44</v>
      </c>
      <c r="V47" s="50" t="n">
        <f aca="false">IF(S47&gt;0,T47*1000000/S47,0)</f>
        <v>18.1818181818182</v>
      </c>
      <c r="W47" s="67" t="n">
        <f aca="false">IF(AND(U47&gt;0,V46&gt;0,B47&gt;0),MIN(conv_cap,conv_beta*1*U47*MAX(0,LN(B47/(V46*X46)))),0)</f>
        <v>0.0122973586275086</v>
      </c>
      <c r="X47" s="68" t="n">
        <f aca="false">X46*(1+W47)</f>
        <v>1.11893418800141</v>
      </c>
      <c r="Y47" s="50" t="n">
        <f aca="false">T47*X47</f>
        <v>134.272102560169</v>
      </c>
      <c r="Z47" s="70" t="n">
        <f aca="false">IF(S47&gt;0,Y47*1000000/S47/Economy!Q47,0)</f>
        <v>0.0987585338041841</v>
      </c>
      <c r="AA47" s="48" t="n">
        <v>0</v>
      </c>
      <c r="AB47" s="48" t="n">
        <v>0</v>
      </c>
      <c r="AC47" s="71" t="n">
        <v>0</v>
      </c>
      <c r="AD47" s="50" t="n">
        <f aca="false">IF(AA47&gt;0,AB47*1000000/AA47,0)</f>
        <v>0</v>
      </c>
      <c r="AE47" s="67" t="n">
        <f aca="false">IF(AND(AC47&gt;0,AD46&gt;0,B47&gt;0),MIN(conv_cap,conv_beta*1*AC47*MAX(0,LN(B47/(AD46*AF46)))),0)</f>
        <v>0</v>
      </c>
      <c r="AF47" s="68" t="n">
        <f aca="false">AF46*(1+AE47)</f>
        <v>1</v>
      </c>
      <c r="AG47" s="50" t="n">
        <f aca="false">AB47*AF47</f>
        <v>0</v>
      </c>
      <c r="AH47" s="70" t="n">
        <f aca="false">IF(AA47&gt;0,AG47*1000000/AA47/Economy!Q47,0)</f>
        <v>0</v>
      </c>
      <c r="AI47" s="48" t="n">
        <v>381800000</v>
      </c>
      <c r="AJ47" s="48" t="n">
        <v>3783</v>
      </c>
      <c r="AK47" s="71" t="n">
        <v>0.15</v>
      </c>
      <c r="AL47" s="50" t="n">
        <f aca="false">IF(AI47&gt;0,AJ47*1000000/AI47,0)</f>
        <v>9.9083289680461</v>
      </c>
      <c r="AM47" s="67" t="n">
        <f aca="false">IF(AND(AK47&gt;0,AL46&gt;0,B47&gt;0),MIN(conv_cap,conv_beta*1*AK47*MAX(0,LN(B47/(AL46*AN46)))),0)</f>
        <v>0.00512057887757302</v>
      </c>
      <c r="AN47" s="68" t="n">
        <f aca="false">AN46*(1+AM47)</f>
        <v>1.08933682889421</v>
      </c>
      <c r="AO47" s="50" t="n">
        <f aca="false">AJ47*AN47</f>
        <v>4120.9612237068</v>
      </c>
      <c r="AP47" s="70" t="n">
        <f aca="false">IF(AI47&gt;0,AO47*1000000/AI47/Economy!Q47,0)</f>
        <v>0.0523956682412232</v>
      </c>
      <c r="AQ47" s="48" t="n">
        <v>11130000</v>
      </c>
      <c r="AR47" s="48" t="n">
        <v>207</v>
      </c>
      <c r="AS47" s="71" t="n">
        <v>0.3</v>
      </c>
      <c r="AT47" s="50" t="n">
        <f aca="false">IF(AQ47&gt;0,AR47*1000000/AQ47,0)</f>
        <v>18.5983827493261</v>
      </c>
      <c r="AU47" s="67" t="n">
        <f aca="false">IF(AND(AS47&gt;0,AT46&gt;0,B47&gt;0),MIN(conv_cap,conv_beta*1*AS47*MAX(0,LN(B47/(AT46*AV46)))),0)</f>
        <v>0.0085230831273345</v>
      </c>
      <c r="AV47" s="68" t="n">
        <f aca="false">AV46*(1+AU47)</f>
        <v>1.04653398569277</v>
      </c>
      <c r="AW47" s="50" t="n">
        <f aca="false">AR47*AV47</f>
        <v>216.632535038403</v>
      </c>
      <c r="AX47" s="70" t="n">
        <f aca="false">IF(AQ47&gt;0,AW47*1000000/AQ47/Economy!Q47,0)</f>
        <v>0.0944846583790871</v>
      </c>
      <c r="AY47" s="48" t="n">
        <v>67000000</v>
      </c>
      <c r="AZ47" s="48" t="n">
        <v>1523</v>
      </c>
      <c r="BA47" s="71" t="n">
        <v>0.068</v>
      </c>
      <c r="BB47" s="50" t="n">
        <f aca="false">IF(AY47&gt;0,AZ47*1000000/AY47,0)</f>
        <v>22.7313432835821</v>
      </c>
      <c r="BC47" s="67" t="n">
        <f aca="false">IF(AND(BA47&gt;0,BB46&gt;0,B47&gt;0),MIN(conv_cap,conv_beta*1*BA47*MAX(0,LN(B47/(BB46*BD46)))),0)</f>
        <v>0.00180975400193293</v>
      </c>
      <c r="BD47" s="68" t="n">
        <f aca="false">BD46*(1+BC47)</f>
        <v>1.01261458359746</v>
      </c>
      <c r="BE47" s="50" t="n">
        <f aca="false">AZ47*BD47</f>
        <v>1542.21201081894</v>
      </c>
      <c r="BF47" s="70" t="n">
        <f aca="false">IF(AY47&gt;0,BE47*1000000/AY47/Economy!Q47,0)</f>
        <v>0.111738299581143</v>
      </c>
      <c r="BG47" s="48" t="n">
        <v>26500000</v>
      </c>
      <c r="BH47" s="48" t="n">
        <v>1680</v>
      </c>
      <c r="BI47" s="71" t="n">
        <v>0.113</v>
      </c>
      <c r="BJ47" s="50" t="n">
        <f aca="false">IF(BG47&gt;0,BH47*1000000/BG47,0)</f>
        <v>63.3962264150943</v>
      </c>
      <c r="BK47" s="67" t="n">
        <f aca="false">IF(AND(BI47&gt;0,BJ46&gt;0,B47&gt;0),MIN(conv_cap,conv_beta*1*BI47*MAX(0,LN(B47/(BJ46*BL46)))),0)</f>
        <v>0.00184472005153356</v>
      </c>
      <c r="BL47" s="68" t="n">
        <f aca="false">BL46*(1+BK47)</f>
        <v>1.0237337989388</v>
      </c>
      <c r="BM47" s="50" t="n">
        <f aca="false">BH47*BL47</f>
        <v>1719.87278221718</v>
      </c>
      <c r="BN47" s="70" t="n">
        <f aca="false">IF(BG47&gt;0,BM47*1000000/BG47/Economy!Q47,0)</f>
        <v>0.315052717020916</v>
      </c>
      <c r="BO47" s="48" t="n">
        <v>13100000</v>
      </c>
      <c r="BP47" s="48" t="n">
        <v>670</v>
      </c>
      <c r="BQ47" s="71" t="n">
        <v>0</v>
      </c>
      <c r="BR47" s="50" t="n">
        <f aca="false">IF(BO47&gt;0,BP47*1000000/BO47,0)</f>
        <v>51.1450381679389</v>
      </c>
      <c r="BS47" s="67" t="n">
        <f aca="false">IF(AND(BQ47&gt;0,BR46&gt;0,B47&gt;0),MIN(conv_cap,conv_beta*1*BQ47*MAX(0,LN(B47/(BR46*BT46)))),0)</f>
        <v>0</v>
      </c>
      <c r="BT47" s="68" t="n">
        <f aca="false">BT46*(1+BS47)</f>
        <v>1</v>
      </c>
      <c r="BU47" s="50"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1.08861690650599</v>
      </c>
      <c r="BX47" s="66" t="n">
        <f aca="false">MIN(mkt_cap,mkt_elast*MAX(0,BW47-1))</f>
        <v>0.0443084532529963</v>
      </c>
      <c r="BY47" s="50" t="n">
        <f aca="false">I47+Q47+Y47+AG47</f>
        <v>1019.32330370086</v>
      </c>
      <c r="BZ47" s="50" t="n">
        <f aca="false">D47+L47+T47+AB47</f>
        <v>830</v>
      </c>
      <c r="CA47" s="68" t="n">
        <f aca="false">IF(BZ47&gt;0,BY47/BZ47,0)</f>
        <v>1.22810036590466</v>
      </c>
    </row>
    <row r="48" customFormat="false" ht="14.25" hidden="false" customHeight="false" outlineLevel="0" collapsed="false">
      <c r="A48" s="61" t="n">
        <v>1888</v>
      </c>
      <c r="B48" s="50" t="n">
        <f aca="false">Economy!P47</f>
        <v>332.843452951474</v>
      </c>
      <c r="C48" s="48" t="n">
        <v>39320000</v>
      </c>
      <c r="D48" s="65" t="n">
        <f aca="false">Japan!B48</f>
        <v>740</v>
      </c>
      <c r="E48" s="71" t="n">
        <v>0.562</v>
      </c>
      <c r="F48" s="50" t="n">
        <f aca="false">IF(C48&gt;0,D48*1000000/C48,0)</f>
        <v>18.8199389623601</v>
      </c>
      <c r="G48" s="67" t="n">
        <f aca="false">IF(AND(E48&gt;0,F47&gt;0,B48&gt;0),MIN(conv_cap,conv_beta*jp_uplift*E48*MAX(0,LN(B48/(F47*H47)))),0)</f>
        <v>0.0150901241106889</v>
      </c>
      <c r="H48" s="68" t="n">
        <f aca="false">H47*(1+G48)</f>
        <v>1.26536159663412</v>
      </c>
      <c r="I48" s="50" t="n">
        <f aca="false">D48*H48</f>
        <v>936.367581509246</v>
      </c>
      <c r="J48" s="70" t="n">
        <f aca="false">IF(C48&gt;0,I48*1000000/C48/Economy!Q48,0)</f>
        <v>0.115043613594051</v>
      </c>
      <c r="K48" s="65" t="n">
        <f aca="false">Gulf!B48</f>
        <v>0</v>
      </c>
      <c r="L48" s="50" t="n">
        <f aca="false">Gulf!B48*Gulf!C48*Economy!Q48/1000000</f>
        <v>0</v>
      </c>
      <c r="M48" s="71" t="n">
        <v>0</v>
      </c>
      <c r="N48" s="50" t="n">
        <f aca="false">IF(K48&gt;0,L48*1000000/K48,0)</f>
        <v>0</v>
      </c>
      <c r="O48" s="67" t="n">
        <f aca="false">IF(AND(M48&gt;0,N47&gt;0,B48&gt;0),MIN(conv_cap,conv_beta*1*M48*MAX(0,LN(B48/(N47*P47)))),0)</f>
        <v>0</v>
      </c>
      <c r="P48" s="68" t="n">
        <f aca="false">P47*(1+O48)</f>
        <v>1</v>
      </c>
      <c r="Q48" s="50" t="n">
        <f aca="false">L48*P48</f>
        <v>0</v>
      </c>
      <c r="R48" s="70" t="n">
        <f aca="false">IF(K48&gt;0,Q48*1000000/K48/Economy!Q48,0)</f>
        <v>0</v>
      </c>
      <c r="S48" s="65" t="n">
        <f aca="false">People!U48</f>
        <v>6662000</v>
      </c>
      <c r="T48" s="48" t="n">
        <v>130</v>
      </c>
      <c r="U48" s="71" t="n">
        <v>0.448</v>
      </c>
      <c r="V48" s="50" t="n">
        <f aca="false">IF(S48&gt;0,T48*1000000/S48,0)</f>
        <v>19.5136595616932</v>
      </c>
      <c r="W48" s="67" t="n">
        <f aca="false">IF(AND(U48&gt;0,V47&gt;0,B48&gt;0),MIN(conv_cap,conv_beta*1*U48*MAX(0,LN(B48/(V47*X47)))),0)</f>
        <v>0.012521033549076</v>
      </c>
      <c r="X48" s="68" t="n">
        <f aca="false">X47*(1+W48)</f>
        <v>1.13294440050858</v>
      </c>
      <c r="Y48" s="50" t="n">
        <f aca="false">T48*X48</f>
        <v>147.282772066115</v>
      </c>
      <c r="Z48" s="70" t="n">
        <f aca="false">IF(S48&gt;0,Y48*1000000/S48/Economy!Q48,0)</f>
        <v>0.106801407409908</v>
      </c>
      <c r="AA48" s="48" t="n">
        <v>0</v>
      </c>
      <c r="AB48" s="48" t="n">
        <v>0</v>
      </c>
      <c r="AC48" s="71" t="n">
        <v>0</v>
      </c>
      <c r="AD48" s="50" t="n">
        <f aca="false">IF(AA48&gt;0,AB48*1000000/AA48,0)</f>
        <v>0</v>
      </c>
      <c r="AE48" s="67" t="n">
        <f aca="false">IF(AND(AC48&gt;0,AD47&gt;0,B48&gt;0),MIN(conv_cap,conv_beta*1*AC48*MAX(0,LN(B48/(AD47*AF47)))),0)</f>
        <v>0</v>
      </c>
      <c r="AF48" s="68" t="n">
        <f aca="false">AF47*(1+AE48)</f>
        <v>1</v>
      </c>
      <c r="AG48" s="50" t="n">
        <f aca="false">AB48*AF48</f>
        <v>0</v>
      </c>
      <c r="AH48" s="70" t="n">
        <f aca="false">IF(AA48&gt;0,AG48*1000000/AA48/Economy!Q48,0)</f>
        <v>0</v>
      </c>
      <c r="AI48" s="48" t="n">
        <v>383200000</v>
      </c>
      <c r="AJ48" s="48" t="n">
        <v>3800</v>
      </c>
      <c r="AK48" s="71" t="n">
        <v>0.154</v>
      </c>
      <c r="AL48" s="50" t="n">
        <f aca="false">IF(AI48&gt;0,AJ48*1000000/AI48,0)</f>
        <v>9.91649269311065</v>
      </c>
      <c r="AM48" s="67" t="n">
        <f aca="false">IF(AND(AK48&gt;0,AL47&gt;0,B48&gt;0),MIN(conv_cap,conv_beta*1*AK48*MAX(0,LN(B48/(AL47*AN47)))),0)</f>
        <v>0.00528024028473722</v>
      </c>
      <c r="AN48" s="68" t="n">
        <f aca="false">AN47*(1+AM48)</f>
        <v>1.09508878910179</v>
      </c>
      <c r="AO48" s="50" t="n">
        <f aca="false">AJ48*AN48</f>
        <v>4161.33739858678</v>
      </c>
      <c r="AP48" s="70" t="n">
        <f aca="false">IF(AI48&gt;0,AO48*1000000/AI48/Economy!Q48,0)</f>
        <v>0.052461062683262</v>
      </c>
      <c r="AQ48" s="48" t="n">
        <v>11200000</v>
      </c>
      <c r="AR48" s="48" t="n">
        <v>210</v>
      </c>
      <c r="AS48" s="71" t="n">
        <v>0.312</v>
      </c>
      <c r="AT48" s="50" t="n">
        <f aca="false">IF(AQ48&gt;0,AR48*1000000/AQ48,0)</f>
        <v>18.75</v>
      </c>
      <c r="AU48" s="67" t="n">
        <f aca="false">IF(AND(AS48&gt;0,AT47&gt;0,B48&gt;0),MIN(conv_cap,conv_beta*1*AS48*MAX(0,LN(B48/(AT47*AV47)))),0)</f>
        <v>0.00885803537503179</v>
      </c>
      <c r="AV48" s="68" t="n">
        <f aca="false">AV47*(1+AU48)</f>
        <v>1.05580422075921</v>
      </c>
      <c r="AW48" s="50" t="n">
        <f aca="false">AR48*AV48</f>
        <v>221.718886359434</v>
      </c>
      <c r="AX48" s="70" t="n">
        <f aca="false">IF(AQ48&gt;0,AW48*1000000/AQ48/Economy!Q48,0)</f>
        <v>0.0956344402861602</v>
      </c>
      <c r="AY48" s="48" t="n">
        <v>68000000</v>
      </c>
      <c r="AZ48" s="48" t="n">
        <v>1560</v>
      </c>
      <c r="BA48" s="71" t="n">
        <v>0.07</v>
      </c>
      <c r="BB48" s="50" t="n">
        <f aca="false">IF(AY48&gt;0,AZ48*1000000/AY48,0)</f>
        <v>22.9411764705882</v>
      </c>
      <c r="BC48" s="67" t="n">
        <f aca="false">IF(AND(BA48&gt;0,BB47&gt;0,B48&gt;0),MIN(conv_cap,conv_beta*1*BA48*MAX(0,LN(B48/(BB47*BD47)))),0)</f>
        <v>0.00186997429647132</v>
      </c>
      <c r="BD48" s="68" t="n">
        <f aca="false">BD47*(1+BC48)</f>
        <v>1.01450814684102</v>
      </c>
      <c r="BE48" s="50" t="n">
        <f aca="false">AZ48*BD48</f>
        <v>1582.632709072</v>
      </c>
      <c r="BF48" s="70" t="n">
        <f aca="false">IF(AY48&gt;0,BE48*1000000/AY48/Economy!Q48,0)</f>
        <v>0.112434832983234</v>
      </c>
      <c r="BG48" s="48" t="n">
        <v>26800000</v>
      </c>
      <c r="BH48" s="48" t="n">
        <v>1720</v>
      </c>
      <c r="BI48" s="71" t="n">
        <v>0.119</v>
      </c>
      <c r="BJ48" s="50" t="n">
        <f aca="false">IF(BG48&gt;0,BH48*1000000/BG48,0)</f>
        <v>64.1791044776119</v>
      </c>
      <c r="BK48" s="67" t="n">
        <f aca="false">IF(AND(BI48&gt;0,BJ47&gt;0,B48&gt;0),MIN(conv_cap,conv_beta*1*BI48*MAX(0,LN(B48/(BJ47*BL47)))),0)</f>
        <v>0.00194542556354149</v>
      </c>
      <c r="BL48" s="68" t="n">
        <f aca="false">BL47*(1+BK48)</f>
        <v>1.02572539684151</v>
      </c>
      <c r="BM48" s="50" t="n">
        <f aca="false">BH48*BL48</f>
        <v>1764.24768256741</v>
      </c>
      <c r="BN48" s="70" t="n">
        <f aca="false">IF(BG48&gt;0,BM48*1000000/BG48/Economy!Q48,0)</f>
        <v>0.31801998748421</v>
      </c>
      <c r="BO48" s="48" t="n">
        <v>13200000</v>
      </c>
      <c r="BP48" s="48" t="n">
        <v>680</v>
      </c>
      <c r="BQ48" s="71" t="n">
        <v>0</v>
      </c>
      <c r="BR48" s="50" t="n">
        <f aca="false">IF(BO48&gt;0,BP48*1000000/BO48,0)</f>
        <v>51.5151515151515</v>
      </c>
      <c r="BS48" s="67" t="n">
        <f aca="false">IF(AND(BQ48&gt;0,BR47&gt;0,B48&gt;0),MIN(conv_cap,conv_beta*1*BQ48*MAX(0,LN(B48/(BR47*BT47)))),0)</f>
        <v>0</v>
      </c>
      <c r="BT48" s="68" t="n">
        <f aca="false">BT47*(1+BS48)</f>
        <v>1</v>
      </c>
      <c r="BU48" s="50"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1.09583165155044</v>
      </c>
      <c r="BX48" s="66" t="n">
        <f aca="false">MIN(mkt_cap,mkt_elast*MAX(0,BW48-1))</f>
        <v>0.0479158257752187</v>
      </c>
      <c r="BY48" s="50" t="n">
        <f aca="false">I48+Q48+Y48+AG48</f>
        <v>1083.65035357536</v>
      </c>
      <c r="BZ48" s="50" t="n">
        <f aca="false">D48+L48+T48+AB48</f>
        <v>870</v>
      </c>
      <c r="CA48" s="68" t="n">
        <f aca="false">IF(BZ48&gt;0,BY48/BZ48,0)</f>
        <v>1.24557511905214</v>
      </c>
    </row>
    <row r="49" customFormat="false" ht="14.25" hidden="false" customHeight="false" outlineLevel="0" collapsed="false">
      <c r="A49" s="61" t="n">
        <v>1889</v>
      </c>
      <c r="B49" s="50" t="n">
        <f aca="false">Economy!P48</f>
        <v>342.381283545166</v>
      </c>
      <c r="C49" s="48" t="n">
        <v>39660000</v>
      </c>
      <c r="D49" s="65" t="n">
        <f aca="false">Japan!B49</f>
        <v>770</v>
      </c>
      <c r="E49" s="71" t="n">
        <v>0.575</v>
      </c>
      <c r="F49" s="50" t="n">
        <f aca="false">IF(C49&gt;0,D49*1000000/C49,0)</f>
        <v>19.4150277357539</v>
      </c>
      <c r="G49" s="67" t="n">
        <f aca="false">IF(AND(E49&gt;0,F48&gt;0,B49&gt;0),MIN(conv_cap,conv_beta*jp_uplift*E49*MAX(0,LN(B49/(F48*H48)))),0)</f>
        <v>0.0153274884248093</v>
      </c>
      <c r="H49" s="68" t="n">
        <f aca="false">H48*(1+G49)</f>
        <v>1.28475641185972</v>
      </c>
      <c r="I49" s="50" t="n">
        <f aca="false">D49*H49</f>
        <v>989.262437131988</v>
      </c>
      <c r="J49" s="70" t="n">
        <f aca="false">IF(C49&gt;0,I49*1000000/C49/Economy!Q49,0)</f>
        <v>0.120500393091518</v>
      </c>
      <c r="K49" s="65" t="n">
        <f aca="false">Gulf!B49</f>
        <v>0</v>
      </c>
      <c r="L49" s="50" t="n">
        <f aca="false">Gulf!B49*Gulf!C49*Economy!Q49/1000000</f>
        <v>0</v>
      </c>
      <c r="M49" s="71" t="n">
        <v>0</v>
      </c>
      <c r="N49" s="50" t="n">
        <f aca="false">IF(K49&gt;0,L49*1000000/K49,0)</f>
        <v>0</v>
      </c>
      <c r="O49" s="67" t="n">
        <f aca="false">IF(AND(M49&gt;0,N48&gt;0,B49&gt;0),MIN(conv_cap,conv_beta*1*M49*MAX(0,LN(B49/(N48*P48)))),0)</f>
        <v>0</v>
      </c>
      <c r="P49" s="68" t="n">
        <f aca="false">P48*(1+O49)</f>
        <v>1</v>
      </c>
      <c r="Q49" s="50" t="n">
        <f aca="false">L49*P49</f>
        <v>0</v>
      </c>
      <c r="R49" s="70" t="n">
        <f aca="false">IF(K49&gt;0,Q49*1000000/K49/Economy!Q49,0)</f>
        <v>0</v>
      </c>
      <c r="S49" s="65" t="n">
        <f aca="false">People!U49</f>
        <v>6743000</v>
      </c>
      <c r="T49" s="48" t="n">
        <v>140.375</v>
      </c>
      <c r="U49" s="71" t="n">
        <v>0.455</v>
      </c>
      <c r="V49" s="50" t="n">
        <f aca="false">IF(S49&gt;0,T49*1000000/S49,0)</f>
        <v>20.8178852142963</v>
      </c>
      <c r="W49" s="67" t="n">
        <f aca="false">IF(AND(U49&gt;0,V48&gt;0,B49&gt;0),MIN(conv_cap,conv_beta*1*U49*MAX(0,LN(B49/(V48*X48)))),0)</f>
        <v>0.0124669561448811</v>
      </c>
      <c r="X49" s="68" t="n">
        <f aca="false">X48*(1+W49)</f>
        <v>1.14706876866431</v>
      </c>
      <c r="Y49" s="50" t="n">
        <f aca="false">T49*X49</f>
        <v>161.019778401252</v>
      </c>
      <c r="Z49" s="70" t="n">
        <f aca="false">IF(S49&gt;0,Y49*1000000/S49/Economy!Q49,0)</f>
        <v>0.115360125405593</v>
      </c>
      <c r="AA49" s="48" t="n">
        <v>0</v>
      </c>
      <c r="AB49" s="48" t="n">
        <v>0</v>
      </c>
      <c r="AC49" s="71" t="n">
        <v>0</v>
      </c>
      <c r="AD49" s="50" t="n">
        <f aca="false">IF(AA49&gt;0,AB49*1000000/AA49,0)</f>
        <v>0</v>
      </c>
      <c r="AE49" s="67" t="n">
        <f aca="false">IF(AND(AC49&gt;0,AD48&gt;0,B49&gt;0),MIN(conv_cap,conv_beta*1*AC49*MAX(0,LN(B49/(AD48*AF48)))),0)</f>
        <v>0</v>
      </c>
      <c r="AF49" s="68" t="n">
        <f aca="false">AF48*(1+AE49)</f>
        <v>1</v>
      </c>
      <c r="AG49" s="50" t="n">
        <f aca="false">AB49*AF49</f>
        <v>0</v>
      </c>
      <c r="AH49" s="70" t="n">
        <f aca="false">IF(AA49&gt;0,AG49*1000000/AA49/Economy!Q49,0)</f>
        <v>0</v>
      </c>
      <c r="AI49" s="48" t="n">
        <v>384600000</v>
      </c>
      <c r="AJ49" s="48" t="n">
        <v>3817</v>
      </c>
      <c r="AK49" s="71" t="n">
        <v>0.158</v>
      </c>
      <c r="AL49" s="50" t="n">
        <f aca="false">IF(AI49&gt;0,AJ49*1000000/AI49,0)</f>
        <v>9.92459698387936</v>
      </c>
      <c r="AM49" s="67" t="n">
        <f aca="false">IF(AND(AK49&gt;0,AL48&gt;0,B49&gt;0),MIN(conv_cap,conv_beta*1*AK49*MAX(0,LN(B49/(AL48*AN48)))),0)</f>
        <v>0.00545240657081583</v>
      </c>
      <c r="AN49" s="68" t="n">
        <f aca="false">AN48*(1+AM49)</f>
        <v>1.10105965841111</v>
      </c>
      <c r="AO49" s="50" t="n">
        <f aca="false">AJ49*AN49</f>
        <v>4202.74471615521</v>
      </c>
      <c r="AP49" s="70" t="n">
        <f aca="false">IF(AI49&gt;0,AO49*1000000/AI49/Economy!Q49,0)</f>
        <v>0.0527902094924548</v>
      </c>
      <c r="AQ49" s="48" t="n">
        <v>11270000</v>
      </c>
      <c r="AR49" s="48" t="n">
        <v>213</v>
      </c>
      <c r="AS49" s="71" t="n">
        <v>0.325</v>
      </c>
      <c r="AT49" s="50" t="n">
        <f aca="false">IF(AQ49&gt;0,AR49*1000000/AQ49,0)</f>
        <v>18.8997338065661</v>
      </c>
      <c r="AU49" s="67" t="n">
        <f aca="false">IF(AND(AS49&gt;0,AT48&gt;0,B49&gt;0),MIN(conv_cap,conv_beta*1*AS49*MAX(0,LN(B49/(AT48*AV48)))),0)</f>
        <v>0.00926389248436015</v>
      </c>
      <c r="AV49" s="68" t="n">
        <f aca="false">AV48*(1+AU49)</f>
        <v>1.06558507754486</v>
      </c>
      <c r="AW49" s="50" t="n">
        <f aca="false">AR49*AV49</f>
        <v>226.969621517054</v>
      </c>
      <c r="AX49" s="70" t="n">
        <f aca="false">IF(AQ49&gt;0,AW49*1000000/AQ49/Economy!Q49,0)</f>
        <v>0.0972911802601298</v>
      </c>
      <c r="AY49" s="48" t="n">
        <v>69000000</v>
      </c>
      <c r="AZ49" s="48" t="n">
        <v>1597</v>
      </c>
      <c r="BA49" s="71" t="n">
        <v>0.073</v>
      </c>
      <c r="BB49" s="50" t="n">
        <f aca="false">IF(AY49&gt;0,AZ49*1000000/AY49,0)</f>
        <v>23.1449275362319</v>
      </c>
      <c r="BC49" s="67" t="n">
        <f aca="false">IF(AND(BA49&gt;0,BB48&gt;0,B49&gt;0),MIN(conv_cap,conv_beta*1*BA49*MAX(0,LN(B49/(BB48*BD48)))),0)</f>
        <v>0.00196266900239305</v>
      </c>
      <c r="BD49" s="68" t="n">
        <f aca="false">BD48*(1+BC49)</f>
        <v>1.0164992905335</v>
      </c>
      <c r="BE49" s="50" t="n">
        <f aca="false">AZ49*BD49</f>
        <v>1623.349366982</v>
      </c>
      <c r="BF49" s="70" t="n">
        <f aca="false">IF(AY49&gt;0,BE49*1000000/AY49/Economy!Q49,0)</f>
        <v>0.113656050338305</v>
      </c>
      <c r="BG49" s="48" t="n">
        <v>27100000</v>
      </c>
      <c r="BH49" s="48" t="n">
        <v>1760</v>
      </c>
      <c r="BI49" s="71" t="n">
        <v>0.125</v>
      </c>
      <c r="BJ49" s="50" t="n">
        <f aca="false">IF(BG49&gt;0,BH49*1000000/BG49,0)</f>
        <v>64.9446494464945</v>
      </c>
      <c r="BK49" s="67" t="n">
        <f aca="false">IF(AND(BI49&gt;0,BJ48&gt;0,B49&gt;0),MIN(conv_cap,conv_beta*1*BI49*MAX(0,LN(B49/(BJ48*BL48)))),0)</f>
        <v>0.00206105903927261</v>
      </c>
      <c r="BL49" s="68" t="n">
        <f aca="false">BL48*(1+BK49)</f>
        <v>1.02783947744249</v>
      </c>
      <c r="BM49" s="50" t="n">
        <f aca="false">BH49*BL49</f>
        <v>1808.99748029878</v>
      </c>
      <c r="BN49" s="70" t="n">
        <f aca="false">IF(BG49&gt;0,BM49*1000000/BG49/Economy!Q49,0)</f>
        <v>0.322476688646234</v>
      </c>
      <c r="BO49" s="48" t="n">
        <v>13300000</v>
      </c>
      <c r="BP49" s="48" t="n">
        <v>690</v>
      </c>
      <c r="BQ49" s="71" t="n">
        <v>0</v>
      </c>
      <c r="BR49" s="50" t="n">
        <f aca="false">IF(BO49&gt;0,BP49*1000000/BO49,0)</f>
        <v>51.8796992481203</v>
      </c>
      <c r="BS49" s="67" t="n">
        <f aca="false">IF(AND(BQ49&gt;0,BR48&gt;0,B49&gt;0),MIN(conv_cap,conv_beta*1*BQ49*MAX(0,LN(B49/(BR48*BT48)))),0)</f>
        <v>0</v>
      </c>
      <c r="BT49" s="68" t="n">
        <f aca="false">BT48*(1+BS49)</f>
        <v>1</v>
      </c>
      <c r="BU49" s="50"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1.10327109839522</v>
      </c>
      <c r="BX49" s="66" t="n">
        <f aca="false">MIN(mkt_cap,mkt_elast*MAX(0,BW49-1))</f>
        <v>0.0516355491976118</v>
      </c>
      <c r="BY49" s="50" t="n">
        <f aca="false">I49+Q49+Y49+AG49</f>
        <v>1150.28221553324</v>
      </c>
      <c r="BZ49" s="50" t="n">
        <f aca="false">D49+L49+T49+AB49</f>
        <v>910.375</v>
      </c>
      <c r="CA49" s="68" t="n">
        <f aca="false">IF(BZ49&gt;0,BY49/BZ49,0)</f>
        <v>1.26352570702539</v>
      </c>
    </row>
    <row r="50" customFormat="false" ht="14.25" hidden="false" customHeight="false" outlineLevel="0" collapsed="false">
      <c r="A50" s="61" t="n">
        <v>1890</v>
      </c>
      <c r="B50" s="50" t="n">
        <f aca="false">Economy!P49</f>
        <v>350.77006094908</v>
      </c>
      <c r="C50" s="48" t="n">
        <v>40000000</v>
      </c>
      <c r="D50" s="65" t="n">
        <f aca="false">Japan!B50</f>
        <v>800</v>
      </c>
      <c r="E50" s="71" t="n">
        <v>0.588</v>
      </c>
      <c r="F50" s="50" t="n">
        <f aca="false">IF(C50&gt;0,D50*1000000/C50,0)</f>
        <v>20</v>
      </c>
      <c r="G50" s="67" t="n">
        <f aca="false">IF(AND(E50&gt;0,F49&gt;0,B50&gt;0),MIN(conv_cap,conv_beta*jp_uplift*E50*MAX(0,LN(B50/(F49*H49)))),0)</f>
        <v>0.0155438645685473</v>
      </c>
      <c r="H50" s="68" t="n">
        <f aca="false">H49*(1+G50)</f>
        <v>1.30472649152924</v>
      </c>
      <c r="I50" s="50" t="n">
        <f aca="false">D50*H50</f>
        <v>1043.7811932234</v>
      </c>
      <c r="J50" s="70" t="n">
        <f aca="false">IF(C50&gt;0,I50*1000000/C50/Economy!Q50,0)</f>
        <v>0.12545447033935</v>
      </c>
      <c r="K50" s="65" t="n">
        <f aca="false">Gulf!B50</f>
        <v>0</v>
      </c>
      <c r="L50" s="50" t="n">
        <f aca="false">Gulf!B50*Gulf!C50*Economy!Q50/1000000</f>
        <v>0</v>
      </c>
      <c r="M50" s="71" t="n">
        <v>0</v>
      </c>
      <c r="N50" s="50" t="n">
        <f aca="false">IF(K50&gt;0,L50*1000000/K50,0)</f>
        <v>0</v>
      </c>
      <c r="O50" s="67" t="n">
        <f aca="false">IF(AND(M50&gt;0,N49&gt;0,B50&gt;0),MIN(conv_cap,conv_beta*1*M50*MAX(0,LN(B50/(N49*P49)))),0)</f>
        <v>0</v>
      </c>
      <c r="P50" s="68" t="n">
        <f aca="false">P49*(1+O50)</f>
        <v>1</v>
      </c>
      <c r="Q50" s="50" t="n">
        <f aca="false">L50*P50</f>
        <v>0</v>
      </c>
      <c r="R50" s="70" t="n">
        <f aca="false">IF(K50&gt;0,Q50*1000000/K50/Economy!Q50,0)</f>
        <v>0</v>
      </c>
      <c r="S50" s="65" t="n">
        <f aca="false">People!U50</f>
        <v>6806324</v>
      </c>
      <c r="T50" s="48" t="n">
        <v>150.405</v>
      </c>
      <c r="U50" s="71" t="n">
        <v>0.463</v>
      </c>
      <c r="V50" s="50" t="n">
        <f aca="false">IF(S50&gt;0,T50*1000000/S50,0)</f>
        <v>22.0978313697673</v>
      </c>
      <c r="W50" s="67" t="n">
        <f aca="false">IF(AND(U50&gt;0,V49&gt;0,B50&gt;0),MIN(conv_cap,conv_beta*1*U50*MAX(0,LN(B50/(V49*X49)))),0)</f>
        <v>0.0124413129887786</v>
      </c>
      <c r="X50" s="68" t="n">
        <f aca="false">X49*(1+W50)</f>
        <v>1.16133981023491</v>
      </c>
      <c r="Y50" s="50" t="n">
        <f aca="false">T50*X50</f>
        <v>174.671314158382</v>
      </c>
      <c r="Z50" s="70" t="n">
        <f aca="false">IF(S50&gt;0,Y50*1000000/S50/Economy!Q50,0)</f>
        <v>0.123380246584465</v>
      </c>
      <c r="AA50" s="48" t="n">
        <v>0</v>
      </c>
      <c r="AB50" s="48" t="n">
        <v>0</v>
      </c>
      <c r="AC50" s="71" t="n">
        <v>0</v>
      </c>
      <c r="AD50" s="50" t="n">
        <f aca="false">IF(AA50&gt;0,AB50*1000000/AA50,0)</f>
        <v>0</v>
      </c>
      <c r="AE50" s="67" t="n">
        <f aca="false">IF(AND(AC50&gt;0,AD49&gt;0,B50&gt;0),MIN(conv_cap,conv_beta*1*AC50*MAX(0,LN(B50/(AD49*AF49)))),0)</f>
        <v>0</v>
      </c>
      <c r="AF50" s="68" t="n">
        <f aca="false">AF49*(1+AE50)</f>
        <v>1</v>
      </c>
      <c r="AG50" s="50" t="n">
        <f aca="false">AB50*AF50</f>
        <v>0</v>
      </c>
      <c r="AH50" s="70" t="n">
        <f aca="false">IF(AA50&gt;0,AG50*1000000/AA50/Economy!Q50,0)</f>
        <v>0</v>
      </c>
      <c r="AI50" s="48" t="n">
        <v>386000000</v>
      </c>
      <c r="AJ50" s="48" t="n">
        <v>3833</v>
      </c>
      <c r="AK50" s="71" t="n">
        <v>0.162</v>
      </c>
      <c r="AL50" s="50" t="n">
        <f aca="false">IF(AI50&gt;0,AJ50*1000000/AI50,0)</f>
        <v>9.9300518134715</v>
      </c>
      <c r="AM50" s="67" t="n">
        <f aca="false">IF(AND(AK50&gt;0,AL49&gt;0,B50&gt;0),MIN(conv_cap,conv_beta*1*AK50*MAX(0,LN(B50/(AL49*AN49)))),0)</f>
        <v>0.00561952347342491</v>
      </c>
      <c r="AN50" s="68" t="n">
        <f aca="false">AN49*(1+AM50)</f>
        <v>1.10724708900719</v>
      </c>
      <c r="AO50" s="50" t="n">
        <f aca="false">AJ50*AN50</f>
        <v>4244.07809216457</v>
      </c>
      <c r="AP50" s="70" t="n">
        <f aca="false">IF(AI50&gt;0,AO50*1000000/AI50/Economy!Q50,0)</f>
        <v>0.0528606777122929</v>
      </c>
      <c r="AQ50" s="48" t="n">
        <v>11330000</v>
      </c>
      <c r="AR50" s="48" t="n">
        <v>217</v>
      </c>
      <c r="AS50" s="71" t="n">
        <v>0.338</v>
      </c>
      <c r="AT50" s="50" t="n">
        <f aca="false">IF(AQ50&gt;0,AR50*1000000/AQ50,0)</f>
        <v>19.1526919682259</v>
      </c>
      <c r="AU50" s="67" t="n">
        <f aca="false">IF(AND(AS50&gt;0,AT49&gt;0,B50&gt;0),MIN(conv_cap,conv_beta*1*AS50*MAX(0,LN(B50/(AT49*AV49)))),0)</f>
        <v>0.00965821161342632</v>
      </c>
      <c r="AV50" s="68" t="n">
        <f aca="false">AV49*(1+AU50)</f>
        <v>1.07587672371589</v>
      </c>
      <c r="AW50" s="50" t="n">
        <f aca="false">AR50*AV50</f>
        <v>233.465249046349</v>
      </c>
      <c r="AX50" s="70" t="n">
        <f aca="false">IF(AQ50&gt;0,AW50*1000000/AQ50/Economy!Q50,0)</f>
        <v>0.0990669975245896</v>
      </c>
      <c r="AY50" s="48" t="n">
        <v>70000000</v>
      </c>
      <c r="AZ50" s="48" t="n">
        <v>1633</v>
      </c>
      <c r="BA50" s="71" t="n">
        <v>0.075</v>
      </c>
      <c r="BB50" s="50" t="n">
        <f aca="false">IF(AY50&gt;0,AZ50*1000000/AY50,0)</f>
        <v>23.3285714285714</v>
      </c>
      <c r="BC50" s="67" t="n">
        <f aca="false">IF(AND(BA50&gt;0,BB49&gt;0,B50&gt;0),MIN(conv_cap,conv_beta*1*BA50*MAX(0,LN(B50/(BB49*BD49)))),0)</f>
        <v>0.00202649295902358</v>
      </c>
      <c r="BD50" s="68" t="n">
        <f aca="false">BD49*(1+BC50)</f>
        <v>1.01855921918862</v>
      </c>
      <c r="BE50" s="50" t="n">
        <f aca="false">AZ50*BD50</f>
        <v>1663.30720493502</v>
      </c>
      <c r="BF50" s="70" t="n">
        <f aca="false">IF(AY50&gt;0,BE50*1000000/AY50/Economy!Q50,0)</f>
        <v>0.114238132207075</v>
      </c>
      <c r="BG50" s="48" t="n">
        <v>27300000</v>
      </c>
      <c r="BH50" s="48" t="n">
        <v>1800</v>
      </c>
      <c r="BI50" s="71" t="n">
        <v>0.131</v>
      </c>
      <c r="BJ50" s="50" t="n">
        <f aca="false">IF(BG50&gt;0,BH50*1000000/BG50,0)</f>
        <v>65.9340659340659</v>
      </c>
      <c r="BK50" s="67" t="n">
        <f aca="false">IF(AND(BI50&gt;0,BJ49&gt;0,B50&gt;0),MIN(conv_cap,conv_beta*1*BI50*MAX(0,LN(B50/(BJ49*BL49)))),0)</f>
        <v>0.00217346887676111</v>
      </c>
      <c r="BL50" s="68" t="n">
        <f aca="false">BL49*(1+BK50)</f>
        <v>1.03007345455701</v>
      </c>
      <c r="BM50" s="50" t="n">
        <f aca="false">BH50*BL50</f>
        <v>1854.13221820263</v>
      </c>
      <c r="BN50" s="70" t="n">
        <f aca="false">IF(BG50&gt;0,BM50*1000000/BG50/Economy!Q50,0)</f>
        <v>0.326523707065833</v>
      </c>
      <c r="BO50" s="48" t="n">
        <v>13300000</v>
      </c>
      <c r="BP50" s="48" t="n">
        <v>700</v>
      </c>
      <c r="BQ50" s="71" t="n">
        <v>0</v>
      </c>
      <c r="BR50" s="50" t="n">
        <f aca="false">IF(BO50&gt;0,BP50*1000000/BO50,0)</f>
        <v>52.6315789473684</v>
      </c>
      <c r="BS50" s="67" t="n">
        <f aca="false">IF(AND(BQ50&gt;0,BR49&gt;0,B50&gt;0),MIN(conv_cap,conv_beta*1*BQ50*MAX(0,LN(B50/(BR49*BT49)))),0)</f>
        <v>0</v>
      </c>
      <c r="BT50" s="68" t="n">
        <f aca="false">BT49*(1+BS50)</f>
        <v>1</v>
      </c>
      <c r="BU50" s="50"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1.11093232674324</v>
      </c>
      <c r="BX50" s="66" t="n">
        <f aca="false">MIN(mkt_cap,mkt_elast*MAX(0,BW50-1))</f>
        <v>0.0554661633716213</v>
      </c>
      <c r="BY50" s="50" t="n">
        <f aca="false">I50+Q50+Y50+AG50</f>
        <v>1218.45250738178</v>
      </c>
      <c r="BZ50" s="50" t="n">
        <f aca="false">D50+L50+T50+AB50</f>
        <v>950.405</v>
      </c>
      <c r="CA50" s="68" t="n">
        <f aca="false">IF(BZ50&gt;0,BY50/BZ50,0)</f>
        <v>1.28203503493961</v>
      </c>
    </row>
    <row r="51" customFormat="false" ht="14.25" hidden="false" customHeight="false" outlineLevel="0" collapsed="false">
      <c r="A51" s="61" t="n">
        <v>1891</v>
      </c>
      <c r="B51" s="50" t="n">
        <f aca="false">Economy!P50</f>
        <v>360.134433015057</v>
      </c>
      <c r="C51" s="48" t="n">
        <v>40400000</v>
      </c>
      <c r="D51" s="65" t="n">
        <f aca="false">Japan!B51</f>
        <v>804</v>
      </c>
      <c r="E51" s="71" t="n">
        <v>0.6</v>
      </c>
      <c r="F51" s="50" t="n">
        <f aca="false">IF(C51&gt;0,D51*1000000/C51,0)</f>
        <v>19.9009900990099</v>
      </c>
      <c r="G51" s="67" t="n">
        <f aca="false">IF(AND(E51&gt;0,F50&gt;0,B51&gt;0),MIN(conv_cap,conv_beta*jp_uplift*E51*MAX(0,LN(B51/(F50*H50)))),0)</f>
        <v>0.0157485100767518</v>
      </c>
      <c r="H51" s="68" t="n">
        <f aca="false">H50*(1+G51)</f>
        <v>1.3252739898285</v>
      </c>
      <c r="I51" s="50" t="n">
        <f aca="false">D51*H51</f>
        <v>1065.52028782211</v>
      </c>
      <c r="J51" s="70" t="n">
        <f aca="false">IF(C51&gt;0,I51*1000000/C51/Economy!Q51,0)</f>
        <v>0.128030410437147</v>
      </c>
      <c r="K51" s="65" t="n">
        <f aca="false">Gulf!B51</f>
        <v>0</v>
      </c>
      <c r="L51" s="50" t="n">
        <f aca="false">Gulf!B51*Gulf!C51*Economy!Q51/1000000</f>
        <v>0</v>
      </c>
      <c r="M51" s="71" t="n">
        <v>0</v>
      </c>
      <c r="N51" s="50" t="n">
        <f aca="false">IF(K51&gt;0,L51*1000000/K51,0)</f>
        <v>0</v>
      </c>
      <c r="O51" s="67" t="n">
        <f aca="false">IF(AND(M51&gt;0,N50&gt;0,B51&gt;0),MIN(conv_cap,conv_beta*1*M51*MAX(0,LN(B51/(N50*P50)))),0)</f>
        <v>0</v>
      </c>
      <c r="P51" s="68" t="n">
        <f aca="false">P50*(1+O51)</f>
        <v>1</v>
      </c>
      <c r="Q51" s="50" t="n">
        <f aca="false">L51*P51</f>
        <v>0</v>
      </c>
      <c r="R51" s="70" t="n">
        <f aca="false">IF(K51&gt;0,Q51*1000000/K51/Economy!Q51,0)</f>
        <v>0</v>
      </c>
      <c r="S51" s="65" t="n">
        <f aca="false">People!U51</f>
        <v>6868654</v>
      </c>
      <c r="T51" s="48" t="n">
        <v>160.436</v>
      </c>
      <c r="U51" s="71" t="n">
        <v>0.471</v>
      </c>
      <c r="V51" s="50" t="n">
        <f aca="false">IF(S51&gt;0,T51*1000000/S51,0)</f>
        <v>23.3577058911397</v>
      </c>
      <c r="W51" s="67" t="n">
        <f aca="false">IF(AND(U51&gt;0,V50&gt;0,B51&gt;0),MIN(conv_cap,conv_beta*1*U51*MAX(0,LN(B51/(V50*X50)))),0)</f>
        <v>0.0124411049850753</v>
      </c>
      <c r="X51" s="68" t="n">
        <f aca="false">X50*(1+W51)</f>
        <v>1.17578816073739</v>
      </c>
      <c r="Y51" s="50" t="n">
        <f aca="false">T51*X51</f>
        <v>188.638749356064</v>
      </c>
      <c r="Z51" s="70" t="n">
        <f aca="false">IF(S51&gt;0,Y51*1000000/S51/Economy!Q51,0)</f>
        <v>0.133319000236835</v>
      </c>
      <c r="AA51" s="48" t="n">
        <v>0</v>
      </c>
      <c r="AB51" s="48" t="n">
        <v>0</v>
      </c>
      <c r="AC51" s="71" t="n">
        <v>0</v>
      </c>
      <c r="AD51" s="50" t="n">
        <f aca="false">IF(AA51&gt;0,AB51*1000000/AA51,0)</f>
        <v>0</v>
      </c>
      <c r="AE51" s="67" t="n">
        <f aca="false">IF(AND(AC51&gt;0,AD50&gt;0,B51&gt;0),MIN(conv_cap,conv_beta*1*AC51*MAX(0,LN(B51/(AD50*AF50)))),0)</f>
        <v>0</v>
      </c>
      <c r="AF51" s="68" t="n">
        <f aca="false">AF50*(1+AE51)</f>
        <v>1</v>
      </c>
      <c r="AG51" s="50" t="n">
        <f aca="false">AB51*AF51</f>
        <v>0</v>
      </c>
      <c r="AH51" s="70" t="n">
        <f aca="false">IF(AA51&gt;0,AG51*1000000/AA51/Economy!Q51,0)</f>
        <v>0</v>
      </c>
      <c r="AI51" s="48" t="n">
        <v>387400000</v>
      </c>
      <c r="AJ51" s="48" t="n">
        <v>3850</v>
      </c>
      <c r="AK51" s="71" t="n">
        <v>0.165</v>
      </c>
      <c r="AL51" s="50" t="n">
        <f aca="false">IF(AI51&gt;0,AJ51*1000000/AI51,0)</f>
        <v>9.93804852865256</v>
      </c>
      <c r="AM51" s="67" t="n">
        <f aca="false">IF(AND(AK51&gt;0,AL50&gt;0,B51&gt;0),MIN(conv_cap,conv_beta*1*AK51*MAX(0,LN(B51/(AL50*AN50)))),0)</f>
        <v>0.00575690751253558</v>
      </c>
      <c r="AN51" s="68" t="n">
        <f aca="false">AN50*(1+AM51)</f>
        <v>1.11362140809213</v>
      </c>
      <c r="AO51" s="50" t="n">
        <f aca="false">AJ51*AN51</f>
        <v>4287.44242115471</v>
      </c>
      <c r="AP51" s="70" t="n">
        <f aca="false">IF(AI51&gt;0,AO51*1000000/AI51/Economy!Q51,0)</f>
        <v>0.0537243863891553</v>
      </c>
      <c r="AQ51" s="48" t="n">
        <v>11400000</v>
      </c>
      <c r="AR51" s="48" t="n">
        <v>220</v>
      </c>
      <c r="AS51" s="71" t="n">
        <v>0.35</v>
      </c>
      <c r="AT51" s="50" t="n">
        <f aca="false">IF(AQ51&gt;0,AR51*1000000/AQ51,0)</f>
        <v>19.2982456140351</v>
      </c>
      <c r="AU51" s="67" t="n">
        <f aca="false">IF(AND(AS51&gt;0,AT50&gt;0,B51&gt;0),MIN(conv_cap,conv_beta*1*AS51*MAX(0,LN(B51/(AT50*AV50)))),0)</f>
        <v>0.0100131437775141</v>
      </c>
      <c r="AV51" s="68" t="n">
        <f aca="false">AV50*(1+AU51)</f>
        <v>1.08664963203734</v>
      </c>
      <c r="AW51" s="50" t="n">
        <f aca="false">AR51*AV51</f>
        <v>239.062919048215</v>
      </c>
      <c r="AX51" s="70" t="n">
        <f aca="false">IF(AQ51&gt;0,AW51*1000000/AQ51/Economy!Q51,0)</f>
        <v>0.101798211142997</v>
      </c>
      <c r="AY51" s="48" t="n">
        <v>71000000</v>
      </c>
      <c r="AZ51" s="48" t="n">
        <v>1670</v>
      </c>
      <c r="BA51" s="71" t="n">
        <v>0.078</v>
      </c>
      <c r="BB51" s="50" t="n">
        <f aca="false">IF(AY51&gt;0,AZ51*1000000/AY51,0)</f>
        <v>23.5211267605634</v>
      </c>
      <c r="BC51" s="67" t="n">
        <f aca="false">IF(AND(BA51&gt;0,BB50&gt;0,B51&gt;0),MIN(conv_cap,conv_beta*1*BA51*MAX(0,LN(B51/(BB50*BD50)))),0)</f>
        <v>0.00212035936112316</v>
      </c>
      <c r="BD51" s="68" t="n">
        <f aca="false">BD50*(1+BC51)</f>
        <v>1.02071893076389</v>
      </c>
      <c r="BE51" s="50" t="n">
        <f aca="false">AZ51*BD51</f>
        <v>1704.60061437569</v>
      </c>
      <c r="BF51" s="70" t="n">
        <f aca="false">IF(AY51&gt;0,BE51*1000000/AY51/Economy!Q51,0)</f>
        <v>0.116545919210699</v>
      </c>
      <c r="BG51" s="48" t="n">
        <v>27600000</v>
      </c>
      <c r="BH51" s="48" t="n">
        <v>1840</v>
      </c>
      <c r="BI51" s="71" t="n">
        <v>0.138</v>
      </c>
      <c r="BJ51" s="50" t="n">
        <f aca="false">IF(BG51&gt;0,BH51*1000000/BG51,0)</f>
        <v>66.6666666666667</v>
      </c>
      <c r="BK51" s="67" t="n">
        <f aca="false">IF(AND(BI51&gt;0,BJ50&gt;0,B51&gt;0),MIN(conv_cap,conv_beta*1*BI51*MAX(0,LN(B51/(BJ50*BL50)))),0)</f>
        <v>0.0023021050018005</v>
      </c>
      <c r="BL51" s="68" t="n">
        <f aca="false">BL50*(1+BK51)</f>
        <v>1.03244479180897</v>
      </c>
      <c r="BM51" s="50" t="n">
        <f aca="false">BH51*BL51</f>
        <v>1899.69841692851</v>
      </c>
      <c r="BN51" s="70" t="n">
        <f aca="false">IF(BG51&gt;0,BM51*1000000/BG51/Economy!Q51,0)</f>
        <v>0.334124528093518</v>
      </c>
      <c r="BO51" s="48" t="n">
        <v>13400000</v>
      </c>
      <c r="BP51" s="48" t="n">
        <v>710</v>
      </c>
      <c r="BQ51" s="71" t="n">
        <v>0</v>
      </c>
      <c r="BR51" s="50" t="n">
        <f aca="false">IF(BO51&gt;0,BP51*1000000/BO51,0)</f>
        <v>52.9850746268657</v>
      </c>
      <c r="BS51" s="67" t="n">
        <f aca="false">IF(AND(BQ51&gt;0,BR50&gt;0,B51&gt;0),MIN(conv_cap,conv_beta*1*BQ51*MAX(0,LN(B51/(BR50*BT50)))),0)</f>
        <v>0</v>
      </c>
      <c r="BT51" s="68" t="n">
        <f aca="false">BT50*(1+BS51)</f>
        <v>1</v>
      </c>
      <c r="BU51" s="50"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1.11881725836187</v>
      </c>
      <c r="BX51" s="66" t="n">
        <f aca="false">MIN(mkt_cap,mkt_elast*MAX(0,BW51-1))</f>
        <v>0.0594086291809348</v>
      </c>
      <c r="BY51" s="50" t="n">
        <f aca="false">I51+Q51+Y51+AG51</f>
        <v>1254.15903717818</v>
      </c>
      <c r="BZ51" s="50" t="n">
        <f aca="false">D51+L51+T51+AB51</f>
        <v>964.436</v>
      </c>
      <c r="CA51" s="68" t="n">
        <f aca="false">IF(BZ51&gt;0,BY51/BZ51,0)</f>
        <v>1.30040670109595</v>
      </c>
    </row>
    <row r="52" customFormat="false" ht="14.25" hidden="false" customHeight="false" outlineLevel="0" collapsed="false">
      <c r="A52" s="61" t="n">
        <v>1892</v>
      </c>
      <c r="B52" s="50" t="n">
        <f aca="false">Economy!P51</f>
        <v>367.172895863305</v>
      </c>
      <c r="C52" s="48" t="n">
        <v>40800000</v>
      </c>
      <c r="D52" s="65" t="n">
        <f aca="false">Japan!B52</f>
        <v>808</v>
      </c>
      <c r="E52" s="71" t="n">
        <v>0.613</v>
      </c>
      <c r="F52" s="50" t="n">
        <f aca="false">IF(C52&gt;0,D52*1000000/C52,0)</f>
        <v>19.8039215686275</v>
      </c>
      <c r="G52" s="67" t="n">
        <f aca="false">IF(AND(E52&gt;0,F51&gt;0,B52&gt;0),MIN(conv_cap,conv_beta*jp_uplift*E52*MAX(0,LN(B52/(F51*H51)))),0)</f>
        <v>0.0161430125534614</v>
      </c>
      <c r="H52" s="68" t="n">
        <f aca="false">H51*(1+G52)</f>
        <v>1.34666790448308</v>
      </c>
      <c r="I52" s="50" t="n">
        <f aca="false">D52*H52</f>
        <v>1088.10766682232</v>
      </c>
      <c r="J52" s="70" t="n">
        <f aca="false">IF(C52&gt;0,I52*1000000/C52/Economy!Q52,0)</f>
        <v>0.130094173460345</v>
      </c>
      <c r="K52" s="65" t="n">
        <f aca="false">Gulf!B52</f>
        <v>0</v>
      </c>
      <c r="L52" s="50" t="n">
        <f aca="false">Gulf!B52*Gulf!C52*Economy!Q52/1000000</f>
        <v>0</v>
      </c>
      <c r="M52" s="71" t="n">
        <v>0</v>
      </c>
      <c r="N52" s="50" t="n">
        <f aca="false">IF(K52&gt;0,L52*1000000/K52,0)</f>
        <v>0</v>
      </c>
      <c r="O52" s="67" t="n">
        <f aca="false">IF(AND(M52&gt;0,N51&gt;0,B52&gt;0),MIN(conv_cap,conv_beta*1*M52*MAX(0,LN(B52/(N51*P51)))),0)</f>
        <v>0</v>
      </c>
      <c r="P52" s="68" t="n">
        <f aca="false">P51*(1+O52)</f>
        <v>1</v>
      </c>
      <c r="Q52" s="50" t="n">
        <f aca="false">L52*P52</f>
        <v>0</v>
      </c>
      <c r="R52" s="70" t="n">
        <f aca="false">IF(K52&gt;0,Q52*1000000/K52/Economy!Q52,0)</f>
        <v>0</v>
      </c>
      <c r="S52" s="65" t="n">
        <f aca="false">People!U52</f>
        <v>6930990</v>
      </c>
      <c r="T52" s="48" t="n">
        <v>170.467</v>
      </c>
      <c r="U52" s="71" t="n">
        <v>0.478</v>
      </c>
      <c r="V52" s="50" t="n">
        <f aca="false">IF(S52&gt;0,T52*1000000/S52,0)</f>
        <v>24.5948991413925</v>
      </c>
      <c r="W52" s="67" t="n">
        <f aca="false">IF(AND(U52&gt;0,V51&gt;0,B52&gt;0),MIN(conv_cap,conv_beta*1*U52*MAX(0,LN(B52/(V51*X51)))),0)</f>
        <v>0.0123943832101128</v>
      </c>
      <c r="X52" s="68" t="n">
        <f aca="false">X51*(1+W52)</f>
        <v>1.19036132977549</v>
      </c>
      <c r="Y52" s="50" t="n">
        <f aca="false">T52*X52</f>
        <v>202.917324802838</v>
      </c>
      <c r="Z52" s="70" t="n">
        <f aca="false">IF(S52&gt;0,Y52*1000000/S52/Economy!Q52,0)</f>
        <v>0.142813740720205</v>
      </c>
      <c r="AA52" s="48" t="n">
        <v>0</v>
      </c>
      <c r="AB52" s="48" t="n">
        <v>0</v>
      </c>
      <c r="AC52" s="71" t="n">
        <v>0</v>
      </c>
      <c r="AD52" s="50" t="n">
        <f aca="false">IF(AA52&gt;0,AB52*1000000/AA52,0)</f>
        <v>0</v>
      </c>
      <c r="AE52" s="67" t="n">
        <f aca="false">IF(AND(AC52&gt;0,AD51&gt;0,B52&gt;0),MIN(conv_cap,conv_beta*1*AC52*MAX(0,LN(B52/(AD51*AF51)))),0)</f>
        <v>0</v>
      </c>
      <c r="AF52" s="68" t="n">
        <f aca="false">AF51*(1+AE52)</f>
        <v>1</v>
      </c>
      <c r="AG52" s="50" t="n">
        <f aca="false">AB52*AF52</f>
        <v>0</v>
      </c>
      <c r="AH52" s="70" t="n">
        <f aca="false">IF(AA52&gt;0,AG52*1000000/AA52/Economy!Q52,0)</f>
        <v>0</v>
      </c>
      <c r="AI52" s="48" t="n">
        <v>388800000</v>
      </c>
      <c r="AJ52" s="48" t="n">
        <v>3867</v>
      </c>
      <c r="AK52" s="71" t="n">
        <v>0.169</v>
      </c>
      <c r="AL52" s="50" t="n">
        <f aca="false">IF(AI52&gt;0,AJ52*1000000/AI52,0)</f>
        <v>9.94598765432099</v>
      </c>
      <c r="AM52" s="67" t="n">
        <f aca="false">IF(AND(AK52&gt;0,AL51&gt;0,B52&gt;0),MIN(conv_cap,conv_beta*1*AK52*MAX(0,LN(B52/(AL51*AN51)))),0)</f>
        <v>0.00591811793519958</v>
      </c>
      <c r="AN52" s="68" t="n">
        <f aca="false">AN51*(1+AM52)</f>
        <v>1.12021195092038</v>
      </c>
      <c r="AO52" s="50" t="n">
        <f aca="false">AJ52*AN52</f>
        <v>4331.85961420913</v>
      </c>
      <c r="AP52" s="70" t="n">
        <f aca="false">IF(AI52&gt;0,AO52*1000000/AI52/Economy!Q52,0)</f>
        <v>0.0543493377272047</v>
      </c>
      <c r="AQ52" s="48" t="n">
        <v>11470000</v>
      </c>
      <c r="AR52" s="48" t="n">
        <v>223</v>
      </c>
      <c r="AS52" s="71" t="n">
        <v>0.363</v>
      </c>
      <c r="AT52" s="50" t="n">
        <f aca="false">IF(AQ52&gt;0,AR52*1000000/AQ52,0)</f>
        <v>19.4420226678291</v>
      </c>
      <c r="AU52" s="67" t="n">
        <f aca="false">IF(AND(AS52&gt;0,AT51&gt;0,B52&gt;0),MIN(conv_cap,conv_beta*1*AS52*MAX(0,LN(B52/(AT51*AV51)))),0)</f>
        <v>0.0103916715000933</v>
      </c>
      <c r="AV52" s="68" t="n">
        <f aca="false">AV51*(1+AU52)</f>
        <v>1.09794173804917</v>
      </c>
      <c r="AW52" s="50" t="n">
        <f aca="false">AR52*AV52</f>
        <v>244.841007584965</v>
      </c>
      <c r="AX52" s="70" t="n">
        <f aca="false">IF(AQ52&gt;0,AW52*1000000/AQ52/Economy!Q52,0)</f>
        <v>0.104127844678574</v>
      </c>
      <c r="AY52" s="48" t="n">
        <v>72000000</v>
      </c>
      <c r="AZ52" s="48" t="n">
        <v>1707</v>
      </c>
      <c r="BA52" s="71" t="n">
        <v>0.08</v>
      </c>
      <c r="BB52" s="50" t="n">
        <f aca="false">IF(AY52&gt;0,AZ52*1000000/AY52,0)</f>
        <v>23.7083333333333</v>
      </c>
      <c r="BC52" s="67" t="n">
        <f aca="false">IF(AND(BA52&gt;0,BB51&gt;0,B52&gt;0),MIN(conv_cap,conv_beta*1*BA52*MAX(0,LN(B52/(BB51*BD51)))),0)</f>
        <v>0.00218194128123566</v>
      </c>
      <c r="BD52" s="68" t="n">
        <f aca="false">BD51*(1+BC52)</f>
        <v>1.02294607953546</v>
      </c>
      <c r="BE52" s="50" t="n">
        <f aca="false">AZ52*BD52</f>
        <v>1746.16895776703</v>
      </c>
      <c r="BF52" s="70" t="n">
        <f aca="false">IF(AY52&gt;0,BE52*1000000/AY52/Economy!Q52,0)</f>
        <v>0.118304129930015</v>
      </c>
      <c r="BG52" s="48" t="n">
        <v>27900000</v>
      </c>
      <c r="BH52" s="48" t="n">
        <v>1880</v>
      </c>
      <c r="BI52" s="71" t="n">
        <v>0.144</v>
      </c>
      <c r="BJ52" s="50" t="n">
        <f aca="false">IF(BG52&gt;0,BH52*1000000/BG52,0)</f>
        <v>67.3835125448029</v>
      </c>
      <c r="BK52" s="67" t="n">
        <f aca="false">IF(AND(BI52&gt;0,BJ51&gt;0,B52&gt;0),MIN(conv_cap,conv_beta*1*BI52*MAX(0,LN(B52/(BJ51*BL51)))),0)</f>
        <v>0.00241084539520292</v>
      </c>
      <c r="BL52" s="68" t="n">
        <f aca="false">BL51*(1+BK52)</f>
        <v>1.03493385658111</v>
      </c>
      <c r="BM52" s="50" t="n">
        <f aca="false">BH52*BL52</f>
        <v>1945.67565037248</v>
      </c>
      <c r="BN52" s="70" t="n">
        <f aca="false">IF(BG52&gt;0,BM52*1000000/BG52/Economy!Q52,0)</f>
        <v>0.340182821990118</v>
      </c>
      <c r="BO52" s="48" t="n">
        <v>13500000</v>
      </c>
      <c r="BP52" s="48" t="n">
        <v>720</v>
      </c>
      <c r="BQ52" s="71" t="n">
        <v>0</v>
      </c>
      <c r="BR52" s="50" t="n">
        <f aca="false">IF(BO52&gt;0,BP52*1000000/BO52,0)</f>
        <v>53.3333333333333</v>
      </c>
      <c r="BS52" s="67" t="n">
        <f aca="false">IF(AND(BQ52&gt;0,BR51&gt;0,B52&gt;0),MIN(conv_cap,conv_beta*1*BQ52*MAX(0,LN(B52/(BR51*BT51)))),0)</f>
        <v>0</v>
      </c>
      <c r="BT52" s="68" t="n">
        <f aca="false">BT51*(1+BS52)</f>
        <v>1</v>
      </c>
      <c r="BU52" s="50"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1.12699006313716</v>
      </c>
      <c r="BX52" s="66" t="n">
        <f aca="false">MIN(mkt_cap,mkt_elast*MAX(0,BW52-1))</f>
        <v>0.0634950315685776</v>
      </c>
      <c r="BY52" s="50" t="n">
        <f aca="false">I52+Q52+Y52+AG52</f>
        <v>1291.02499162516</v>
      </c>
      <c r="BZ52" s="50" t="n">
        <f aca="false">D52+L52+T52+AB52</f>
        <v>978.467</v>
      </c>
      <c r="CA52" s="68" t="n">
        <f aca="false">IF(BZ52&gt;0,BY52/BZ52,0)</f>
        <v>1.31943641597025</v>
      </c>
    </row>
    <row r="53" customFormat="false" ht="14.25" hidden="false" customHeight="false" outlineLevel="0" collapsed="false">
      <c r="A53" s="61" t="n">
        <v>1893</v>
      </c>
      <c r="B53" s="50" t="n">
        <f aca="false">Economy!P52</f>
        <v>374.104996349938</v>
      </c>
      <c r="C53" s="48" t="n">
        <v>41200000</v>
      </c>
      <c r="D53" s="65" t="n">
        <f aca="false">Japan!B53</f>
        <v>812</v>
      </c>
      <c r="E53" s="71" t="n">
        <v>0.625</v>
      </c>
      <c r="F53" s="50" t="n">
        <f aca="false">IF(C53&gt;0,D53*1000000/C53,0)</f>
        <v>19.7087378640777</v>
      </c>
      <c r="G53" s="67" t="n">
        <f aca="false">IF(AND(E53&gt;0,F52&gt;0,B53&gt;0),MIN(conv_cap,conv_beta*jp_uplift*E53*MAX(0,LN(B53/(F52*H52)))),0)</f>
        <v>0.0165063949833263</v>
      </c>
      <c r="H53" s="68" t="n">
        <f aca="false">H52*(1+G53)</f>
        <v>1.36889653682584</v>
      </c>
      <c r="I53" s="50" t="n">
        <f aca="false">D53*H53</f>
        <v>1111.54398790258</v>
      </c>
      <c r="J53" s="70" t="n">
        <f aca="false">IF(C53&gt;0,I53*1000000/C53/Economy!Q53,0)</f>
        <v>0.132902576390858</v>
      </c>
      <c r="K53" s="65" t="n">
        <f aca="false">Gulf!B53</f>
        <v>0</v>
      </c>
      <c r="L53" s="50" t="n">
        <f aca="false">Gulf!B53*Gulf!C53*Economy!Q53/1000000</f>
        <v>0</v>
      </c>
      <c r="M53" s="71" t="n">
        <v>0</v>
      </c>
      <c r="N53" s="50" t="n">
        <f aca="false">IF(K53&gt;0,L53*1000000/K53,0)</f>
        <v>0</v>
      </c>
      <c r="O53" s="67" t="n">
        <f aca="false">IF(AND(M53&gt;0,N52&gt;0,B53&gt;0),MIN(conv_cap,conv_beta*1*M53*MAX(0,LN(B53/(N52*P52)))),0)</f>
        <v>0</v>
      </c>
      <c r="P53" s="68" t="n">
        <f aca="false">P52*(1+O53)</f>
        <v>1</v>
      </c>
      <c r="Q53" s="50" t="n">
        <f aca="false">L53*P53</f>
        <v>0</v>
      </c>
      <c r="R53" s="70" t="n">
        <f aca="false">IF(K53&gt;0,Q53*1000000/K53/Economy!Q53,0)</f>
        <v>0</v>
      </c>
      <c r="S53" s="65" t="n">
        <f aca="false">People!U53</f>
        <v>6994331</v>
      </c>
      <c r="T53" s="48" t="n">
        <v>180.499</v>
      </c>
      <c r="U53" s="71" t="n">
        <v>0.486</v>
      </c>
      <c r="V53" s="50" t="n">
        <f aca="false">IF(S53&gt;0,T53*1000000/S53,0)</f>
        <v>25.8064709834293</v>
      </c>
      <c r="W53" s="67" t="n">
        <f aca="false">IF(AND(U53&gt;0,V52&gt;0,B53&gt;0),MIN(conv_cap,conv_beta*1*U53*MAX(0,LN(B53/(V52*X52)))),0)</f>
        <v>0.0123820189658608</v>
      </c>
      <c r="X53" s="68" t="n">
        <f aca="false">X52*(1+W53)</f>
        <v>1.20510040633699</v>
      </c>
      <c r="Y53" s="50" t="n">
        <f aca="false">T53*X53</f>
        <v>217.519418243421</v>
      </c>
      <c r="Z53" s="70" t="n">
        <f aca="false">IF(S53&gt;0,Y53*1000000/S53/Economy!Q53,0)</f>
        <v>0.153198958956919</v>
      </c>
      <c r="AA53" s="48" t="n">
        <v>0</v>
      </c>
      <c r="AB53" s="48" t="n">
        <v>0</v>
      </c>
      <c r="AC53" s="71" t="n">
        <v>0</v>
      </c>
      <c r="AD53" s="50" t="n">
        <f aca="false">IF(AA53&gt;0,AB53*1000000/AA53,0)</f>
        <v>0</v>
      </c>
      <c r="AE53" s="67" t="n">
        <f aca="false">IF(AND(AC53&gt;0,AD52&gt;0,B53&gt;0),MIN(conv_cap,conv_beta*1*AC53*MAX(0,LN(B53/(AD52*AF52)))),0)</f>
        <v>0</v>
      </c>
      <c r="AF53" s="68" t="n">
        <f aca="false">AF52*(1+AE53)</f>
        <v>1</v>
      </c>
      <c r="AG53" s="50" t="n">
        <f aca="false">AB53*AF53</f>
        <v>0</v>
      </c>
      <c r="AH53" s="70" t="n">
        <f aca="false">IF(AA53&gt;0,AG53*1000000/AA53/Economy!Q53,0)</f>
        <v>0</v>
      </c>
      <c r="AI53" s="48" t="n">
        <v>390200000</v>
      </c>
      <c r="AJ53" s="48" t="n">
        <v>3883</v>
      </c>
      <c r="AK53" s="71" t="n">
        <v>0.173</v>
      </c>
      <c r="AL53" s="50" t="n">
        <f aca="false">IF(AI53&gt;0,AJ53*1000000/AI53,0)</f>
        <v>9.95130702203998</v>
      </c>
      <c r="AM53" s="67" t="n">
        <f aca="false">IF(AND(AK53&gt;0,AL52&gt;0,B53&gt;0),MIN(conv_cap,conv_beta*1*AK53*MAX(0,LN(B53/(AL52*AN52)))),0)</f>
        <v>0.00607895940767989</v>
      </c>
      <c r="AN53" s="68" t="n">
        <f aca="false">AN52*(1+AM53)</f>
        <v>1.12702167389803</v>
      </c>
      <c r="AO53" s="50" t="n">
        <f aca="false">AJ53*AN53</f>
        <v>4376.22515974604</v>
      </c>
      <c r="AP53" s="70" t="n">
        <f aca="false">IF(AI53&gt;0,AO53*1000000/AI53/Economy!Q53,0)</f>
        <v>0.0552479738790773</v>
      </c>
      <c r="AQ53" s="48" t="n">
        <v>11530000</v>
      </c>
      <c r="AR53" s="48" t="n">
        <v>227</v>
      </c>
      <c r="AS53" s="71" t="n">
        <v>0.375</v>
      </c>
      <c r="AT53" s="50" t="n">
        <f aca="false">IF(AQ53&gt;0,AR53*1000000/AQ53,0)</f>
        <v>19.6877710320902</v>
      </c>
      <c r="AU53" s="67" t="n">
        <f aca="false">IF(AND(AS53&gt;0,AT52&gt;0,B53&gt;0),MIN(conv_cap,conv_beta*1*AS53*MAX(0,LN(B53/(AT52*AV52)))),0)</f>
        <v>0.0107387339130224</v>
      </c>
      <c r="AV53" s="68" t="n">
        <f aca="false">AV52*(1+AU53)</f>
        <v>1.10973224222608</v>
      </c>
      <c r="AW53" s="50" t="n">
        <f aca="false">AR53*AV53</f>
        <v>251.909218985321</v>
      </c>
      <c r="AX53" s="70" t="n">
        <f aca="false">IF(AQ53&gt;0,AW53*1000000/AQ53/Economy!Q53,0)</f>
        <v>0.107626375822045</v>
      </c>
      <c r="AY53" s="48" t="n">
        <v>73000000</v>
      </c>
      <c r="AZ53" s="48" t="n">
        <v>1743</v>
      </c>
      <c r="BA53" s="71" t="n">
        <v>0.083</v>
      </c>
      <c r="BB53" s="50" t="n">
        <f aca="false">IF(AY53&gt;0,AZ53*1000000/AY53,0)</f>
        <v>23.8767123287671</v>
      </c>
      <c r="BC53" s="67" t="n">
        <f aca="false">IF(AND(BA53&gt;0,BB52&gt;0,B53&gt;0),MIN(conv_cap,conv_beta*1*BA53*MAX(0,LN(B53/(BB52*BD52)))),0)</f>
        <v>0.00227089918606092</v>
      </c>
      <c r="BD53" s="68" t="n">
        <f aca="false">BD52*(1+BC53)</f>
        <v>1.02526908695486</v>
      </c>
      <c r="BE53" s="50" t="n">
        <f aca="false">AZ53*BD53</f>
        <v>1787.04401856232</v>
      </c>
      <c r="BF53" s="70" t="n">
        <f aca="false">IF(AY53&gt;0,BE53*1000000/AY53/Economy!Q53,0)</f>
        <v>0.120591404181275</v>
      </c>
      <c r="BG53" s="48" t="n">
        <v>28100000</v>
      </c>
      <c r="BH53" s="48" t="n">
        <v>1920</v>
      </c>
      <c r="BI53" s="71" t="n">
        <v>0.15</v>
      </c>
      <c r="BJ53" s="50" t="n">
        <f aca="false">IF(BG53&gt;0,BH53*1000000/BG53,0)</f>
        <v>68.3274021352313</v>
      </c>
      <c r="BK53" s="67" t="n">
        <f aca="false">IF(AND(BI53&gt;0,BJ52&gt;0,B53&gt;0),MIN(conv_cap,conv_beta*1*BI53*MAX(0,LN(B53/(BJ52*BL52)))),0)</f>
        <v>0.00251969791789703</v>
      </c>
      <c r="BL53" s="68" t="n">
        <f aca="false">BL52*(1+BK53)</f>
        <v>1.03754157726469</v>
      </c>
      <c r="BM53" s="50" t="n">
        <f aca="false">BH53*BL53</f>
        <v>1992.07982834821</v>
      </c>
      <c r="BN53" s="70" t="n">
        <f aca="false">IF(BG53&gt;0,BM53*1000000/BG53/Economy!Q53,0)</f>
        <v>0.349224239319148</v>
      </c>
      <c r="BO53" s="48" t="n">
        <v>13500000</v>
      </c>
      <c r="BP53" s="48" t="n">
        <v>730</v>
      </c>
      <c r="BQ53" s="71" t="n">
        <v>0</v>
      </c>
      <c r="BR53" s="50" t="n">
        <f aca="false">IF(BO53&gt;0,BP53*1000000/BO53,0)</f>
        <v>54.0740740740741</v>
      </c>
      <c r="BS53" s="67" t="n">
        <f aca="false">IF(AND(BQ53&gt;0,BR52&gt;0,B53&gt;0),MIN(conv_cap,conv_beta*1*BQ53*MAX(0,LN(B53/(BR52*BT52)))),0)</f>
        <v>0</v>
      </c>
      <c r="BT53" s="68" t="n">
        <f aca="false">BT52*(1+BS53)</f>
        <v>1</v>
      </c>
      <c r="BU53" s="50"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1.13545289722969</v>
      </c>
      <c r="BX53" s="66" t="n">
        <f aca="false">MIN(mkt_cap,mkt_elast*MAX(0,BW53-1))</f>
        <v>0.0677264486148445</v>
      </c>
      <c r="BY53" s="50" t="n">
        <f aca="false">I53+Q53+Y53+AG53</f>
        <v>1329.063406146</v>
      </c>
      <c r="BZ53" s="50" t="n">
        <f aca="false">D53+L53+T53+AB53</f>
        <v>992.499</v>
      </c>
      <c r="CA53" s="68" t="n">
        <f aca="false">IF(BZ53&gt;0,BY53/BZ53,0)</f>
        <v>1.3391080556716</v>
      </c>
    </row>
    <row r="54" customFormat="false" ht="14.25" hidden="false" customHeight="false" outlineLevel="0" collapsed="false">
      <c r="A54" s="61" t="n">
        <v>1894</v>
      </c>
      <c r="B54" s="50" t="n">
        <f aca="false">Economy!P53</f>
        <v>363.038809490396</v>
      </c>
      <c r="C54" s="48" t="n">
        <v>41600000</v>
      </c>
      <c r="D54" s="65" t="n">
        <f aca="false">Japan!B54</f>
        <v>816</v>
      </c>
      <c r="E54" s="71" t="n">
        <v>0.638</v>
      </c>
      <c r="F54" s="50" t="n">
        <f aca="false">IF(C54&gt;0,D54*1000000/C54,0)</f>
        <v>19.6153846153846</v>
      </c>
      <c r="G54" s="67" t="n">
        <f aca="false">IF(AND(E54&gt;0,F53&gt;0,B54&gt;0),MIN(conv_cap,conv_beta*jp_uplift*E54*MAX(0,LN(B54/(F53*H53)))),0)</f>
        <v>0.0165844443636039</v>
      </c>
      <c r="H54" s="68" t="n">
        <f aca="false">H53*(1+G54)</f>
        <v>1.39159892528036</v>
      </c>
      <c r="I54" s="50" t="n">
        <f aca="false">D54*H54</f>
        <v>1135.54472302877</v>
      </c>
      <c r="J54" s="70" t="n">
        <f aca="false">IF(C54&gt;0,I54*1000000/C54/Economy!Q54,0)</f>
        <v>0.135132416582822</v>
      </c>
      <c r="K54" s="65" t="n">
        <f aca="false">Gulf!B54</f>
        <v>0</v>
      </c>
      <c r="L54" s="50" t="n">
        <f aca="false">Gulf!B54*Gulf!C54*Economy!Q54/1000000</f>
        <v>0</v>
      </c>
      <c r="M54" s="71" t="n">
        <v>0</v>
      </c>
      <c r="N54" s="50" t="n">
        <f aca="false">IF(K54&gt;0,L54*1000000/K54,0)</f>
        <v>0</v>
      </c>
      <c r="O54" s="67" t="n">
        <f aca="false">IF(AND(M54&gt;0,N53&gt;0,B54&gt;0),MIN(conv_cap,conv_beta*1*M54*MAX(0,LN(B54/(N53*P53)))),0)</f>
        <v>0</v>
      </c>
      <c r="P54" s="68" t="n">
        <f aca="false">P53*(1+O54)</f>
        <v>1</v>
      </c>
      <c r="Q54" s="50" t="n">
        <f aca="false">L54*P54</f>
        <v>0</v>
      </c>
      <c r="R54" s="70" t="n">
        <f aca="false">IF(K54&gt;0,Q54*1000000/K54/Economy!Q54,0)</f>
        <v>0</v>
      </c>
      <c r="S54" s="65" t="n">
        <f aca="false">People!U54</f>
        <v>7057679</v>
      </c>
      <c r="T54" s="48" t="n">
        <v>190.531</v>
      </c>
      <c r="U54" s="71" t="n">
        <v>0.494</v>
      </c>
      <c r="V54" s="50" t="n">
        <f aca="false">IF(S54&gt;0,T54*1000000/S54,0)</f>
        <v>26.9962688866977</v>
      </c>
      <c r="W54" s="67" t="n">
        <f aca="false">IF(AND(U54&gt;0,V53&gt;0,B54&gt;0),MIN(conv_cap,conv_beta*1*U54*MAX(0,LN(B54/(V53*X53)))),0)</f>
        <v>0.0121391686038368</v>
      </c>
      <c r="X54" s="68" t="n">
        <f aca="false">X53*(1+W54)</f>
        <v>1.21972932335407</v>
      </c>
      <c r="Y54" s="50" t="n">
        <f aca="false">T54*X54</f>
        <v>232.396247707974</v>
      </c>
      <c r="Z54" s="70" t="n">
        <f aca="false">IF(S54&gt;0,Y54*1000000/S54/Economy!Q54,0)</f>
        <v>0.163010597931962</v>
      </c>
      <c r="AA54" s="48" t="n">
        <v>0</v>
      </c>
      <c r="AB54" s="48" t="n">
        <v>0</v>
      </c>
      <c r="AC54" s="71" t="n">
        <v>0</v>
      </c>
      <c r="AD54" s="50" t="n">
        <f aca="false">IF(AA54&gt;0,AB54*1000000/AA54,0)</f>
        <v>0</v>
      </c>
      <c r="AE54" s="67" t="n">
        <f aca="false">IF(AND(AC54&gt;0,AD53&gt;0,B54&gt;0),MIN(conv_cap,conv_beta*1*AC54*MAX(0,LN(B54/(AD53*AF53)))),0)</f>
        <v>0</v>
      </c>
      <c r="AF54" s="68" t="n">
        <f aca="false">AF53*(1+AE54)</f>
        <v>1</v>
      </c>
      <c r="AG54" s="50" t="n">
        <f aca="false">AB54*AF54</f>
        <v>0</v>
      </c>
      <c r="AH54" s="70" t="n">
        <f aca="false">IF(AA54&gt;0,AG54*1000000/AA54/Economy!Q54,0)</f>
        <v>0</v>
      </c>
      <c r="AI54" s="48" t="n">
        <v>391600000</v>
      </c>
      <c r="AJ54" s="48" t="n">
        <v>3900</v>
      </c>
      <c r="AK54" s="71" t="n">
        <v>0.177</v>
      </c>
      <c r="AL54" s="50" t="n">
        <f aca="false">IF(AI54&gt;0,AJ54*1000000/AI54,0)</f>
        <v>9.95914198161389</v>
      </c>
      <c r="AM54" s="67" t="n">
        <f aca="false">IF(AND(AK54&gt;0,AL53&gt;0,B54&gt;0),MIN(conv_cap,conv_beta*1*AK54*MAX(0,LN(B54/(AL53*AN53)))),0)</f>
        <v>0.00615469245168538</v>
      </c>
      <c r="AN54" s="68" t="n">
        <f aca="false">AN53*(1+AM54)</f>
        <v>1.13395814568725</v>
      </c>
      <c r="AO54" s="50" t="n">
        <f aca="false">AJ54*AN54</f>
        <v>4422.43676818029</v>
      </c>
      <c r="AP54" s="70" t="n">
        <f aca="false">IF(AI54&gt;0,AO54*1000000/AI54/Economy!Q54,0)</f>
        <v>0.0559071790797375</v>
      </c>
      <c r="AQ54" s="48" t="n">
        <v>11600000</v>
      </c>
      <c r="AR54" s="48" t="n">
        <v>230</v>
      </c>
      <c r="AS54" s="71" t="n">
        <v>0.388</v>
      </c>
      <c r="AT54" s="50" t="n">
        <f aca="false">IF(AQ54&gt;0,AR54*1000000/AQ54,0)</f>
        <v>19.8275862068966</v>
      </c>
      <c r="AU54" s="67" t="n">
        <f aca="false">IF(AND(AS54&gt;0,AT53&gt;0,B54&gt;0),MIN(conv_cap,conv_beta*1*AS54*MAX(0,LN(B54/(AT53*AV53)))),0)</f>
        <v>0.0109043259866983</v>
      </c>
      <c r="AV54" s="68" t="n">
        <f aca="false">AV53*(1+AU54)</f>
        <v>1.12183312435326</v>
      </c>
      <c r="AW54" s="50" t="n">
        <f aca="false">AR54*AV54</f>
        <v>258.021618601251</v>
      </c>
      <c r="AX54" s="70" t="n">
        <f aca="false">IF(AQ54&gt;0,AW54*1000000/AQ54/Economy!Q54,0)</f>
        <v>0.110115064271616</v>
      </c>
      <c r="AY54" s="48" t="n">
        <v>74000000</v>
      </c>
      <c r="AZ54" s="48" t="n">
        <v>1780</v>
      </c>
      <c r="BA54" s="71" t="n">
        <v>0.085</v>
      </c>
      <c r="BB54" s="50" t="n">
        <f aca="false">IF(AY54&gt;0,AZ54*1000000/AY54,0)</f>
        <v>24.0540540540541</v>
      </c>
      <c r="BC54" s="67" t="n">
        <f aca="false">IF(AND(BA54&gt;0,BB53&gt;0,B54&gt;0),MIN(conv_cap,conv_beta*1*BA54*MAX(0,LN(B54/(BB53*BD53)))),0)</f>
        <v>0.00229215338007273</v>
      </c>
      <c r="BD54" s="68" t="n">
        <f aca="false">BD53*(1+BC54)</f>
        <v>1.02761916095801</v>
      </c>
      <c r="BE54" s="50" t="n">
        <f aca="false">AZ54*BD54</f>
        <v>1829.16210650525</v>
      </c>
      <c r="BF54" s="70" t="n">
        <f aca="false">IF(AY54&gt;0,BE54*1000000/AY54/Economy!Q54,0)</f>
        <v>0.122368350716166</v>
      </c>
      <c r="BG54" s="48" t="n">
        <v>28400000</v>
      </c>
      <c r="BH54" s="48" t="n">
        <v>1960</v>
      </c>
      <c r="BI54" s="71" t="n">
        <v>0.156</v>
      </c>
      <c r="BJ54" s="50" t="n">
        <f aca="false">IF(BG54&gt;0,BH54*1000000/BG54,0)</f>
        <v>69.0140845070423</v>
      </c>
      <c r="BK54" s="67" t="n">
        <f aca="false">IF(AND(BI54&gt;0,BJ53&gt;0,B54&gt;0),MIN(conv_cap,conv_beta*1*BI54*MAX(0,LN(B54/(BJ53*BL53)))),0)</f>
        <v>0.00254801789778564</v>
      </c>
      <c r="BL54" s="68" t="n">
        <f aca="false">BL53*(1+BK54)</f>
        <v>1.04018525177326</v>
      </c>
      <c r="BM54" s="50" t="n">
        <f aca="false">BH54*BL54</f>
        <v>2038.76309347559</v>
      </c>
      <c r="BN54" s="70" t="n">
        <f aca="false">IF(BG54&gt;0,BM54*1000000/BG54/Economy!Q54,0)</f>
        <v>0.355383331033955</v>
      </c>
      <c r="BO54" s="48" t="n">
        <v>13600000</v>
      </c>
      <c r="BP54" s="48" t="n">
        <v>740</v>
      </c>
      <c r="BQ54" s="71" t="n">
        <v>0</v>
      </c>
      <c r="BR54" s="50" t="n">
        <f aca="false">IF(BO54&gt;0,BP54*1000000/BO54,0)</f>
        <v>54.4117647058824</v>
      </c>
      <c r="BS54" s="67" t="n">
        <f aca="false">IF(AND(BQ54&gt;0,BR53&gt;0,B54&gt;0),MIN(conv_cap,conv_beta*1*BQ54*MAX(0,LN(B54/(BR53*BT53)))),0)</f>
        <v>0</v>
      </c>
      <c r="BT54" s="68" t="n">
        <f aca="false">BT53*(1+BS54)</f>
        <v>1</v>
      </c>
      <c r="BU54" s="50"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1.14406126262799</v>
      </c>
      <c r="BX54" s="66" t="n">
        <f aca="false">MIN(mkt_cap,mkt_elast*MAX(0,BW54-1))</f>
        <v>0.0720306313139965</v>
      </c>
      <c r="BY54" s="50" t="n">
        <f aca="false">I54+Q54+Y54+AG54</f>
        <v>1367.94097073675</v>
      </c>
      <c r="BZ54" s="50" t="n">
        <f aca="false">D54+L54+T54+AB54</f>
        <v>1006.531</v>
      </c>
      <c r="CA54" s="68" t="n">
        <f aca="false">IF(BZ54&gt;0,BY54/BZ54,0)</f>
        <v>1.35906491775886</v>
      </c>
    </row>
    <row r="55" customFormat="false" ht="14.25" hidden="false" customHeight="false" outlineLevel="0" collapsed="false">
      <c r="A55" s="61" t="n">
        <v>1895</v>
      </c>
      <c r="B55" s="50" t="n">
        <f aca="false">Economy!P54</f>
        <v>365.921198749082</v>
      </c>
      <c r="C55" s="48" t="n">
        <v>42000000</v>
      </c>
      <c r="D55" s="65" t="n">
        <f aca="false">Japan!B55</f>
        <v>820</v>
      </c>
      <c r="E55" s="71" t="n">
        <v>0.65</v>
      </c>
      <c r="F55" s="50" t="n">
        <f aca="false">IF(C55&gt;0,D55*1000000/C55,0)</f>
        <v>19.5238095238095</v>
      </c>
      <c r="G55" s="67" t="n">
        <f aca="false">IF(AND(E55&gt;0,F54&gt;0,B55&gt;0),MIN(conv_cap,conv_beta*jp_uplift*E55*MAX(0,LN(B55/(F54*H54)))),0)</f>
        <v>0.0168717277726028</v>
      </c>
      <c r="H55" s="68" t="n">
        <f aca="false">H54*(1+G55)</f>
        <v>1.41507760351634</v>
      </c>
      <c r="I55" s="50" t="n">
        <f aca="false">D55*H55</f>
        <v>1160.3636348834</v>
      </c>
      <c r="J55" s="70" t="n">
        <f aca="false">IF(C55&gt;0,I55*1000000/C55/Economy!Q55,0)</f>
        <v>0.138138527962309</v>
      </c>
      <c r="K55" s="65" t="n">
        <f aca="false">Gulf!B55</f>
        <v>0</v>
      </c>
      <c r="L55" s="50" t="n">
        <f aca="false">Gulf!B55*Gulf!C55*Economy!Q55/1000000</f>
        <v>0</v>
      </c>
      <c r="M55" s="71" t="n">
        <v>0.3</v>
      </c>
      <c r="N55" s="50" t="n">
        <f aca="false">IF(K55&gt;0,L55*1000000/K55,0)</f>
        <v>0</v>
      </c>
      <c r="O55" s="67" t="n">
        <f aca="false">IF(AND(M55&gt;0,N54&gt;0,B55&gt;0),MIN(conv_cap,conv_beta*1*M55*MAX(0,LN(B55/(N54*P54)))),0)</f>
        <v>0</v>
      </c>
      <c r="P55" s="68" t="n">
        <f aca="false">P54*(1+O55)</f>
        <v>1</v>
      </c>
      <c r="Q55" s="50" t="n">
        <f aca="false">L55*P55</f>
        <v>0</v>
      </c>
      <c r="R55" s="70" t="n">
        <f aca="false">IF(K55&gt;0,Q55*1000000/K55/Economy!Q55,0)</f>
        <v>0</v>
      </c>
      <c r="S55" s="65" t="n">
        <f aca="false">People!U55</f>
        <v>7120034</v>
      </c>
      <c r="T55" s="48" t="n">
        <v>200.564</v>
      </c>
      <c r="U55" s="71" t="n">
        <v>0.502</v>
      </c>
      <c r="V55" s="50" t="n">
        <f aca="false">IF(S55&gt;0,T55*1000000/S55,0)</f>
        <v>28.1689666088673</v>
      </c>
      <c r="W55" s="67" t="n">
        <f aca="false">IF(AND(U55&gt;0,V54&gt;0,B55&gt;0),MIN(conv_cap,conv_beta*1*U55*MAX(0,LN(B55/(V54*X54)))),0)</f>
        <v>0.0120886136632038</v>
      </c>
      <c r="X55" s="68" t="n">
        <f aca="false">X54*(1+W55)</f>
        <v>1.23447415991778</v>
      </c>
      <c r="Y55" s="50" t="n">
        <f aca="false">T55*X55</f>
        <v>247.591075409749</v>
      </c>
      <c r="Z55" s="70" t="n">
        <f aca="false">IF(S55&gt;0,Y55*1000000/S55/Economy!Q55,0)</f>
        <v>0.173869306951167</v>
      </c>
      <c r="AA55" s="48" t="n">
        <v>0</v>
      </c>
      <c r="AB55" s="48" t="n">
        <v>0</v>
      </c>
      <c r="AC55" s="71" t="n">
        <v>0</v>
      </c>
      <c r="AD55" s="50" t="n">
        <f aca="false">IF(AA55&gt;0,AB55*1000000/AA55,0)</f>
        <v>0</v>
      </c>
      <c r="AE55" s="67" t="n">
        <f aca="false">IF(AND(AC55&gt;0,AD54&gt;0,B55&gt;0),MIN(conv_cap,conv_beta*1*AC55*MAX(0,LN(B55/(AD54*AF54)))),0)</f>
        <v>0</v>
      </c>
      <c r="AF55" s="68" t="n">
        <f aca="false">AF54*(1+AE55)</f>
        <v>1</v>
      </c>
      <c r="AG55" s="50" t="n">
        <f aca="false">AB55*AF55</f>
        <v>0</v>
      </c>
      <c r="AH55" s="70" t="n">
        <f aca="false">IF(AA55&gt;0,AG55*1000000/AA55/Economy!Q55,0)</f>
        <v>0</v>
      </c>
      <c r="AI55" s="48" t="n">
        <v>393000000</v>
      </c>
      <c r="AJ55" s="48" t="n">
        <v>3917</v>
      </c>
      <c r="AK55" s="71" t="n">
        <v>0.181</v>
      </c>
      <c r="AL55" s="50" t="n">
        <f aca="false">IF(AI55&gt;0,AJ55*1000000/AI55,0)</f>
        <v>9.96692111959288</v>
      </c>
      <c r="AM55" s="67" t="n">
        <f aca="false">IF(AND(AK55&gt;0,AL54&gt;0,B55&gt;0),MIN(conv_cap,conv_beta*1*AK55*MAX(0,LN(B55/(AL54*AN54)))),0)</f>
        <v>0.00629556514761055</v>
      </c>
      <c r="AN55" s="68" t="n">
        <f aca="false">AN54*(1+AM55)</f>
        <v>1.14109705306809</v>
      </c>
      <c r="AO55" s="50" t="n">
        <f aca="false">AJ55*AN55</f>
        <v>4469.67715686771</v>
      </c>
      <c r="AP55" s="70" t="n">
        <f aca="false">IF(AI55&gt;0,AO55*1000000/AI55/Economy!Q55,0)</f>
        <v>0.0568661215886477</v>
      </c>
      <c r="AQ55" s="48" t="n">
        <v>11670000</v>
      </c>
      <c r="AR55" s="48" t="n">
        <v>233</v>
      </c>
      <c r="AS55" s="71" t="n">
        <v>0.4</v>
      </c>
      <c r="AT55" s="50" t="n">
        <f aca="false">IF(AQ55&gt;0,AR55*1000000/AQ55,0)</f>
        <v>19.9657240788346</v>
      </c>
      <c r="AU55" s="67" t="n">
        <f aca="false">IF(AND(AS55&gt;0,AT54&gt;0,B55&gt;0),MIN(conv_cap,conv_beta*1*AS55*MAX(0,LN(B55/(AT54*AV54)))),0)</f>
        <v>0.0112015189197157</v>
      </c>
      <c r="AV55" s="68" t="n">
        <f aca="false">AV54*(1+AU55)</f>
        <v>1.13439935932047</v>
      </c>
      <c r="AW55" s="50" t="n">
        <f aca="false">AR55*AV55</f>
        <v>264.31505072167</v>
      </c>
      <c r="AX55" s="70" t="n">
        <f aca="false">IF(AQ55&gt;0,AW55*1000000/AQ55/Economy!Q55,0)</f>
        <v>0.113245523016997</v>
      </c>
      <c r="AY55" s="48" t="n">
        <v>75000000</v>
      </c>
      <c r="AZ55" s="48" t="n">
        <v>1817</v>
      </c>
      <c r="BA55" s="71" t="n">
        <v>0.087</v>
      </c>
      <c r="BB55" s="50" t="n">
        <f aca="false">IF(AY55&gt;0,AZ55*1000000/AY55,0)</f>
        <v>24.2266666666667</v>
      </c>
      <c r="BC55" s="67" t="n">
        <f aca="false">IF(AND(BA55&gt;0,BB54&gt;0,B55&gt;0),MIN(conv_cap,conv_beta*1*BA55*MAX(0,LN(B55/(BB54*BD54)))),0)</f>
        <v>0.00234453674668389</v>
      </c>
      <c r="BD55" s="68" t="n">
        <f aca="false">BD54*(1+BC55)</f>
        <v>1.03002845184247</v>
      </c>
      <c r="BE55" s="50" t="n">
        <f aca="false">AZ55*BD55</f>
        <v>1871.56169699777</v>
      </c>
      <c r="BF55" s="70" t="n">
        <f aca="false">IF(AY55&gt;0,BE55*1000000/AY55/Economy!Q55,0)</f>
        <v>0.124770779799851</v>
      </c>
      <c r="BG55" s="48" t="n">
        <v>28700000</v>
      </c>
      <c r="BH55" s="48" t="n">
        <v>2000</v>
      </c>
      <c r="BI55" s="71" t="n">
        <v>0.163</v>
      </c>
      <c r="BJ55" s="50" t="n">
        <f aca="false">IF(BG55&gt;0,BH55*1000000/BG55,0)</f>
        <v>69.6864111498258</v>
      </c>
      <c r="BK55" s="67" t="n">
        <f aca="false">IF(AND(BI55&gt;0,BJ54&gt;0,B55&gt;0),MIN(conv_cap,conv_beta*1*BI55*MAX(0,LN(B55/(BJ54*BL54)))),0)</f>
        <v>0.00265479497758059</v>
      </c>
      <c r="BL55" s="68" t="n">
        <f aca="false">BL54*(1+BK55)</f>
        <v>1.04294673035542</v>
      </c>
      <c r="BM55" s="50" t="n">
        <f aca="false">BH55*BL55</f>
        <v>2085.89346071085</v>
      </c>
      <c r="BN55" s="70" t="n">
        <f aca="false">IF(BG55&gt;0,BM55*1000000/BG55/Economy!Q55,0)</f>
        <v>0.363396073294572</v>
      </c>
      <c r="BO55" s="48" t="n">
        <v>13700000</v>
      </c>
      <c r="BP55" s="48" t="n">
        <v>750</v>
      </c>
      <c r="BQ55" s="71" t="n">
        <v>0</v>
      </c>
      <c r="BR55" s="50" t="n">
        <f aca="false">IF(BO55&gt;0,BP55*1000000/BO55,0)</f>
        <v>54.7445255474453</v>
      </c>
      <c r="BS55" s="67" t="n">
        <f aca="false">IF(AND(BQ55&gt;0,BR54&gt;0,B55&gt;0),MIN(conv_cap,conv_beta*1*BQ55*MAX(0,LN(B55/(BR54*BT54)))),0)</f>
        <v>0</v>
      </c>
      <c r="BT55" s="68" t="n">
        <f aca="false">BT54*(1+BS55)</f>
        <v>1</v>
      </c>
      <c r="BU55" s="50"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1.1529350146032</v>
      </c>
      <c r="BX55" s="66" t="n">
        <f aca="false">MIN(mkt_cap,mkt_elast*MAX(0,BW55-1))</f>
        <v>0.0764675073016023</v>
      </c>
      <c r="BY55" s="50" t="n">
        <f aca="false">I55+Q55+Y55+AG55</f>
        <v>1407.95471029315</v>
      </c>
      <c r="BZ55" s="50" t="n">
        <f aca="false">D55+L55+T55+AB55</f>
        <v>1020.564</v>
      </c>
      <c r="CA55" s="68" t="n">
        <f aca="false">IF(BZ55&gt;0,BY55/BZ55,0)</f>
        <v>1.3795849258774</v>
      </c>
    </row>
    <row r="56" customFormat="false" ht="14.25" hidden="false" customHeight="false" outlineLevel="0" collapsed="false">
      <c r="A56" s="61" t="n">
        <v>1896</v>
      </c>
      <c r="B56" s="50" t="n">
        <f aca="false">Economy!P55</f>
        <v>383.069740959672</v>
      </c>
      <c r="C56" s="48" t="n">
        <v>42400000</v>
      </c>
      <c r="D56" s="65" t="n">
        <f aca="false">Japan!B56</f>
        <v>960</v>
      </c>
      <c r="E56" s="71" t="n">
        <v>0.66</v>
      </c>
      <c r="F56" s="50" t="n">
        <f aca="false">IF(C56&gt;0,D56*1000000/C56,0)</f>
        <v>22.6415094339623</v>
      </c>
      <c r="G56" s="67" t="n">
        <f aca="false">IF(AND(E56&gt;0,F55&gt;0,B56&gt;0),MIN(conv_cap,conv_beta*jp_uplift*E56*MAX(0,LN(B56/(F55*H55)))),0)</f>
        <v>0.0173540265943561</v>
      </c>
      <c r="H56" s="68" t="n">
        <f aca="false">H55*(1+G56)</f>
        <v>1.43963489788084</v>
      </c>
      <c r="I56" s="50" t="n">
        <f aca="false">D56*H56</f>
        <v>1382.0495019656</v>
      </c>
      <c r="J56" s="70" t="n">
        <f aca="false">IF(C56&gt;0,I56*1000000/C56/Economy!Q56,0)</f>
        <v>0.155959364219284</v>
      </c>
      <c r="K56" s="65" t="n">
        <f aca="false">Gulf!B56</f>
        <v>0</v>
      </c>
      <c r="L56" s="50" t="n">
        <f aca="false">Gulf!B56*Gulf!C56*Economy!Q56/1000000</f>
        <v>0</v>
      </c>
      <c r="M56" s="71" t="n">
        <v>0.34</v>
      </c>
      <c r="N56" s="50" t="n">
        <f aca="false">IF(K56&gt;0,L56*1000000/K56,0)</f>
        <v>0</v>
      </c>
      <c r="O56" s="67" t="n">
        <f aca="false">IF(AND(M56&gt;0,N55&gt;0,B56&gt;0),MIN(conv_cap,conv_beta*1*M56*MAX(0,LN(B56/(N55*P55)))),0)</f>
        <v>0</v>
      </c>
      <c r="P56" s="68" t="n">
        <f aca="false">P55*(1+O56)</f>
        <v>1</v>
      </c>
      <c r="Q56" s="50" t="n">
        <f aca="false">L56*P56</f>
        <v>0</v>
      </c>
      <c r="R56" s="70" t="n">
        <f aca="false">IF(K56&gt;0,Q56*1000000/K56/Economy!Q56,0)</f>
        <v>0</v>
      </c>
      <c r="S56" s="65" t="n">
        <f aca="false">People!U56</f>
        <v>7182394</v>
      </c>
      <c r="T56" s="48" t="n">
        <v>210.598</v>
      </c>
      <c r="U56" s="71" t="n">
        <v>0.509</v>
      </c>
      <c r="V56" s="50" t="n">
        <f aca="false">IF(S56&gt;0,T56*1000000/S56,0)</f>
        <v>29.3214212419981</v>
      </c>
      <c r="W56" s="67" t="n">
        <f aca="false">IF(AND(U56&gt;0,V55&gt;0,B56&gt;0),MIN(conv_cap,conv_beta*1*U56*MAX(0,LN(B56/(V55*X55)))),0)</f>
        <v>0.0122126969402034</v>
      </c>
      <c r="X56" s="68" t="n">
        <f aca="false">X55*(1+W56)</f>
        <v>1.24955041871337</v>
      </c>
      <c r="Y56" s="50" t="n">
        <f aca="false">T56*X56</f>
        <v>263.152819080198</v>
      </c>
      <c r="Z56" s="70" t="n">
        <f aca="false">IF(S56&gt;0,Y56*1000000/S56/Economy!Q56,0)</f>
        <v>0.175304278422056</v>
      </c>
      <c r="AA56" s="48" t="n">
        <v>0</v>
      </c>
      <c r="AB56" s="48" t="n">
        <v>0</v>
      </c>
      <c r="AC56" s="71" t="n">
        <v>0</v>
      </c>
      <c r="AD56" s="50" t="n">
        <f aca="false">IF(AA56&gt;0,AB56*1000000/AA56,0)</f>
        <v>0</v>
      </c>
      <c r="AE56" s="67" t="n">
        <f aca="false">IF(AND(AC56&gt;0,AD55&gt;0,B56&gt;0),MIN(conv_cap,conv_beta*1*AC56*MAX(0,LN(B56/(AD55*AF55)))),0)</f>
        <v>0</v>
      </c>
      <c r="AF56" s="68" t="n">
        <f aca="false">AF55*(1+AE56)</f>
        <v>1</v>
      </c>
      <c r="AG56" s="50" t="n">
        <f aca="false">AB56*AF56</f>
        <v>0</v>
      </c>
      <c r="AH56" s="70" t="n">
        <f aca="false">IF(AA56&gt;0,AG56*1000000/AA56/Economy!Q56,0)</f>
        <v>0</v>
      </c>
      <c r="AI56" s="48" t="n">
        <v>394400000</v>
      </c>
      <c r="AJ56" s="48" t="n">
        <v>3933</v>
      </c>
      <c r="AK56" s="71" t="n">
        <v>0.185</v>
      </c>
      <c r="AL56" s="50" t="n">
        <f aca="false">IF(AI56&gt;0,AJ56*1000000/AI56,0)</f>
        <v>9.97210953346856</v>
      </c>
      <c r="AM56" s="67" t="n">
        <f aca="false">IF(AND(AK56&gt;0,AL55&gt;0,B56&gt;0),MIN(conv_cap,conv_beta*1*AK56*MAX(0,LN(B56/(AL55*AN55)))),0)</f>
        <v>0.00650636714805876</v>
      </c>
      <c r="AN56" s="68" t="n">
        <f aca="false">AN55*(1+AM56)</f>
        <v>1.14852144944692</v>
      </c>
      <c r="AO56" s="50" t="n">
        <f aca="false">AJ56*AN56</f>
        <v>4517.13486067474</v>
      </c>
      <c r="AP56" s="70" t="n">
        <f aca="false">IF(AI56&gt;0,AO56*1000000/AI56/Economy!Q56,0)</f>
        <v>0.0547999124182907</v>
      </c>
      <c r="AQ56" s="48" t="n">
        <v>11730000</v>
      </c>
      <c r="AR56" s="48" t="n">
        <v>237</v>
      </c>
      <c r="AS56" s="71" t="n">
        <v>0.41</v>
      </c>
      <c r="AT56" s="50" t="n">
        <f aca="false">IF(AQ56&gt;0,AR56*1000000/AQ56,0)</f>
        <v>20.2046035805627</v>
      </c>
      <c r="AU56" s="67" t="n">
        <f aca="false">IF(AND(AS56&gt;0,AT55&gt;0,B56&gt;0),MIN(conv_cap,conv_beta*1*AS56*MAX(0,LN(B56/(AT55*AV55)))),0)</f>
        <v>0.011595196652834</v>
      </c>
      <c r="AV56" s="68" t="n">
        <f aca="false">AV55*(1+AU56)</f>
        <v>1.14755294297464</v>
      </c>
      <c r="AW56" s="50" t="n">
        <f aca="false">AR56*AV56</f>
        <v>271.97004748499</v>
      </c>
      <c r="AX56" s="70" t="n">
        <f aca="false">IF(AQ56&gt;0,AW56*1000000/AQ56/Economy!Q56,0)</f>
        <v>0.110937092346941</v>
      </c>
      <c r="AY56" s="48" t="n">
        <v>76000000</v>
      </c>
      <c r="AZ56" s="48" t="n">
        <v>1853</v>
      </c>
      <c r="BA56" s="71" t="n">
        <v>0.09</v>
      </c>
      <c r="BB56" s="50" t="n">
        <f aca="false">IF(AY56&gt;0,AZ56*1000000/AY56,0)</f>
        <v>24.3815789473684</v>
      </c>
      <c r="BC56" s="67" t="n">
        <f aca="false">IF(AND(BA56&gt;0,BB55&gt;0,B56&gt;0),MIN(conv_cap,conv_beta*1*BA56*MAX(0,LN(B56/(BB55*BD55)))),0)</f>
        <v>0.00245805901561317</v>
      </c>
      <c r="BD56" s="68" t="n">
        <f aca="false">BD55*(1+BC56)</f>
        <v>1.03256032256486</v>
      </c>
      <c r="BE56" s="50" t="n">
        <f aca="false">AZ56*BD56</f>
        <v>1913.33427771269</v>
      </c>
      <c r="BF56" s="70" t="n">
        <f aca="false">IF(AY56&gt;0,BE56*1000000/AY56/Economy!Q56,0)</f>
        <v>0.120456703457107</v>
      </c>
      <c r="BG56" s="48" t="n">
        <v>28900000</v>
      </c>
      <c r="BH56" s="48" t="n">
        <v>2040</v>
      </c>
      <c r="BI56" s="71" t="n">
        <v>0.169</v>
      </c>
      <c r="BJ56" s="50" t="n">
        <f aca="false">IF(BG56&gt;0,BH56*1000000/BG56,0)</f>
        <v>70.5882352941177</v>
      </c>
      <c r="BK56" s="67" t="n">
        <f aca="false">IF(AND(BI56&gt;0,BJ55&gt;0,B56&gt;0),MIN(conv_cap,conv_beta*1*BI56*MAX(0,LN(B56/(BJ55*BL55)))),0)</f>
        <v>0.00280905314773119</v>
      </c>
      <c r="BL56" s="68" t="n">
        <f aca="false">BL55*(1+BK56)</f>
        <v>1.04587642315124</v>
      </c>
      <c r="BM56" s="50" t="n">
        <f aca="false">BH56*BL56</f>
        <v>2133.58790322854</v>
      </c>
      <c r="BN56" s="70" t="n">
        <f aca="false">IF(BG56&gt;0,BM56*1000000/BG56/Economy!Q56,0)</f>
        <v>0.353237182038135</v>
      </c>
      <c r="BO56" s="48" t="n">
        <v>13700000</v>
      </c>
      <c r="BP56" s="48" t="n">
        <v>760</v>
      </c>
      <c r="BQ56" s="71" t="n">
        <v>0</v>
      </c>
      <c r="BR56" s="50" t="n">
        <f aca="false">IF(BO56&gt;0,BP56*1000000/BO56,0)</f>
        <v>55.4744525547445</v>
      </c>
      <c r="BS56" s="67" t="n">
        <f aca="false">IF(AND(BQ56&gt;0,BR55&gt;0,B56&gt;0),MIN(conv_cap,conv_beta*1*BQ56*MAX(0,LN(B56/(BR55*BT55)))),0)</f>
        <v>0</v>
      </c>
      <c r="BT56" s="68" t="n">
        <f aca="false">BT55*(1+BS56)</f>
        <v>1</v>
      </c>
      <c r="BU56" s="50"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1.16219205606976</v>
      </c>
      <c r="BX56" s="66" t="n">
        <f aca="false">MIN(mkt_cap,mkt_elast*MAX(0,BW56-1))</f>
        <v>0.0810960280348801</v>
      </c>
      <c r="BY56" s="50" t="n">
        <f aca="false">I56+Q56+Y56+AG56</f>
        <v>1645.2023210458</v>
      </c>
      <c r="BZ56" s="50" t="n">
        <f aca="false">D56+L56+T56+AB56</f>
        <v>1170.598</v>
      </c>
      <c r="CA56" s="68" t="n">
        <f aca="false">IF(BZ56&gt;0,BY56/BZ56,0)</f>
        <v>1.40543749523389</v>
      </c>
    </row>
    <row r="57" customFormat="false" ht="14.25" hidden="false" customHeight="false" outlineLevel="0" collapsed="false">
      <c r="A57" s="61" t="n">
        <v>1897</v>
      </c>
      <c r="B57" s="50" t="n">
        <f aca="false">Economy!P56</f>
        <v>391.646011357882</v>
      </c>
      <c r="C57" s="48" t="n">
        <v>42800000</v>
      </c>
      <c r="D57" s="65" t="n">
        <f aca="false">Japan!B57</f>
        <v>1100</v>
      </c>
      <c r="E57" s="71" t="n">
        <v>0.67</v>
      </c>
      <c r="F57" s="50" t="n">
        <f aca="false">IF(C57&gt;0,D57*1000000/C57,0)</f>
        <v>25.7009345794393</v>
      </c>
      <c r="G57" s="67" t="n">
        <f aca="false">IF(AND(E57&gt;0,F56&gt;0,B57&gt;0),MIN(conv_cap,conv_beta*jp_uplift*E57*MAX(0,LN(B57/(F56*H56)))),0)</f>
        <v>0.0166574323915334</v>
      </c>
      <c r="H57" s="68" t="n">
        <f aca="false">H56*(1+G57)</f>
        <v>1.46361551886078</v>
      </c>
      <c r="I57" s="50" t="n">
        <f aca="false">D57*H57</f>
        <v>1609.97707074686</v>
      </c>
      <c r="J57" s="70" t="n">
        <f aca="false">IF(C57&gt;0,I57*1000000/C57/Economy!Q57,0)</f>
        <v>0.172551773851802</v>
      </c>
      <c r="K57" s="65" t="n">
        <f aca="false">Gulf!B57</f>
        <v>0</v>
      </c>
      <c r="L57" s="50" t="n">
        <f aca="false">Gulf!B57*Gulf!C57*Economy!Q57/1000000</f>
        <v>0</v>
      </c>
      <c r="M57" s="71" t="n">
        <v>0.38</v>
      </c>
      <c r="N57" s="50" t="n">
        <f aca="false">IF(K57&gt;0,L57*1000000/K57,0)</f>
        <v>0</v>
      </c>
      <c r="O57" s="67" t="n">
        <f aca="false">IF(AND(M57&gt;0,N56&gt;0,B57&gt;0),MIN(conv_cap,conv_beta*1*M57*MAX(0,LN(B57/(N56*P56)))),0)</f>
        <v>0</v>
      </c>
      <c r="P57" s="68" t="n">
        <f aca="false">P56*(1+O57)</f>
        <v>1</v>
      </c>
      <c r="Q57" s="50" t="n">
        <f aca="false">L57*P57</f>
        <v>0</v>
      </c>
      <c r="R57" s="70" t="n">
        <f aca="false">IF(K57&gt;0,Q57*1000000/K57/Economy!Q57,0)</f>
        <v>0</v>
      </c>
      <c r="S57" s="65" t="n">
        <f aca="false">People!U57</f>
        <v>7245761</v>
      </c>
      <c r="T57" s="48" t="n">
        <v>220.632</v>
      </c>
      <c r="U57" s="71" t="n">
        <v>0.517</v>
      </c>
      <c r="V57" s="50" t="n">
        <f aca="false">IF(S57&gt;0,T57*1000000/S57,0)</f>
        <v>30.4498036852168</v>
      </c>
      <c r="W57" s="67" t="n">
        <f aca="false">IF(AND(U57&gt;0,V56&gt;0,B57&gt;0),MIN(conv_cap,conv_beta*1*U57*MAX(0,LN(B57/(V56*X56)))),0)</f>
        <v>0.0122490547021835</v>
      </c>
      <c r="X57" s="68" t="n">
        <f aca="false">X56*(1+W57)</f>
        <v>1.26485623014532</v>
      </c>
      <c r="Y57" s="50" t="n">
        <f aca="false">T57*X57</f>
        <v>279.067759769423</v>
      </c>
      <c r="Z57" s="70" t="n">
        <f aca="false">IF(S57&gt;0,Y57*1000000/S57/Economy!Q57,0)</f>
        <v>0.176672586687837</v>
      </c>
      <c r="AA57" s="48" t="n">
        <v>0</v>
      </c>
      <c r="AB57" s="48" t="n">
        <v>0</v>
      </c>
      <c r="AC57" s="71" t="n">
        <v>0</v>
      </c>
      <c r="AD57" s="50" t="n">
        <f aca="false">IF(AA57&gt;0,AB57*1000000/AA57,0)</f>
        <v>0</v>
      </c>
      <c r="AE57" s="67" t="n">
        <f aca="false">IF(AND(AC57&gt;0,AD56&gt;0,B57&gt;0),MIN(conv_cap,conv_beta*1*AC57*MAX(0,LN(B57/(AD56*AF56)))),0)</f>
        <v>0</v>
      </c>
      <c r="AF57" s="68" t="n">
        <f aca="false">AF56*(1+AE57)</f>
        <v>1</v>
      </c>
      <c r="AG57" s="50" t="n">
        <f aca="false">AB57*AF57</f>
        <v>0</v>
      </c>
      <c r="AH57" s="70" t="n">
        <f aca="false">IF(AA57&gt;0,AG57*1000000/AA57/Economy!Q57,0)</f>
        <v>0</v>
      </c>
      <c r="AI57" s="48" t="n">
        <v>395800000</v>
      </c>
      <c r="AJ57" s="48" t="n">
        <v>3950</v>
      </c>
      <c r="AK57" s="71" t="n">
        <v>0.188</v>
      </c>
      <c r="AL57" s="50" t="n">
        <f aca="false">IF(AI57&gt;0,AJ57*1000000/AI57,0)</f>
        <v>9.97978777160182</v>
      </c>
      <c r="AM57" s="67" t="n">
        <f aca="false">IF(AND(AK57&gt;0,AL56&gt;0,B57&gt;0),MIN(conv_cap,conv_beta*1*AK57*MAX(0,LN(B57/(AL56*AN56)))),0)</f>
        <v>0.006640330761964</v>
      </c>
      <c r="AN57" s="68" t="n">
        <f aca="false">AN56*(1+AM57)</f>
        <v>1.15614801175846</v>
      </c>
      <c r="AO57" s="50" t="n">
        <f aca="false">AJ57*AN57</f>
        <v>4566.78464644591</v>
      </c>
      <c r="AP57" s="70" t="n">
        <f aca="false">IF(AI57&gt;0,AO57*1000000/AI57/Economy!Q57,0)</f>
        <v>0.052927118302334</v>
      </c>
      <c r="AQ57" s="48" t="n">
        <v>11800000</v>
      </c>
      <c r="AR57" s="48" t="n">
        <v>240</v>
      </c>
      <c r="AS57" s="71" t="n">
        <v>0.42</v>
      </c>
      <c r="AT57" s="50" t="n">
        <f aca="false">IF(AQ57&gt;0,AR57*1000000/AQ57,0)</f>
        <v>20.3389830508475</v>
      </c>
      <c r="AU57" s="67" t="n">
        <f aca="false">IF(AND(AS57&gt;0,AT56&gt;0,B57&gt;0),MIN(conv_cap,conv_beta*1*AS57*MAX(0,LN(B57/(AT56*AV56)))),0)</f>
        <v>0.0118726277104444</v>
      </c>
      <c r="AV57" s="68" t="n">
        <f aca="false">AV56*(1+AU57)</f>
        <v>1.1611774118446</v>
      </c>
      <c r="AW57" s="50" t="n">
        <f aca="false">AR57*AV57</f>
        <v>278.682578842705</v>
      </c>
      <c r="AX57" s="70" t="n">
        <f aca="false">IF(AQ57&gt;0,AW57*1000000/AQ57/Economy!Q57,0)</f>
        <v>0.108335631644653</v>
      </c>
      <c r="AY57" s="48" t="n">
        <v>77000000</v>
      </c>
      <c r="AZ57" s="48" t="n">
        <v>1890</v>
      </c>
      <c r="BA57" s="71" t="n">
        <v>0.092</v>
      </c>
      <c r="BB57" s="50" t="n">
        <f aca="false">IF(AY57&gt;0,AZ57*1000000/AY57,0)</f>
        <v>24.5454545454545</v>
      </c>
      <c r="BC57" s="67" t="n">
        <f aca="false">IF(AND(BA57&gt;0,BB56&gt;0,B57&gt;0),MIN(conv_cap,conv_beta*1*BA57*MAX(0,LN(B57/(BB56*BD56)))),0)</f>
        <v>0.0025249299219739</v>
      </c>
      <c r="BD57" s="68" t="n">
        <f aca="false">BD56*(1+BC57)</f>
        <v>1.03516746501955</v>
      </c>
      <c r="BE57" s="50" t="n">
        <f aca="false">AZ57*BD57</f>
        <v>1956.46650888694</v>
      </c>
      <c r="BF57" s="70" t="n">
        <f aca="false">IF(AY57&gt;0,BE57*1000000/AY57/Economy!Q57,0)</f>
        <v>0.116553467704453</v>
      </c>
      <c r="BG57" s="48" t="n">
        <v>29200000</v>
      </c>
      <c r="BH57" s="48" t="n">
        <v>2080</v>
      </c>
      <c r="BI57" s="71" t="n">
        <v>0.175</v>
      </c>
      <c r="BJ57" s="50" t="n">
        <f aca="false">IF(BG57&gt;0,BH57*1000000/BG57,0)</f>
        <v>71.2328767123288</v>
      </c>
      <c r="BK57" s="67" t="n">
        <f aca="false">IF(AND(BI57&gt;0,BJ56&gt;0,B57&gt;0),MIN(conv_cap,conv_beta*1*BI57*MAX(0,LN(B57/(BJ56*BL56)))),0)</f>
        <v>0.00292011946009084</v>
      </c>
      <c r="BL57" s="68" t="n">
        <f aca="false">BL56*(1+BK57)</f>
        <v>1.04893050724734</v>
      </c>
      <c r="BM57" s="50" t="n">
        <f aca="false">BH57*BL57</f>
        <v>2181.77545507446</v>
      </c>
      <c r="BN57" s="70" t="n">
        <f aca="false">IF(BG57&gt;0,BM57*1000000/BG57/Economy!Q57,0)</f>
        <v>0.34274466744289</v>
      </c>
      <c r="BO57" s="48" t="n">
        <v>13800000</v>
      </c>
      <c r="BP57" s="48" t="n">
        <v>770</v>
      </c>
      <c r="BQ57" s="71" t="n">
        <v>0</v>
      </c>
      <c r="BR57" s="50" t="n">
        <f aca="false">IF(BO57&gt;0,BP57*1000000/BO57,0)</f>
        <v>55.7971014492754</v>
      </c>
      <c r="BS57" s="67" t="n">
        <f aca="false">IF(AND(BQ57&gt;0,BR56&gt;0,B57&gt;0),MIN(conv_cap,conv_beta*1*BQ57*MAX(0,LN(B57/(BR56*BT56)))),0)</f>
        <v>0</v>
      </c>
      <c r="BT57" s="68" t="n">
        <f aca="false">BT56*(1+BS57)</f>
        <v>1</v>
      </c>
      <c r="BU57" s="50"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1.17138639801572</v>
      </c>
      <c r="BX57" s="66" t="n">
        <f aca="false">MIN(mkt_cap,mkt_elast*MAX(0,BW57-1))</f>
        <v>0.0856931990078592</v>
      </c>
      <c r="BY57" s="50" t="n">
        <f aca="false">I57+Q57+Y57+AG57</f>
        <v>1889.04483051628</v>
      </c>
      <c r="BZ57" s="50" t="n">
        <f aca="false">D57+L57+T57+AB57</f>
        <v>1320.632</v>
      </c>
      <c r="CA57" s="68" t="n">
        <f aca="false">IF(BZ57&gt;0,BY57/BZ57,0)</f>
        <v>1.43040970574413</v>
      </c>
    </row>
    <row r="58" customFormat="false" ht="14.25" hidden="false" customHeight="false" outlineLevel="0" collapsed="false">
      <c r="A58" s="61" t="n">
        <v>1898</v>
      </c>
      <c r="B58" s="50" t="n">
        <f aca="false">Economy!P57</f>
        <v>421.602919634528</v>
      </c>
      <c r="C58" s="48" t="n">
        <v>43200000</v>
      </c>
      <c r="D58" s="65" t="n">
        <f aca="false">Japan!B58</f>
        <v>1133</v>
      </c>
      <c r="E58" s="71" t="n">
        <v>0.68</v>
      </c>
      <c r="F58" s="50" t="n">
        <f aca="false">IF(C58&gt;0,D58*1000000/C58,0)</f>
        <v>26.2268518518519</v>
      </c>
      <c r="G58" s="67" t="n">
        <f aca="false">IF(AND(E58&gt;0,F57&gt;0,B58&gt;0),MIN(conv_cap,conv_beta*jp_uplift*E58*MAX(0,LN(B58/(F57*H57)))),0)</f>
        <v>0.0164330622999441</v>
      </c>
      <c r="H58" s="68" t="n">
        <f aca="false">H57*(1+G58)</f>
        <v>1.48766720386538</v>
      </c>
      <c r="I58" s="50" t="n">
        <f aca="false">D58*H58</f>
        <v>1685.52694197948</v>
      </c>
      <c r="J58" s="70" t="n">
        <f aca="false">IF(C58&gt;0,I58*1000000/C58/Economy!Q58,0)</f>
        <v>0.171126435792263</v>
      </c>
      <c r="K58" s="65" t="n">
        <f aca="false">Gulf!B58</f>
        <v>0</v>
      </c>
      <c r="L58" s="50" t="n">
        <f aca="false">Gulf!B58*Gulf!C58*Economy!Q58/1000000</f>
        <v>0</v>
      </c>
      <c r="M58" s="71" t="n">
        <v>0.42</v>
      </c>
      <c r="N58" s="50" t="n">
        <f aca="false">IF(K58&gt;0,L58*1000000/K58,0)</f>
        <v>0</v>
      </c>
      <c r="O58" s="67" t="n">
        <f aca="false">IF(AND(M58&gt;0,N57&gt;0,B58&gt;0),MIN(conv_cap,conv_beta*1*M58*MAX(0,LN(B58/(N57*P57)))),0)</f>
        <v>0</v>
      </c>
      <c r="P58" s="68" t="n">
        <f aca="false">P57*(1+O58)</f>
        <v>1</v>
      </c>
      <c r="Q58" s="50" t="n">
        <f aca="false">L58*P58</f>
        <v>0</v>
      </c>
      <c r="R58" s="70" t="n">
        <f aca="false">IF(K58&gt;0,Q58*1000000/K58/Economy!Q58,0)</f>
        <v>0</v>
      </c>
      <c r="S58" s="65" t="n">
        <f aca="false">People!U58</f>
        <v>7309135</v>
      </c>
      <c r="T58" s="48" t="n">
        <v>230.667</v>
      </c>
      <c r="U58" s="71" t="n">
        <v>0.525</v>
      </c>
      <c r="V58" s="50" t="n">
        <f aca="false">IF(S58&gt;0,T58*1000000/S58,0)</f>
        <v>31.5587275375267</v>
      </c>
      <c r="W58" s="67" t="n">
        <f aca="false">IF(AND(U58&gt;0,V57&gt;0,B58&gt;0),MIN(conv_cap,conv_beta*1*U58*MAX(0,LN(B58/(V57*X57)))),0)</f>
        <v>0.0125633860361895</v>
      </c>
      <c r="X58" s="68" t="n">
        <f aca="false">X57*(1+W58)</f>
        <v>1.28074710724492</v>
      </c>
      <c r="Y58" s="50" t="n">
        <f aca="false">T58*X58</f>
        <v>295.426092986864</v>
      </c>
      <c r="Z58" s="70" t="n">
        <f aca="false">IF(S58&gt;0,Y58*1000000/S58/Economy!Q58,0)</f>
        <v>0.177275214921131</v>
      </c>
      <c r="AA58" s="48" t="n">
        <v>0</v>
      </c>
      <c r="AB58" s="48" t="n">
        <v>0</v>
      </c>
      <c r="AC58" s="71" t="n">
        <v>0</v>
      </c>
      <c r="AD58" s="50" t="n">
        <f aca="false">IF(AA58&gt;0,AB58*1000000/AA58,0)</f>
        <v>0</v>
      </c>
      <c r="AE58" s="67" t="n">
        <f aca="false">IF(AND(AC58&gt;0,AD57&gt;0,B58&gt;0),MIN(conv_cap,conv_beta*1*AC58*MAX(0,LN(B58/(AD57*AF57)))),0)</f>
        <v>0</v>
      </c>
      <c r="AF58" s="68" t="n">
        <f aca="false">AF57*(1+AE58)</f>
        <v>1</v>
      </c>
      <c r="AG58" s="50" t="n">
        <f aca="false">AB58*AF58</f>
        <v>0</v>
      </c>
      <c r="AH58" s="70" t="n">
        <f aca="false">IF(AA58&gt;0,AG58*1000000/AA58/Economy!Q58,0)</f>
        <v>0</v>
      </c>
      <c r="AI58" s="48" t="n">
        <v>397200000</v>
      </c>
      <c r="AJ58" s="48" t="n">
        <v>3967</v>
      </c>
      <c r="AK58" s="71" t="n">
        <v>0.192</v>
      </c>
      <c r="AL58" s="50" t="n">
        <f aca="false">IF(AI58&gt;0,AJ58*1000000/AI58,0)</f>
        <v>9.98741188318228</v>
      </c>
      <c r="AM58" s="67" t="n">
        <f aca="false">IF(AND(AK58&gt;0,AL57&gt;0,B58&gt;0),MIN(conv_cap,conv_beta*1*AK58*MAX(0,LN(B58/(AL57*AN57)))),0)</f>
        <v>0.00690894393158099</v>
      </c>
      <c r="AN58" s="68" t="n">
        <f aca="false">AN57*(1+AM58)</f>
        <v>1.16413577354831</v>
      </c>
      <c r="AO58" s="50" t="n">
        <f aca="false">AJ58*AN58</f>
        <v>4618.12661366613</v>
      </c>
      <c r="AP58" s="70" t="n">
        <f aca="false">IF(AI58&gt;0,AO58*1000000/AI58/Economy!Q58,0)</f>
        <v>0.0509943134139208</v>
      </c>
      <c r="AQ58" s="48" t="n">
        <v>11870000</v>
      </c>
      <c r="AR58" s="48" t="n">
        <v>243</v>
      </c>
      <c r="AS58" s="71" t="n">
        <v>0.43</v>
      </c>
      <c r="AT58" s="50" t="n">
        <f aca="false">IF(AQ58&gt;0,AR58*1000000/AQ58,0)</f>
        <v>20.4717775905644</v>
      </c>
      <c r="AU58" s="67" t="n">
        <f aca="false">IF(AND(AS58&gt;0,AT57&gt;0,B58&gt;0),MIN(conv_cap,conv_beta*1*AS58*MAX(0,LN(B58/(AT57*AV57)))),0)</f>
        <v>0.0123929871286025</v>
      </c>
      <c r="AV58" s="68" t="n">
        <f aca="false">AV57*(1+AU58)</f>
        <v>1.17556786856362</v>
      </c>
      <c r="AW58" s="50" t="n">
        <f aca="false">AR58*AV58</f>
        <v>285.662992060959</v>
      </c>
      <c r="AX58" s="70" t="n">
        <f aca="false">IF(AQ58&gt;0,AW58*1000000/AQ58/Economy!Q58,0)</f>
        <v>0.105552473455475</v>
      </c>
      <c r="AY58" s="48" t="n">
        <v>78000000</v>
      </c>
      <c r="AZ58" s="48" t="n">
        <v>1927</v>
      </c>
      <c r="BA58" s="71" t="n">
        <v>0.095</v>
      </c>
      <c r="BB58" s="50" t="n">
        <f aca="false">IF(AY58&gt;0,AZ58*1000000/AY58,0)</f>
        <v>24.7051282051282</v>
      </c>
      <c r="BC58" s="67" t="n">
        <f aca="false">IF(AND(BA58&gt;0,BB57&gt;0,B58&gt;0),MIN(conv_cap,conv_beta*1*BA58*MAX(0,LN(B58/(BB57*BD57)))),0)</f>
        <v>0.00266852531952482</v>
      </c>
      <c r="BD58" s="68" t="n">
        <f aca="false">BD57*(1+BC58)</f>
        <v>1.0379298356099</v>
      </c>
      <c r="BE58" s="50" t="n">
        <f aca="false">AZ58*BD58</f>
        <v>2000.09079322028</v>
      </c>
      <c r="BF58" s="70" t="n">
        <f aca="false">IF(AY58&gt;0,BE58*1000000/AY58/Economy!Q58,0)</f>
        <v>0.112465744108203</v>
      </c>
      <c r="BG58" s="48" t="n">
        <v>29500000</v>
      </c>
      <c r="BH58" s="48" t="n">
        <v>2120</v>
      </c>
      <c r="BI58" s="71" t="n">
        <v>0.181</v>
      </c>
      <c r="BJ58" s="50" t="n">
        <f aca="false">IF(BG58&gt;0,BH58*1000000/BG58,0)</f>
        <v>71.864406779661</v>
      </c>
      <c r="BK58" s="67" t="n">
        <f aca="false">IF(AND(BI58&gt;0,BJ57&gt;0,B58&gt;0),MIN(conv_cap,conv_beta*1*BI58*MAX(0,LN(B58/(BJ57*BL57)))),0)</f>
        <v>0.00313191246482736</v>
      </c>
      <c r="BL58" s="68" t="n">
        <f aca="false">BL57*(1+BK58)</f>
        <v>1.05221566577772</v>
      </c>
      <c r="BM58" s="50" t="n">
        <f aca="false">BH58*BL58</f>
        <v>2230.69721144877</v>
      </c>
      <c r="BN58" s="70" t="n">
        <f aca="false">IF(BG58&gt;0,BM58*1000000/BG58/Economy!Q58,0)</f>
        <v>0.331652871163957</v>
      </c>
      <c r="BO58" s="48" t="n">
        <v>13900000</v>
      </c>
      <c r="BP58" s="48" t="n">
        <v>780</v>
      </c>
      <c r="BQ58" s="71" t="n">
        <v>0</v>
      </c>
      <c r="BR58" s="50" t="n">
        <f aca="false">IF(BO58&gt;0,BP58*1000000/BO58,0)</f>
        <v>56.1151079136691</v>
      </c>
      <c r="BS58" s="67" t="n">
        <f aca="false">IF(AND(BQ58&gt;0,BR57&gt;0,B58&gt;0),MIN(conv_cap,conv_beta*1*BQ58*MAX(0,LN(B58/(BR57*BT57)))),0)</f>
        <v>0</v>
      </c>
      <c r="BT58" s="68" t="n">
        <f aca="false">BT57*(1+BS58)</f>
        <v>1</v>
      </c>
      <c r="BU58" s="50"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1.18075676730476</v>
      </c>
      <c r="BX58" s="66" t="n">
        <f aca="false">MIN(mkt_cap,mkt_elast*MAX(0,BW58-1))</f>
        <v>0.0903783836523815</v>
      </c>
      <c r="BY58" s="50" t="n">
        <f aca="false">I58+Q58+Y58+AG58</f>
        <v>1980.95303496634</v>
      </c>
      <c r="BZ58" s="50" t="n">
        <f aca="false">D58+L58+T58+AB58</f>
        <v>1363.667</v>
      </c>
      <c r="CA58" s="68" t="n">
        <f aca="false">IF(BZ58&gt;0,BY58/BZ58,0)</f>
        <v>1.45266625574011</v>
      </c>
    </row>
    <row r="59" customFormat="false" ht="14.25" hidden="false" customHeight="false" outlineLevel="0" collapsed="false">
      <c r="A59" s="61" t="n">
        <v>1899</v>
      </c>
      <c r="B59" s="50" t="n">
        <f aca="false">Economy!P58</f>
        <v>443.70897702026</v>
      </c>
      <c r="C59" s="48" t="n">
        <v>43600000</v>
      </c>
      <c r="D59" s="65" t="n">
        <f aca="false">Japan!B59</f>
        <v>1167</v>
      </c>
      <c r="E59" s="71" t="n">
        <v>0.69</v>
      </c>
      <c r="F59" s="50" t="n">
        <f aca="false">IF(C59&gt;0,D59*1000000/C59,0)</f>
        <v>26.7660550458716</v>
      </c>
      <c r="G59" s="67" t="n">
        <f aca="false">IF(AND(E59&gt;0,F58&gt;0,B59&gt;0),MIN(conv_cap,conv_beta*jp_uplift*E59*MAX(0,LN(B59/(F58*H58)))),0)</f>
        <v>0.0167751134788932</v>
      </c>
      <c r="H59" s="68" t="n">
        <f aca="false">H58*(1+G59)</f>
        <v>1.51262299002905</v>
      </c>
      <c r="I59" s="50" t="n">
        <f aca="false">D59*H59</f>
        <v>1765.2310293639</v>
      </c>
      <c r="J59" s="70" t="n">
        <f aca="false">IF(C59&gt;0,I59*1000000/C59/Economy!Q59,0)</f>
        <v>0.170831013564424</v>
      </c>
      <c r="K59" s="65" t="n">
        <f aca="false">Gulf!B59</f>
        <v>0</v>
      </c>
      <c r="L59" s="50" t="n">
        <f aca="false">Gulf!B59*Gulf!C59*Economy!Q59/1000000</f>
        <v>0</v>
      </c>
      <c r="M59" s="71" t="n">
        <v>0.46</v>
      </c>
      <c r="N59" s="50" t="n">
        <f aca="false">IF(K59&gt;0,L59*1000000/K59,0)</f>
        <v>0</v>
      </c>
      <c r="O59" s="67" t="n">
        <f aca="false">IF(AND(M59&gt;0,N58&gt;0,B59&gt;0),MIN(conv_cap,conv_beta*1*M59*MAX(0,LN(B59/(N58*P58)))),0)</f>
        <v>0</v>
      </c>
      <c r="P59" s="68" t="n">
        <f aca="false">P58*(1+O59)</f>
        <v>1</v>
      </c>
      <c r="Q59" s="50" t="n">
        <f aca="false">L59*P59</f>
        <v>0</v>
      </c>
      <c r="R59" s="70" t="n">
        <f aca="false">IF(K59&gt;0,Q59*1000000/K59/Economy!Q59,0)</f>
        <v>0</v>
      </c>
      <c r="S59" s="65" t="n">
        <f aca="false">People!U59</f>
        <v>7371515</v>
      </c>
      <c r="T59" s="48" t="n">
        <v>240.703</v>
      </c>
      <c r="U59" s="71" t="n">
        <v>0.532</v>
      </c>
      <c r="V59" s="50" t="n">
        <f aca="false">IF(S59&gt;0,T59*1000000/S59,0)</f>
        <v>32.6531249003767</v>
      </c>
      <c r="W59" s="67" t="n">
        <f aca="false">IF(AND(U59&gt;0,V58&gt;0,B59&gt;0),MIN(conv_cap,conv_beta*1*U59*MAX(0,LN(B59/(V58*X58)))),0)</f>
        <v>0.0127460556854447</v>
      </c>
      <c r="X59" s="68" t="n">
        <f aca="false">X58*(1+W59)</f>
        <v>1.29707158119283</v>
      </c>
      <c r="Y59" s="50" t="n">
        <f aca="false">T59*X59</f>
        <v>312.209020807859</v>
      </c>
      <c r="Z59" s="70" t="n">
        <f aca="false">IF(S59&gt;0,Y59*1000000/S59/Economy!Q59,0)</f>
        <v>0.178706499347758</v>
      </c>
      <c r="AA59" s="48" t="n">
        <v>0</v>
      </c>
      <c r="AB59" s="48" t="n">
        <v>0</v>
      </c>
      <c r="AC59" s="71" t="n">
        <v>0</v>
      </c>
      <c r="AD59" s="50" t="n">
        <f aca="false">IF(AA59&gt;0,AB59*1000000/AA59,0)</f>
        <v>0</v>
      </c>
      <c r="AE59" s="67" t="n">
        <f aca="false">IF(AND(AC59&gt;0,AD58&gt;0,B59&gt;0),MIN(conv_cap,conv_beta*1*AC59*MAX(0,LN(B59/(AD58*AF58)))),0)</f>
        <v>0</v>
      </c>
      <c r="AF59" s="68" t="n">
        <f aca="false">AF58*(1+AE59)</f>
        <v>1</v>
      </c>
      <c r="AG59" s="50" t="n">
        <f aca="false">AB59*AF59</f>
        <v>0</v>
      </c>
      <c r="AH59" s="70" t="n">
        <f aca="false">IF(AA59&gt;0,AG59*1000000/AA59/Economy!Q59,0)</f>
        <v>0</v>
      </c>
      <c r="AI59" s="48" t="n">
        <v>398600000</v>
      </c>
      <c r="AJ59" s="48" t="n">
        <v>3983</v>
      </c>
      <c r="AK59" s="71" t="n">
        <v>0.196</v>
      </c>
      <c r="AL59" s="50" t="n">
        <f aca="false">IF(AI59&gt;0,AJ59*1000000/AI59,0)</f>
        <v>9.99247365780231</v>
      </c>
      <c r="AM59" s="67" t="n">
        <f aca="false">IF(AND(AK59&gt;0,AL58&gt;0,B59&gt;0),MIN(conv_cap,conv_beta*1*AK59*MAX(0,LN(B59/(AL58*AN58)))),0)</f>
        <v>0.00713805425452242</v>
      </c>
      <c r="AN59" s="68" t="n">
        <f aca="false">AN58*(1+AM59)</f>
        <v>1.17244543785952</v>
      </c>
      <c r="AO59" s="50" t="n">
        <f aca="false">AJ59*AN59</f>
        <v>4669.85017899449</v>
      </c>
      <c r="AP59" s="70" t="n">
        <f aca="false">IF(AI59&gt;0,AO59*1000000/AI59/Economy!Q59,0)</f>
        <v>0.0494330386203451</v>
      </c>
      <c r="AQ59" s="48" t="n">
        <v>11930000</v>
      </c>
      <c r="AR59" s="48" t="n">
        <v>247</v>
      </c>
      <c r="AS59" s="71" t="n">
        <v>0.44</v>
      </c>
      <c r="AT59" s="50" t="n">
        <f aca="false">IF(AQ59&gt;0,AR59*1000000/AQ59,0)</f>
        <v>20.7041072925398</v>
      </c>
      <c r="AU59" s="67" t="n">
        <f aca="false">IF(AND(AS59&gt;0,AT58&gt;0,B59&gt;0),MIN(conv_cap,conv_beta*1*AS59*MAX(0,LN(B59/(AT58*AV58)))),0)</f>
        <v>0.012823229462574</v>
      </c>
      <c r="AV59" s="68" t="n">
        <f aca="false">AV58*(1+AU59)</f>
        <v>1.19064244509104</v>
      </c>
      <c r="AW59" s="50" t="n">
        <f aca="false">AR59*AV59</f>
        <v>294.088683937487</v>
      </c>
      <c r="AX59" s="70" t="n">
        <f aca="false">IF(AQ59&gt;0,AW59*1000000/AQ59/Economy!Q59,0)</f>
        <v>0.104013455401759</v>
      </c>
      <c r="AY59" s="48" t="n">
        <v>79000000</v>
      </c>
      <c r="AZ59" s="48" t="n">
        <v>1963</v>
      </c>
      <c r="BA59" s="71" t="n">
        <v>0.098</v>
      </c>
      <c r="BB59" s="50" t="n">
        <f aca="false">IF(AY59&gt;0,AZ59*1000000/AY59,0)</f>
        <v>24.8481012658228</v>
      </c>
      <c r="BC59" s="67" t="n">
        <f aca="false">IF(AND(BA59&gt;0,BB58&gt;0,B59&gt;0),MIN(conv_cap,conv_beta*1*BA59*MAX(0,LN(B59/(BB58*BD58)))),0)</f>
        <v>0.00279391126469381</v>
      </c>
      <c r="BD59" s="68" t="n">
        <f aca="false">BD58*(1+BC59)</f>
        <v>1.04082971946957</v>
      </c>
      <c r="BE59" s="50" t="n">
        <f aca="false">AZ59*BD59</f>
        <v>2043.14873931877</v>
      </c>
      <c r="BF59" s="70" t="n">
        <f aca="false">IF(AY59&gt;0,BE59*1000000/AY59/Economy!Q59,0)</f>
        <v>0.109125072868599</v>
      </c>
      <c r="BG59" s="48" t="n">
        <v>29700000</v>
      </c>
      <c r="BH59" s="48" t="n">
        <v>2160</v>
      </c>
      <c r="BI59" s="71" t="n">
        <v>0.188</v>
      </c>
      <c r="BJ59" s="50" t="n">
        <f aca="false">IF(BG59&gt;0,BH59*1000000/BG59,0)</f>
        <v>72.7272727272727</v>
      </c>
      <c r="BK59" s="67" t="n">
        <f aca="false">IF(AND(BI59&gt;0,BJ58&gt;0,B59&gt;0),MIN(conv_cap,conv_beta*1*BI59*MAX(0,LN(B59/(BJ58*BL58)))),0)</f>
        <v>0.00332664061202532</v>
      </c>
      <c r="BL59" s="68" t="n">
        <f aca="false">BL58*(1+BK59)</f>
        <v>1.05571600914411</v>
      </c>
      <c r="BM59" s="50" t="n">
        <f aca="false">BH59*BL59</f>
        <v>2280.34657975127</v>
      </c>
      <c r="BN59" s="70" t="n">
        <f aca="false">IF(BG59&gt;0,BM59*1000000/BG59/Economy!Q59,0)</f>
        <v>0.323963485736589</v>
      </c>
      <c r="BO59" s="48" t="n">
        <v>13900000</v>
      </c>
      <c r="BP59" s="48" t="n">
        <v>790</v>
      </c>
      <c r="BQ59" s="71" t="n">
        <v>0</v>
      </c>
      <c r="BR59" s="50" t="n">
        <f aca="false">IF(BO59&gt;0,BP59*1000000/BO59,0)</f>
        <v>56.8345323741007</v>
      </c>
      <c r="BS59" s="67" t="n">
        <f aca="false">IF(AND(BQ59&gt;0,BR58&gt;0,B59&gt;0),MIN(conv_cap,conv_beta*1*BQ59*MAX(0,LN(B59/(BR58*BT58)))),0)</f>
        <v>0</v>
      </c>
      <c r="BT59" s="68" t="n">
        <f aca="false">BT58*(1+BS59)</f>
        <v>1</v>
      </c>
      <c r="BU59" s="50"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1.19048914587728</v>
      </c>
      <c r="BX59" s="66" t="n">
        <f aca="false">MIN(mkt_cap,mkt_elast*MAX(0,BW59-1))</f>
        <v>0.0952445729386401</v>
      </c>
      <c r="BY59" s="50" t="n">
        <f aca="false">I59+Q59+Y59+AG59</f>
        <v>2077.44005017176</v>
      </c>
      <c r="BZ59" s="50" t="n">
        <f aca="false">D59+L59+T59+AB59</f>
        <v>1407.703</v>
      </c>
      <c r="CA59" s="68" t="n">
        <f aca="false">IF(BZ59&gt;0,BY59/BZ59,0)</f>
        <v>1.47576587545225</v>
      </c>
    </row>
    <row r="60" customFormat="false" ht="14.25" hidden="false" customHeight="false" outlineLevel="0" collapsed="false">
      <c r="A60" s="61" t="n">
        <v>1900</v>
      </c>
      <c r="B60" s="50" t="n">
        <f aca="false">Economy!P59</f>
        <v>466.277830195267</v>
      </c>
      <c r="C60" s="48" t="n">
        <v>44000000</v>
      </c>
      <c r="D60" s="65" t="n">
        <f aca="false">Japan!B60</f>
        <v>1200</v>
      </c>
      <c r="E60" s="71" t="n">
        <v>0.7</v>
      </c>
      <c r="F60" s="50" t="n">
        <f aca="false">IF(C60&gt;0,D60*1000000/C60,0)</f>
        <v>27.2727272727273</v>
      </c>
      <c r="G60" s="67" t="n">
        <f aca="false">IF(AND(E60&gt;0,F59&gt;0,B60&gt;0),MIN(conv_cap,conv_beta*jp_uplift*E60*MAX(0,LN(B60/(F59*H59)))),0)</f>
        <v>0.0171066136733335</v>
      </c>
      <c r="H60" s="68" t="n">
        <f aca="false">H59*(1+G60)</f>
        <v>1.53849884715288</v>
      </c>
      <c r="I60" s="50" t="n">
        <f aca="false">D60*H60</f>
        <v>1846.19861658346</v>
      </c>
      <c r="J60" s="70" t="n">
        <f aca="false">IF(C60&gt;0,I60*1000000/C60/Economy!Q60,0)</f>
        <v>0.170565282389455</v>
      </c>
      <c r="K60" s="65" t="n">
        <f aca="false">Gulf!B60</f>
        <v>6100000</v>
      </c>
      <c r="L60" s="50" t="n">
        <f aca="false">Gulf!B60*Gulf!C60*Economy!Q60/1000000</f>
        <v>870.348</v>
      </c>
      <c r="M60" s="71" t="n">
        <v>0.5</v>
      </c>
      <c r="N60" s="50" t="n">
        <f aca="false">IF(K60&gt;0,L60*1000000/K60,0)</f>
        <v>142.68</v>
      </c>
      <c r="O60" s="67" t="n">
        <f aca="false">IF(AND(M60&gt;0,N59&gt;0,B60&gt;0),MIN(conv_cap,conv_beta*1*M60*MAX(0,LN(B60/(N59*P59)))),0)</f>
        <v>0</v>
      </c>
      <c r="P60" s="68" t="n">
        <f aca="false">P59*(1+O60)</f>
        <v>1</v>
      </c>
      <c r="Q60" s="50" t="n">
        <f aca="false">L60*P60</f>
        <v>870.348</v>
      </c>
      <c r="R60" s="70" t="n">
        <f aca="false">IF(K60&gt;0,Q60*1000000/K60/Economy!Q60,0)</f>
        <v>0.58</v>
      </c>
      <c r="S60" s="65" t="n">
        <f aca="false">People!U60</f>
        <v>7433903</v>
      </c>
      <c r="T60" s="48" t="n">
        <v>250.739</v>
      </c>
      <c r="U60" s="71" t="n">
        <v>0.54</v>
      </c>
      <c r="V60" s="50" t="n">
        <f aca="false">IF(S60&gt;0,T60*1000000/S60,0)</f>
        <v>33.7291191450844</v>
      </c>
      <c r="W60" s="67" t="n">
        <f aca="false">IF(AND(U60&gt;0,V59&gt;0,B60&gt;0),MIN(conv_cap,conv_beta*1*U60*MAX(0,LN(B60/(V59*X59)))),0)</f>
        <v>0.0129531528258423</v>
      </c>
      <c r="X60" s="68" t="n">
        <f aca="false">X59*(1+W60)</f>
        <v>1.31387274761008</v>
      </c>
      <c r="Y60" s="50" t="n">
        <f aca="false">T60*X60</f>
        <v>329.439138863004</v>
      </c>
      <c r="Z60" s="70" t="n">
        <f aca="false">IF(S60&gt;0,Y60*1000000/S60/Economy!Q60,0)</f>
        <v>0.180145408315528</v>
      </c>
      <c r="AA60" s="48" t="n">
        <v>0</v>
      </c>
      <c r="AB60" s="48" t="n">
        <v>0</v>
      </c>
      <c r="AC60" s="71" t="n">
        <v>0</v>
      </c>
      <c r="AD60" s="50" t="n">
        <f aca="false">IF(AA60&gt;0,AB60*1000000/AA60,0)</f>
        <v>0</v>
      </c>
      <c r="AE60" s="67" t="n">
        <f aca="false">IF(AND(AC60&gt;0,AD59&gt;0,B60&gt;0),MIN(conv_cap,conv_beta*1*AC60*MAX(0,LN(B60/(AD59*AF59)))),0)</f>
        <v>0</v>
      </c>
      <c r="AF60" s="68" t="n">
        <f aca="false">AF59*(1+AE60)</f>
        <v>1</v>
      </c>
      <c r="AG60" s="50" t="n">
        <f aca="false">AB60*AF60</f>
        <v>0</v>
      </c>
      <c r="AH60" s="70" t="n">
        <f aca="false">IF(AA60&gt;0,AG60*1000000/AA60/Economy!Q60,0)</f>
        <v>0</v>
      </c>
      <c r="AI60" s="48" t="n">
        <v>400000000</v>
      </c>
      <c r="AJ60" s="48" t="n">
        <v>4000</v>
      </c>
      <c r="AK60" s="71" t="n">
        <v>0.2</v>
      </c>
      <c r="AL60" s="50" t="n">
        <f aca="false">IF(AI60&gt;0,AJ60*1000000/AI60,0)</f>
        <v>10</v>
      </c>
      <c r="AM60" s="67" t="n">
        <f aca="false">IF(AND(AK60&gt;0,AL59&gt;0,B60&gt;0),MIN(conv_cap,conv_beta*1*AK60*MAX(0,LN(B60/(AL59*AN59)))),0)</f>
        <v>0.00736771559563934</v>
      </c>
      <c r="AN60" s="68" t="n">
        <f aca="false">AN59*(1+AM60)</f>
        <v>1.18108368239708</v>
      </c>
      <c r="AO60" s="50" t="n">
        <f aca="false">AJ60*AN60</f>
        <v>4724.33472958831</v>
      </c>
      <c r="AP60" s="70" t="n">
        <f aca="false">IF(AI60&gt;0,AO60*1000000/AI60/Economy!Q60,0)</f>
        <v>0.0480115318047593</v>
      </c>
      <c r="AQ60" s="48" t="n">
        <v>12000000</v>
      </c>
      <c r="AR60" s="48" t="n">
        <v>250</v>
      </c>
      <c r="AS60" s="71" t="n">
        <v>0.45</v>
      </c>
      <c r="AT60" s="50" t="n">
        <f aca="false">IF(AQ60&gt;0,AR60*1000000/AQ60,0)</f>
        <v>20.8333333333333</v>
      </c>
      <c r="AU60" s="67" t="n">
        <f aca="false">IF(AND(AS60&gt;0,AT59&gt;0,B60&gt;0),MIN(conv_cap,conv_beta*1*AS60*MAX(0,LN(B60/(AT59*AV59)))),0)</f>
        <v>0.0132298043706667</v>
      </c>
      <c r="AV60" s="68" t="n">
        <f aca="false">AV59*(1+AU60)</f>
        <v>1.20639441171501</v>
      </c>
      <c r="AW60" s="50" t="n">
        <f aca="false">AR60*AV60</f>
        <v>301.598602928751</v>
      </c>
      <c r="AX60" s="70" t="n">
        <f aca="false">IF(AQ60&gt;0,AW60*1000000/AQ60/Economy!Q60,0)</f>
        <v>0.102167548417599</v>
      </c>
      <c r="AY60" s="48" t="n">
        <v>80000000</v>
      </c>
      <c r="AZ60" s="48" t="n">
        <v>2000</v>
      </c>
      <c r="BA60" s="71" t="n">
        <v>0.1</v>
      </c>
      <c r="BB60" s="50" t="n">
        <f aca="false">IF(AY60&gt;0,AZ60*1000000/AY60,0)</f>
        <v>25</v>
      </c>
      <c r="BC60" s="67" t="n">
        <f aca="false">IF(AND(BA60&gt;0,BB59&gt;0,B60&gt;0),MIN(conv_cap,conv_beta*1*BA60*MAX(0,LN(B60/(BB59*BD59)))),0)</f>
        <v>0.00289198211453751</v>
      </c>
      <c r="BD60" s="68" t="n">
        <f aca="false">BD59*(1+BC60)</f>
        <v>1.04383978040256</v>
      </c>
      <c r="BE60" s="50" t="n">
        <f aca="false">AZ60*BD60</f>
        <v>2087.67956080511</v>
      </c>
      <c r="BF60" s="70" t="n">
        <f aca="false">IF(AY60&gt;0,BE60*1000000/AY60/Economy!Q60,0)</f>
        <v>0.106081278496195</v>
      </c>
      <c r="BG60" s="48" t="n">
        <v>30000000</v>
      </c>
      <c r="BH60" s="48" t="n">
        <v>2200</v>
      </c>
      <c r="BI60" s="71" t="n">
        <v>0.194</v>
      </c>
      <c r="BJ60" s="50" t="n">
        <f aca="false">IF(BG60&gt;0,BH60*1000000/BG60,0)</f>
        <v>73.3333333333333</v>
      </c>
      <c r="BK60" s="67" t="n">
        <f aca="false">IF(AND(BI60&gt;0,BJ59&gt;0,B60&gt;0),MIN(conv_cap,conv_beta*1*BI60*MAX(0,LN(B60/(BJ59*BL59)))),0)</f>
        <v>0.00349946121158483</v>
      </c>
      <c r="BL60" s="68" t="n">
        <f aca="false">BL59*(1+BK60)</f>
        <v>1.05941044636856</v>
      </c>
      <c r="BM60" s="50" t="n">
        <f aca="false">BH60*BL60</f>
        <v>2330.70298201083</v>
      </c>
      <c r="BN60" s="70" t="n">
        <f aca="false">IF(BG60&gt;0,BM60*1000000/BG60/Economy!Q60,0)</f>
        <v>0.315813412196589</v>
      </c>
      <c r="BO60" s="48" t="n">
        <v>14000000</v>
      </c>
      <c r="BP60" s="48" t="n">
        <v>800</v>
      </c>
      <c r="BQ60" s="71" t="n">
        <v>0</v>
      </c>
      <c r="BR60" s="50" t="n">
        <f aca="false">IF(BO60&gt;0,BP60*1000000/BO60,0)</f>
        <v>57.1428571428571</v>
      </c>
      <c r="BS60" s="67" t="n">
        <f aca="false">IF(AND(BQ60&gt;0,BR59&gt;0,B60&gt;0),MIN(conv_cap,conv_beta*1*BQ60*MAX(0,LN(B60/(BR59*BT59)))),0)</f>
        <v>0</v>
      </c>
      <c r="BT60" s="68" t="n">
        <f aca="false">BT59*(1+BS60)</f>
        <v>1</v>
      </c>
      <c r="BU60" s="50"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1.20058662482837</v>
      </c>
      <c r="BX60" s="66" t="n">
        <f aca="false">MIN(mkt_cap,mkt_elast*MAX(0,BW60-1))</f>
        <v>0.100293312414185</v>
      </c>
      <c r="BY60" s="50" t="n">
        <f aca="false">I60+Q60+Y60+AG60</f>
        <v>3045.98575544646</v>
      </c>
      <c r="BZ60" s="50" t="n">
        <f aca="false">D60+L60+T60+AB60</f>
        <v>2321.087</v>
      </c>
      <c r="CA60" s="68" t="n">
        <f aca="false">IF(BZ60&gt;0,BY60/BZ60,0)</f>
        <v>1.31231003208689</v>
      </c>
    </row>
    <row r="61" customFormat="false" ht="14.25" hidden="false" customHeight="false" outlineLevel="0" collapsed="false">
      <c r="A61" s="61" t="n">
        <v>1901</v>
      </c>
      <c r="B61" s="50" t="n">
        <f aca="false">Economy!P60</f>
        <v>489.66072836913</v>
      </c>
      <c r="C61" s="48" t="n">
        <v>44560000</v>
      </c>
      <c r="D61" s="65" t="n">
        <f aca="false">Japan!B61</f>
        <v>1270</v>
      </c>
      <c r="E61" s="71" t="n">
        <v>0.71</v>
      </c>
      <c r="F61" s="50" t="n">
        <f aca="false">IF(C61&gt;0,D61*1000000/C61,0)</f>
        <v>28.5008976660682</v>
      </c>
      <c r="G61" s="67" t="n">
        <f aca="false">IF(AND(E61&gt;0,F60&gt;0,B61&gt;0),MIN(conv_cap,conv_beta*jp_uplift*E61*MAX(0,LN(B61/(F60*H60)))),0)</f>
        <v>0.0174448305825059</v>
      </c>
      <c r="H61" s="68" t="n">
        <f aca="false">H60*(1+G61)</f>
        <v>1.56533769889284</v>
      </c>
      <c r="I61" s="50" t="n">
        <f aca="false">D61*H61</f>
        <v>1987.97887759391</v>
      </c>
      <c r="J61" s="70" t="n">
        <f aca="false">IF(C61&gt;0,I61*1000000/C61/Economy!Q61,0)</f>
        <v>0.174955017917583</v>
      </c>
      <c r="K61" s="65" t="n">
        <f aca="false">Gulf!B61</f>
        <v>6290000</v>
      </c>
      <c r="L61" s="50" t="n">
        <f aca="false">Gulf!B61*Gulf!C61*Economy!Q61/1000000</f>
        <v>935.10285</v>
      </c>
      <c r="M61" s="71" t="n">
        <v>0.512</v>
      </c>
      <c r="N61" s="50" t="n">
        <f aca="false">IF(K61&gt;0,L61*1000000/K61,0)</f>
        <v>148.665</v>
      </c>
      <c r="O61" s="67" t="n">
        <f aca="false">IF(AND(M61&gt;0,N60&gt;0,B61&gt;0),MIN(conv_cap,conv_beta*1*M61*MAX(0,LN(B61/(N60*P60)))),0)</f>
        <v>0.00631351500655188</v>
      </c>
      <c r="P61" s="68" t="n">
        <f aca="false">P60*(1+O61)</f>
        <v>1.00631351500655</v>
      </c>
      <c r="Q61" s="50" t="n">
        <f aca="false">L61*P61</f>
        <v>941.006635876144</v>
      </c>
      <c r="R61" s="70" t="n">
        <f aca="false">IF(K61&gt;0,Q61*1000000/K61/Economy!Q61,0)</f>
        <v>0.58668077924882</v>
      </c>
      <c r="S61" s="65" t="n">
        <f aca="false">People!U61</f>
        <v>7497297</v>
      </c>
      <c r="T61" s="48" t="n">
        <v>263.784</v>
      </c>
      <c r="U61" s="71" t="n">
        <v>0.548</v>
      </c>
      <c r="V61" s="50" t="n">
        <f aca="false">IF(S61&gt;0,T61*1000000/S61,0)</f>
        <v>35.1838802704495</v>
      </c>
      <c r="W61" s="67" t="n">
        <f aca="false">IF(AND(U61&gt;0,V60&gt;0,B61&gt;0),MIN(conv_cap,conv_beta*1*U61*MAX(0,LN(B61/(V60*X60)))),0)</f>
        <v>0.0131649994066953</v>
      </c>
      <c r="X61" s="68" t="n">
        <f aca="false">X60*(1+W61)</f>
        <v>1.33116988155284</v>
      </c>
      <c r="Y61" s="50" t="n">
        <f aca="false">T61*X61</f>
        <v>351.141316035535</v>
      </c>
      <c r="Z61" s="70" t="n">
        <f aca="false">IF(S61&gt;0,Y61*1000000/S61/Economy!Q61,0)</f>
        <v>0.183669496988955</v>
      </c>
      <c r="AA61" s="48" t="n">
        <v>0</v>
      </c>
      <c r="AB61" s="48" t="n">
        <v>0</v>
      </c>
      <c r="AC61" s="71" t="n">
        <v>0</v>
      </c>
      <c r="AD61" s="50" t="n">
        <f aca="false">IF(AA61&gt;0,AB61*1000000/AA61,0)</f>
        <v>0</v>
      </c>
      <c r="AE61" s="67" t="n">
        <f aca="false">IF(AND(AC61&gt;0,AD60&gt;0,B61&gt;0),MIN(conv_cap,conv_beta*1*AC61*MAX(0,LN(B61/(AD60*AF60)))),0)</f>
        <v>0</v>
      </c>
      <c r="AF61" s="68" t="n">
        <f aca="false">AF60*(1+AE61)</f>
        <v>1</v>
      </c>
      <c r="AG61" s="50" t="n">
        <f aca="false">AB61*AF61</f>
        <v>0</v>
      </c>
      <c r="AH61" s="70" t="n">
        <f aca="false">IF(AA61&gt;0,AG61*1000000/AA61/Economy!Q61,0)</f>
        <v>0</v>
      </c>
      <c r="AI61" s="48" t="n">
        <v>402300000</v>
      </c>
      <c r="AJ61" s="48" t="n">
        <v>4077</v>
      </c>
      <c r="AK61" s="71" t="n">
        <v>0.204</v>
      </c>
      <c r="AL61" s="50" t="n">
        <f aca="false">IF(AI61&gt;0,AJ61*1000000/AI61,0)</f>
        <v>10.1342281879195</v>
      </c>
      <c r="AM61" s="67" t="n">
        <f aca="false">IF(AND(AK61&gt;0,AL60&gt;0,B61&gt;0),MIN(conv_cap,conv_beta*1*AK61*MAX(0,LN(B61/(AL60*AN60)))),0)</f>
        <v>0.00759837836155424</v>
      </c>
      <c r="AN61" s="68" t="n">
        <f aca="false">AN60*(1+AM61)</f>
        <v>1.19005800309259</v>
      </c>
      <c r="AO61" s="50" t="n">
        <f aca="false">AJ61*AN61</f>
        <v>4851.86647860849</v>
      </c>
      <c r="AP61" s="70" t="n">
        <f aca="false">IF(AI61&gt;0,AO61*1000000/AI61/Economy!Q61,0)</f>
        <v>0.0472953700400002</v>
      </c>
      <c r="AQ61" s="48" t="n">
        <v>12230000</v>
      </c>
      <c r="AR61" s="48" t="n">
        <v>262</v>
      </c>
      <c r="AS61" s="71" t="n">
        <v>0.46</v>
      </c>
      <c r="AT61" s="50" t="n">
        <f aca="false">IF(AQ61&gt;0,AR61*1000000/AQ61,0)</f>
        <v>21.4227309893704</v>
      </c>
      <c r="AU61" s="67" t="n">
        <f aca="false">IF(AND(AS61&gt;0,AT60&gt;0,B61&gt;0),MIN(conv_cap,conv_beta*1*AS61*MAX(0,LN(B61/(AT60*AV60)))),0)</f>
        <v>0.0136598030679307</v>
      </c>
      <c r="AV61" s="68" t="n">
        <f aca="false">AV60*(1+AU61)</f>
        <v>1.22287352180129</v>
      </c>
      <c r="AW61" s="50" t="n">
        <f aca="false">AR61*AV61</f>
        <v>320.392862711937</v>
      </c>
      <c r="AX61" s="70" t="n">
        <f aca="false">IF(AQ61&gt;0,AW61*1000000/AQ61/Economy!Q61,0)</f>
        <v>0.102734472515972</v>
      </c>
      <c r="AY61" s="48" t="n">
        <v>81200000</v>
      </c>
      <c r="AZ61" s="48" t="n">
        <v>2077</v>
      </c>
      <c r="BA61" s="71" t="n">
        <v>0.104</v>
      </c>
      <c r="BB61" s="50" t="n">
        <f aca="false">IF(AY61&gt;0,AZ61*1000000/AY61,0)</f>
        <v>25.5788177339902</v>
      </c>
      <c r="BC61" s="67" t="n">
        <f aca="false">IF(AND(BA61&gt;0,BB60&gt;0,B61&gt;0),MIN(conv_cap,conv_beta*1*BA61*MAX(0,LN(B61/(BB60*BD60)))),0)</f>
        <v>0.00304920816169199</v>
      </c>
      <c r="BD61" s="68" t="n">
        <f aca="false">BD60*(1+BC61)</f>
        <v>1.04702266518046</v>
      </c>
      <c r="BE61" s="50" t="n">
        <f aca="false">AZ61*BD61</f>
        <v>2174.66607557981</v>
      </c>
      <c r="BF61" s="70" t="n">
        <f aca="false">IF(AY61&gt;0,BE61*1000000/AY61/Economy!Q61,0)</f>
        <v>0.105025889866696</v>
      </c>
      <c r="BG61" s="48" t="n">
        <v>30500000</v>
      </c>
      <c r="BH61" s="48" t="n">
        <v>2315</v>
      </c>
      <c r="BI61" s="71" t="n">
        <v>0.2</v>
      </c>
      <c r="BJ61" s="50" t="n">
        <f aca="false">IF(BG61&gt;0,BH61*1000000/BG61,0)</f>
        <v>75.9016393442623</v>
      </c>
      <c r="BK61" s="67" t="n">
        <f aca="false">IF(AND(BI61&gt;0,BJ60&gt;0,B61&gt;0),MIN(conv_cap,conv_beta*1*BI61*MAX(0,LN(B61/(BJ60*BL60)))),0)</f>
        <v>0.00368196986359551</v>
      </c>
      <c r="BL61" s="68" t="n">
        <f aca="false">BL60*(1+BK61)</f>
        <v>1.06331116370526</v>
      </c>
      <c r="BM61" s="50" t="n">
        <f aca="false">BH61*BL61</f>
        <v>2461.56534397769</v>
      </c>
      <c r="BN61" s="70" t="n">
        <f aca="false">IF(BG61&gt;0,BM61*1000000/BG61/Economy!Q61,0)</f>
        <v>0.316498276306999</v>
      </c>
      <c r="BO61" s="48" t="n">
        <v>14200000</v>
      </c>
      <c r="BP61" s="48" t="n">
        <v>823</v>
      </c>
      <c r="BQ61" s="71" t="n">
        <v>0</v>
      </c>
      <c r="BR61" s="50" t="n">
        <f aca="false">IF(BO61&gt;0,BP61*1000000/BO61,0)</f>
        <v>57.9577464788732</v>
      </c>
      <c r="BS61" s="67" t="n">
        <f aca="false">IF(AND(BQ61&gt;0,BR60&gt;0,B61&gt;0),MIN(conv_cap,conv_beta*1*BQ61*MAX(0,LN(B61/(BR60*BT60)))),0)</f>
        <v>0</v>
      </c>
      <c r="BT61" s="68" t="n">
        <f aca="false">BT60*(1+BS61)</f>
        <v>1</v>
      </c>
      <c r="BU61" s="50"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1.21170172690956</v>
      </c>
      <c r="BX61" s="66" t="n">
        <f aca="false">MIN(mkt_cap,mkt_elast*MAX(0,BW61-1))</f>
        <v>0.10585086345478</v>
      </c>
      <c r="BY61" s="50" t="n">
        <f aca="false">I61+Q61+Y61+AG61</f>
        <v>3280.12682950559</v>
      </c>
      <c r="BZ61" s="50" t="n">
        <f aca="false">D61+L61+T61+AB61</f>
        <v>2468.88685</v>
      </c>
      <c r="CA61" s="68" t="n">
        <f aca="false">IF(BZ61&gt;0,BY61/BZ61,0)</f>
        <v>1.32858532156125</v>
      </c>
    </row>
    <row r="62" customFormat="false" ht="14.25" hidden="false" customHeight="false" outlineLevel="0" collapsed="false">
      <c r="A62" s="61" t="n">
        <v>1902</v>
      </c>
      <c r="B62" s="50" t="n">
        <f aca="false">Economy!P61</f>
        <v>509.746070966545</v>
      </c>
      <c r="C62" s="48" t="n">
        <v>45120000</v>
      </c>
      <c r="D62" s="65" t="n">
        <f aca="false">Japan!B62</f>
        <v>1340</v>
      </c>
      <c r="E62" s="71" t="n">
        <v>0.72</v>
      </c>
      <c r="F62" s="50" t="n">
        <f aca="false">IF(C62&gt;0,D62*1000000/C62,0)</f>
        <v>29.6985815602837</v>
      </c>
      <c r="G62" s="67" t="n">
        <f aca="false">IF(AND(E62&gt;0,F61&gt;0,B62&gt;0),MIN(conv_cap,conv_beta*jp_uplift*E62*MAX(0,LN(B62/(F61*H61)))),0)</f>
        <v>0.0175383038525119</v>
      </c>
      <c r="H62" s="68" t="n">
        <f aca="false">H61*(1+G62)</f>
        <v>1.59279106708782</v>
      </c>
      <c r="I62" s="50" t="n">
        <f aca="false">D62*H62</f>
        <v>2134.34002989768</v>
      </c>
      <c r="J62" s="70" t="n">
        <f aca="false">IF(C62&gt;0,I62*1000000/C62/Economy!Q62,0)</f>
        <v>0.179180437175753</v>
      </c>
      <c r="K62" s="65" t="n">
        <f aca="false">Gulf!B62</f>
        <v>6480000</v>
      </c>
      <c r="L62" s="50" t="n">
        <f aca="false">Gulf!B62*Gulf!C62*Economy!Q62/1000000</f>
        <v>1002.48192</v>
      </c>
      <c r="M62" s="71" t="n">
        <v>0.523</v>
      </c>
      <c r="N62" s="50" t="n">
        <f aca="false">IF(K62&gt;0,L62*1000000/K62,0)</f>
        <v>154.704</v>
      </c>
      <c r="O62" s="67" t="n">
        <f aca="false">IF(AND(M62&gt;0,N61&gt;0,B62&gt;0),MIN(conv_cap,conv_beta*1*M62*MAX(0,LN(B62/(N61*P61)))),0)</f>
        <v>0.00641158032795307</v>
      </c>
      <c r="P62" s="68" t="n">
        <f aca="false">P61*(1+O62)</f>
        <v>1.01276557494312</v>
      </c>
      <c r="Q62" s="50" t="n">
        <f aca="false">L62*P62</f>
        <v>1015.27917807888</v>
      </c>
      <c r="R62" s="70" t="n">
        <f aca="false">IF(K62&gt;0,Q62*1000000/K62/Economy!Q62,0)</f>
        <v>0.593480626916669</v>
      </c>
      <c r="S62" s="65" t="n">
        <f aca="false">People!U62</f>
        <v>7560698</v>
      </c>
      <c r="T62" s="48" t="n">
        <v>276.831</v>
      </c>
      <c r="U62" s="71" t="n">
        <v>0.555</v>
      </c>
      <c r="V62" s="50" t="n">
        <f aca="false">IF(S62&gt;0,T62*1000000/S62,0)</f>
        <v>36.6144765999118</v>
      </c>
      <c r="W62" s="67" t="n">
        <f aca="false">IF(AND(U62&gt;0,V61&gt;0,B62&gt;0),MIN(conv_cap,conv_beta*1*U62*MAX(0,LN(B62/(V61*X61)))),0)</f>
        <v>0.0132493291028267</v>
      </c>
      <c r="X62" s="68" t="n">
        <f aca="false">X61*(1+W62)</f>
        <v>1.34880698940531</v>
      </c>
      <c r="Y62" s="50" t="n">
        <f aca="false">T62*X62</f>
        <v>373.39158768406</v>
      </c>
      <c r="Z62" s="70" t="n">
        <f aca="false">IF(S62&gt;0,Y62*1000000/S62/Economy!Q62,0)</f>
        <v>0.187067658906735</v>
      </c>
      <c r="AA62" s="48" t="n">
        <v>0</v>
      </c>
      <c r="AB62" s="48" t="n">
        <v>0</v>
      </c>
      <c r="AC62" s="71" t="n">
        <v>0</v>
      </c>
      <c r="AD62" s="50" t="n">
        <f aca="false">IF(AA62&gt;0,AB62*1000000/AA62,0)</f>
        <v>0</v>
      </c>
      <c r="AE62" s="67" t="n">
        <f aca="false">IF(AND(AC62&gt;0,AD61&gt;0,B62&gt;0),MIN(conv_cap,conv_beta*1*AC62*MAX(0,LN(B62/(AD61*AF61)))),0)</f>
        <v>0</v>
      </c>
      <c r="AF62" s="68" t="n">
        <f aca="false">AF61*(1+AE62)</f>
        <v>1</v>
      </c>
      <c r="AG62" s="50" t="n">
        <f aca="false">AB62*AF62</f>
        <v>0</v>
      </c>
      <c r="AH62" s="70" t="n">
        <f aca="false">IF(AA62&gt;0,AG62*1000000/AA62/Economy!Q62,0)</f>
        <v>0</v>
      </c>
      <c r="AI62" s="48" t="n">
        <v>404600000</v>
      </c>
      <c r="AJ62" s="48" t="n">
        <v>4154</v>
      </c>
      <c r="AK62" s="71" t="n">
        <v>0.208</v>
      </c>
      <c r="AL62" s="50" t="n">
        <f aca="false">IF(AI62&gt;0,AJ62*1000000/AI62,0)</f>
        <v>10.2669303015324</v>
      </c>
      <c r="AM62" s="67" t="n">
        <f aca="false">IF(AND(AK62&gt;0,AL61&gt;0,B62&gt;0),MIN(conv_cap,conv_beta*1*AK62*MAX(0,LN(B62/(AL61*AN61)))),0)</f>
        <v>0.0077875034219126</v>
      </c>
      <c r="AN62" s="68" t="n">
        <f aca="false">AN61*(1+AM62)</f>
        <v>1.19932558386395</v>
      </c>
      <c r="AO62" s="50" t="n">
        <f aca="false">AJ62*AN62</f>
        <v>4981.99847537084</v>
      </c>
      <c r="AP62" s="70" t="n">
        <f aca="false">IF(AI62&gt;0,AO62*1000000/AI62/Economy!Q62,0)</f>
        <v>0.0466416370393022</v>
      </c>
      <c r="AQ62" s="48" t="n">
        <v>12460000</v>
      </c>
      <c r="AR62" s="48" t="n">
        <v>273</v>
      </c>
      <c r="AS62" s="71" t="n">
        <v>0.47</v>
      </c>
      <c r="AT62" s="50" t="n">
        <f aca="false">IF(AQ62&gt;0,AR62*1000000/AQ62,0)</f>
        <v>21.9101123595506</v>
      </c>
      <c r="AU62" s="67" t="n">
        <f aca="false">IF(AND(AS62&gt;0,AT61&gt;0,B62&gt;0),MIN(conv_cap,conv_beta*1*AS62*MAX(0,LN(B62/(AT61*AV61)))),0)</f>
        <v>0.013950806549184</v>
      </c>
      <c r="AV62" s="68" t="n">
        <f aca="false">AV61*(1+AU62)</f>
        <v>1.23993359373805</v>
      </c>
      <c r="AW62" s="50" t="n">
        <f aca="false">AR62*AV62</f>
        <v>338.501871090489</v>
      </c>
      <c r="AX62" s="70" t="n">
        <f aca="false">IF(AQ62&gt;0,AW62*1000000/AQ62/Economy!Q62,0)</f>
        <v>0.102905622565084</v>
      </c>
      <c r="AY62" s="48" t="n">
        <v>82300000</v>
      </c>
      <c r="AZ62" s="48" t="n">
        <v>2154</v>
      </c>
      <c r="BA62" s="71" t="n">
        <v>0.108</v>
      </c>
      <c r="BB62" s="50" t="n">
        <f aca="false">IF(AY62&gt;0,AZ62*1000000/AY62,0)</f>
        <v>26.1725394896719</v>
      </c>
      <c r="BC62" s="67" t="n">
        <f aca="false">IF(AND(BA62&gt;0,BB61&gt;0,B62&gt;0),MIN(conv_cap,conv_beta*1*BA62*MAX(0,LN(B62/(BB61*BD61)))),0)</f>
        <v>0.00318189334920477</v>
      </c>
      <c r="BD62" s="68" t="n">
        <f aca="false">BD61*(1+BC62)</f>
        <v>1.05035417963526</v>
      </c>
      <c r="BE62" s="50" t="n">
        <f aca="false">AZ62*BD62</f>
        <v>2262.46290293436</v>
      </c>
      <c r="BF62" s="70" t="n">
        <f aca="false">IF(AY62&gt;0,BE62*1000000/AY62/Economy!Q62,0)</f>
        <v>0.104130440320628</v>
      </c>
      <c r="BG62" s="48" t="n">
        <v>31100000</v>
      </c>
      <c r="BH62" s="48" t="n">
        <v>2431</v>
      </c>
      <c r="BI62" s="71" t="n">
        <v>0.208</v>
      </c>
      <c r="BJ62" s="50" t="n">
        <f aca="false">IF(BG62&gt;0,BH62*1000000/BG62,0)</f>
        <v>78.1672025723473</v>
      </c>
      <c r="BK62" s="67" t="n">
        <f aca="false">IF(AND(BI62&gt;0,BJ61&gt;0,B62&gt;0),MIN(conv_cap,conv_beta*1*BI62*MAX(0,LN(B62/(BJ61*BL61)))),0)</f>
        <v>0.00383362021124391</v>
      </c>
      <c r="BL62" s="68" t="n">
        <f aca="false">BL61*(1+BK62)</f>
        <v>1.06738749487329</v>
      </c>
      <c r="BM62" s="50" t="n">
        <f aca="false">BH62*BL62</f>
        <v>2594.81900003696</v>
      </c>
      <c r="BN62" s="70" t="n">
        <f aca="false">IF(BG62&gt;0,BM62*1000000/BG62/Economy!Q62,0)</f>
        <v>0.316040509602085</v>
      </c>
      <c r="BO62" s="48" t="n">
        <v>14300000</v>
      </c>
      <c r="BP62" s="48" t="n">
        <v>846</v>
      </c>
      <c r="BQ62" s="71" t="n">
        <v>0</v>
      </c>
      <c r="BR62" s="50" t="n">
        <f aca="false">IF(BO62&gt;0,BP62*1000000/BO62,0)</f>
        <v>59.1608391608392</v>
      </c>
      <c r="BS62" s="67" t="n">
        <f aca="false">IF(AND(BQ62&gt;0,BR61&gt;0,B62&gt;0),MIN(conv_cap,conv_beta*1*BQ62*MAX(0,LN(B62/(BR61*BT61)))),0)</f>
        <v>0</v>
      </c>
      <c r="BT62" s="68" t="n">
        <f aca="false">BT61*(1+BS62)</f>
        <v>1</v>
      </c>
      <c r="BU62" s="50"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1.22310249267199</v>
      </c>
      <c r="BX62" s="66" t="n">
        <f aca="false">MIN(mkt_cap,mkt_elast*MAX(0,BW62-1))</f>
        <v>0.111551246335994</v>
      </c>
      <c r="BY62" s="50" t="n">
        <f aca="false">I62+Q62+Y62+AG62</f>
        <v>3523.01079566062</v>
      </c>
      <c r="BZ62" s="50" t="n">
        <f aca="false">D62+L62+T62+AB62</f>
        <v>2619.31292</v>
      </c>
      <c r="CA62" s="68" t="n">
        <f aca="false">IF(BZ62&gt;0,BY62/BZ62,0)</f>
        <v>1.34501333107639</v>
      </c>
    </row>
    <row r="63" customFormat="false" ht="14.25" hidden="false" customHeight="false" outlineLevel="0" collapsed="false">
      <c r="A63" s="61" t="n">
        <v>1903</v>
      </c>
      <c r="B63" s="50" t="n">
        <f aca="false">Economy!P62</f>
        <v>530.427106265769</v>
      </c>
      <c r="C63" s="48" t="n">
        <v>45680000</v>
      </c>
      <c r="D63" s="65" t="n">
        <f aca="false">Japan!B63</f>
        <v>1410</v>
      </c>
      <c r="E63" s="71" t="n">
        <v>0.73</v>
      </c>
      <c r="F63" s="50" t="n">
        <f aca="false">IF(C63&gt;0,D63*1000000/C63,0)</f>
        <v>30.8669001751314</v>
      </c>
      <c r="G63" s="67" t="n">
        <f aca="false">IF(AND(E63&gt;0,F62&gt;0,B63&gt;0),MIN(conv_cap,conv_beta*jp_uplift*E63*MAX(0,LN(B63/(F62*H62)))),0)</f>
        <v>0.0176447963593637</v>
      </c>
      <c r="H63" s="68" t="n">
        <f aca="false">H62*(1+G63)</f>
        <v>1.6208955411096</v>
      </c>
      <c r="I63" s="50" t="n">
        <f aca="false">D63*H63</f>
        <v>2285.46271296453</v>
      </c>
      <c r="J63" s="70" t="n">
        <f aca="false">IF(C63&gt;0,I63*1000000/C63/Economy!Q63,0)</f>
        <v>0.183941253168182</v>
      </c>
      <c r="K63" s="65" t="n">
        <f aca="false">Gulf!B63</f>
        <v>6670000</v>
      </c>
      <c r="L63" s="50" t="n">
        <f aca="false">Gulf!B63*Gulf!C63*Economy!Q63/1000000</f>
        <v>1068.58736</v>
      </c>
      <c r="M63" s="71" t="n">
        <v>0.535</v>
      </c>
      <c r="N63" s="50" t="n">
        <f aca="false">IF(K63&gt;0,L63*1000000/K63,0)</f>
        <v>160.208</v>
      </c>
      <c r="O63" s="67" t="n">
        <f aca="false">IF(AND(M63&gt;0,N62&gt;0,B63&gt;0),MIN(conv_cap,conv_beta*1*M63*MAX(0,LN(B63/(N62*P62)))),0)</f>
        <v>0.0065242401880936</v>
      </c>
      <c r="P63" s="68" t="n">
        <f aca="false">P62*(1+O63)</f>
        <v>1.01937310080828</v>
      </c>
      <c r="Q63" s="50" t="n">
        <f aca="false">L63*P63</f>
        <v>1089.28921064774</v>
      </c>
      <c r="R63" s="70" t="n">
        <f aca="false">IF(K63&gt;0,Q63*1000000/K63/Economy!Q63,0)</f>
        <v>0.600410756376078</v>
      </c>
      <c r="S63" s="65" t="n">
        <f aca="false">People!U63</f>
        <v>7623107</v>
      </c>
      <c r="T63" s="48" t="n">
        <v>289.879</v>
      </c>
      <c r="U63" s="71" t="n">
        <v>0.563</v>
      </c>
      <c r="V63" s="50" t="n">
        <f aca="false">IF(S63&gt;0,T63*1000000/S63,0)</f>
        <v>38.0263585438326</v>
      </c>
      <c r="W63" s="67" t="n">
        <f aca="false">IF(AND(U63&gt;0,V62&gt;0,B63&gt;0),MIN(conv_cap,conv_beta*1*U63*MAX(0,LN(B63/(V62*X62)))),0)</f>
        <v>0.0133657233385233</v>
      </c>
      <c r="X63" s="68" t="n">
        <f aca="false">X62*(1+W63)</f>
        <v>1.36683477046276</v>
      </c>
      <c r="Y63" s="50" t="n">
        <f aca="false">T63*X63</f>
        <v>396.216696426976</v>
      </c>
      <c r="Z63" s="70" t="n">
        <f aca="false">IF(S63&gt;0,Y63*1000000/S63/Economy!Q63,0)</f>
        <v>0.19108731269042</v>
      </c>
      <c r="AA63" s="48" t="n">
        <v>0</v>
      </c>
      <c r="AB63" s="48" t="n">
        <v>0</v>
      </c>
      <c r="AC63" s="71" t="n">
        <v>0</v>
      </c>
      <c r="AD63" s="50" t="n">
        <f aca="false">IF(AA63&gt;0,AB63*1000000/AA63,0)</f>
        <v>0</v>
      </c>
      <c r="AE63" s="67" t="n">
        <f aca="false">IF(AND(AC63&gt;0,AD62&gt;0,B63&gt;0),MIN(conv_cap,conv_beta*1*AC63*MAX(0,LN(B63/(AD62*AF62)))),0)</f>
        <v>0</v>
      </c>
      <c r="AF63" s="68" t="n">
        <f aca="false">AF62*(1+AE63)</f>
        <v>1</v>
      </c>
      <c r="AG63" s="50" t="n">
        <f aca="false">AB63*AF63</f>
        <v>0</v>
      </c>
      <c r="AH63" s="70" t="n">
        <f aca="false">IF(AA63&gt;0,AG63*1000000/AA63/Economy!Q63,0)</f>
        <v>0</v>
      </c>
      <c r="AI63" s="48" t="n">
        <v>406900000</v>
      </c>
      <c r="AJ63" s="48" t="n">
        <v>4231</v>
      </c>
      <c r="AK63" s="71" t="n">
        <v>0.213</v>
      </c>
      <c r="AL63" s="50" t="n">
        <f aca="false">IF(AI63&gt;0,AJ63*1000000/AI63,0)</f>
        <v>10.3981322192185</v>
      </c>
      <c r="AM63" s="67" t="n">
        <f aca="false">IF(AND(AK63&gt;0,AL62&gt;0,B63&gt;0),MIN(conv_cap,conv_beta*1*AK63*MAX(0,LN(B63/(AL62*AN62)))),0)</f>
        <v>0.0080151795157833</v>
      </c>
      <c r="AN63" s="68" t="n">
        <f aca="false">AN62*(1+AM63)</f>
        <v>1.20893839371649</v>
      </c>
      <c r="AO63" s="50" t="n">
        <f aca="false">AJ63*AN63</f>
        <v>5115.01834381446</v>
      </c>
      <c r="AP63" s="70" t="n">
        <f aca="false">IF(AI63&gt;0,AO63*1000000/AI63/Economy!Q63,0)</f>
        <v>0.0462158134660061</v>
      </c>
      <c r="AQ63" s="48" t="n">
        <v>12690000</v>
      </c>
      <c r="AR63" s="48" t="n">
        <v>285</v>
      </c>
      <c r="AS63" s="71" t="n">
        <v>0.48</v>
      </c>
      <c r="AT63" s="50" t="n">
        <f aca="false">IF(AQ63&gt;0,AR63*1000000/AQ63,0)</f>
        <v>22.4586288416076</v>
      </c>
      <c r="AU63" s="67" t="n">
        <f aca="false">IF(AND(AS63&gt;0,AT62&gt;0,B63&gt;0),MIN(conv_cap,conv_beta*1*AS63*MAX(0,LN(B63/(AT62*AV62)))),0)</f>
        <v>0.0142640468943453</v>
      </c>
      <c r="AV63" s="68" t="n">
        <f aca="false">AV62*(1+AU63)</f>
        <v>1.25762006466501</v>
      </c>
      <c r="AW63" s="50" t="n">
        <f aca="false">AR63*AV63</f>
        <v>358.421718429527</v>
      </c>
      <c r="AX63" s="70" t="n">
        <f aca="false">IF(AQ63&gt;0,AW63*1000000/AQ63/Economy!Q63,0)</f>
        <v>0.103839787706139</v>
      </c>
      <c r="AY63" s="48" t="n">
        <v>83500000</v>
      </c>
      <c r="AZ63" s="48" t="n">
        <v>2231</v>
      </c>
      <c r="BA63" s="71" t="n">
        <v>0.112</v>
      </c>
      <c r="BB63" s="50" t="n">
        <f aca="false">IF(AY63&gt;0,AZ63*1000000/AY63,0)</f>
        <v>26.7185628742515</v>
      </c>
      <c r="BC63" s="67" t="n">
        <f aca="false">IF(AND(BA63&gt;0,BB62&gt;0,B63&gt;0),MIN(conv_cap,conv_beta*1*BA63*MAX(0,LN(B63/(BB62*BD62)))),0)</f>
        <v>0.0033150256962255</v>
      </c>
      <c r="BD63" s="68" t="n">
        <f aca="false">BD62*(1+BC63)</f>
        <v>1.05383613073089</v>
      </c>
      <c r="BE63" s="50" t="n">
        <f aca="false">AZ63*BD63</f>
        <v>2351.10840766062</v>
      </c>
      <c r="BF63" s="70" t="n">
        <f aca="false">IF(AY63&gt;0,BE63*1000000/AY63/Economy!Q63,0)</f>
        <v>0.103518334257689</v>
      </c>
      <c r="BG63" s="48" t="n">
        <v>31600000</v>
      </c>
      <c r="BH63" s="48" t="n">
        <v>2546</v>
      </c>
      <c r="BI63" s="71" t="n">
        <v>0.217</v>
      </c>
      <c r="BJ63" s="50" t="n">
        <f aca="false">IF(BG63&gt;0,BH63*1000000/BG63,0)</f>
        <v>80.5696202531646</v>
      </c>
      <c r="BK63" s="67" t="n">
        <f aca="false">IF(AND(BI63&gt;0,BJ62&gt;0,B63&gt;0),MIN(conv_cap,conv_beta*1*BI63*MAX(0,LN(B63/(BJ62*BL62)))),0)</f>
        <v>0.00401367175096122</v>
      </c>
      <c r="BL63" s="68" t="n">
        <f aca="false">BL62*(1+BK63)</f>
        <v>1.07167163790879</v>
      </c>
      <c r="BM63" s="50" t="n">
        <f aca="false">BH63*BL63</f>
        <v>2728.47599011578</v>
      </c>
      <c r="BN63" s="70" t="n">
        <f aca="false">IF(BG63&gt;0,BM63*1000000/BG63/Economy!Q63,0)</f>
        <v>0.317441826847051</v>
      </c>
      <c r="BO63" s="48" t="n">
        <v>14500000</v>
      </c>
      <c r="BP63" s="48" t="n">
        <v>869</v>
      </c>
      <c r="BQ63" s="71" t="n">
        <v>0</v>
      </c>
      <c r="BR63" s="50" t="n">
        <f aca="false">IF(BO63&gt;0,BP63*1000000/BO63,0)</f>
        <v>59.9310344827586</v>
      </c>
      <c r="BS63" s="67" t="n">
        <f aca="false">IF(AND(BQ63&gt;0,BR62&gt;0,B63&gt;0),MIN(conv_cap,conv_beta*1*BQ63*MAX(0,LN(B63/(BR62*BT62)))),0)</f>
        <v>0</v>
      </c>
      <c r="BT63" s="68" t="n">
        <f aca="false">BT62*(1+BS63)</f>
        <v>1</v>
      </c>
      <c r="BU63" s="50"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1.23481647729557</v>
      </c>
      <c r="BX63" s="66" t="n">
        <f aca="false">MIN(mkt_cap,mkt_elast*MAX(0,BW63-1))</f>
        <v>0.117408238647785</v>
      </c>
      <c r="BY63" s="50" t="n">
        <f aca="false">I63+Q63+Y63+AG63</f>
        <v>3770.96862003924</v>
      </c>
      <c r="BZ63" s="50" t="n">
        <f aca="false">D63+L63+T63+AB63</f>
        <v>2768.46636</v>
      </c>
      <c r="CA63" s="68" t="n">
        <f aca="false">IF(BZ63&gt;0,BY63/BZ63,0)</f>
        <v>1.3621146619384</v>
      </c>
    </row>
    <row r="64" customFormat="false" ht="14.25" hidden="false" customHeight="false" outlineLevel="0" collapsed="false">
      <c r="A64" s="61" t="n">
        <v>1904</v>
      </c>
      <c r="B64" s="50" t="n">
        <f aca="false">Economy!P63</f>
        <v>551.780827146751</v>
      </c>
      <c r="C64" s="48" t="n">
        <v>46250000</v>
      </c>
      <c r="D64" s="65" t="n">
        <f aca="false">Japan!B64</f>
        <v>1480</v>
      </c>
      <c r="E64" s="71" t="n">
        <v>0.74</v>
      </c>
      <c r="F64" s="50" t="n">
        <f aca="false">IF(C64&gt;0,D64*1000000/C64,0)</f>
        <v>32</v>
      </c>
      <c r="G64" s="67" t="n">
        <f aca="false">IF(AND(E64&gt;0,F63&gt;0,B64&gt;0),MIN(conv_cap,conv_beta*jp_uplift*E64*MAX(0,LN(B64/(F63*H63)))),0)</f>
        <v>0.0177636089613309</v>
      </c>
      <c r="H64" s="68" t="n">
        <f aca="false">H63*(1+G64)</f>
        <v>1.64968849566903</v>
      </c>
      <c r="I64" s="50" t="n">
        <f aca="false">D64*H64</f>
        <v>2441.53897359017</v>
      </c>
      <c r="J64" s="70" t="n">
        <f aca="false">IF(C64&gt;0,I64*1000000/C64/Economy!Q64,0)</f>
        <v>0.187864882069071</v>
      </c>
      <c r="K64" s="65" t="n">
        <f aca="false">Gulf!B64</f>
        <v>6860000</v>
      </c>
      <c r="L64" s="50" t="n">
        <f aca="false">Gulf!B64*Gulf!C64*Economy!Q64/1000000</f>
        <v>1141.17472</v>
      </c>
      <c r="M64" s="71" t="n">
        <v>0.546</v>
      </c>
      <c r="N64" s="50" t="n">
        <f aca="false">IF(K64&gt;0,L64*1000000/K64,0)</f>
        <v>166.352</v>
      </c>
      <c r="O64" s="67" t="n">
        <f aca="false">IF(AND(M64&gt;0,N63&gt;0,B64&gt;0),MIN(conv_cap,conv_beta*1*M64*MAX(0,LN(B64/(N63*P63)))),0)</f>
        <v>0.00664749601642311</v>
      </c>
      <c r="P64" s="68" t="n">
        <f aca="false">P63*(1+O64)</f>
        <v>1.02614937943515</v>
      </c>
      <c r="Q64" s="50" t="n">
        <f aca="false">L64*P64</f>
        <v>1171.01573075509</v>
      </c>
      <c r="R64" s="70" t="n">
        <f aca="false">IF(K64&gt;0,Q64*1000000/K64/Economy!Q64,0)</f>
        <v>0.607480432625612</v>
      </c>
      <c r="S64" s="65" t="n">
        <f aca="false">People!U64</f>
        <v>7912523</v>
      </c>
      <c r="T64" s="48" t="n">
        <v>307.144</v>
      </c>
      <c r="U64" s="71" t="n">
        <v>0.571</v>
      </c>
      <c r="V64" s="50" t="n">
        <f aca="false">IF(S64&gt;0,T64*1000000/S64,0)</f>
        <v>38.817454306294</v>
      </c>
      <c r="W64" s="67" t="n">
        <f aca="false">IF(AND(U64&gt;0,V63&gt;0,B64&gt;0),MIN(conv_cap,conv_beta*1*U64*MAX(0,LN(B64/(V63*X63)))),0)</f>
        <v>0.0134891536542693</v>
      </c>
      <c r="X64" s="68" t="n">
        <f aca="false">X63*(1+W64)</f>
        <v>1.38527221470153</v>
      </c>
      <c r="Y64" s="50" t="n">
        <f aca="false">T64*X64</f>
        <v>425.478049112288</v>
      </c>
      <c r="Z64" s="70" t="n">
        <f aca="false">IF(S64&gt;0,Y64*1000000/S64/Economy!Q64,0)</f>
        <v>0.191362067245393</v>
      </c>
      <c r="AA64" s="48" t="n">
        <v>0</v>
      </c>
      <c r="AB64" s="48" t="n">
        <v>0</v>
      </c>
      <c r="AC64" s="71" t="n">
        <v>0</v>
      </c>
      <c r="AD64" s="50" t="n">
        <f aca="false">IF(AA64&gt;0,AB64*1000000/AA64,0)</f>
        <v>0</v>
      </c>
      <c r="AE64" s="67" t="n">
        <f aca="false">IF(AND(AC64&gt;0,AD63&gt;0,B64&gt;0),MIN(conv_cap,conv_beta*1*AC64*MAX(0,LN(B64/(AD63*AF63)))),0)</f>
        <v>0</v>
      </c>
      <c r="AF64" s="68" t="n">
        <f aca="false">AF63*(1+AE64)</f>
        <v>1</v>
      </c>
      <c r="AG64" s="50" t="n">
        <f aca="false">AB64*AF64</f>
        <v>0</v>
      </c>
      <c r="AH64" s="70" t="n">
        <f aca="false">IF(AA64&gt;0,AG64*1000000/AA64/Economy!Q64,0)</f>
        <v>0</v>
      </c>
      <c r="AI64" s="48" t="n">
        <v>409200000</v>
      </c>
      <c r="AJ64" s="48" t="n">
        <v>4308</v>
      </c>
      <c r="AK64" s="71" t="n">
        <v>0.217</v>
      </c>
      <c r="AL64" s="50" t="n">
        <f aca="false">IF(AI64&gt;0,AJ64*1000000/AI64,0)</f>
        <v>10.5278592375367</v>
      </c>
      <c r="AM64" s="67" t="n">
        <f aca="false">IF(AND(AK64&gt;0,AL63&gt;0,B64&gt;0),MIN(conv_cap,conv_beta*1*AK64*MAX(0,LN(B64/(AL63*AN63)))),0)</f>
        <v>0.00820646716895769</v>
      </c>
      <c r="AN64" s="68" t="n">
        <f aca="false">AN63*(1+AM64)</f>
        <v>1.21885950695381</v>
      </c>
      <c r="AO64" s="50" t="n">
        <f aca="false">AJ64*AN64</f>
        <v>5250.84675595703</v>
      </c>
      <c r="AP64" s="70" t="n">
        <f aca="false">IF(AI64&gt;0,AO64*1000000/AI64/Economy!Q64,0)</f>
        <v>0.0456654139485519</v>
      </c>
      <c r="AQ64" s="48" t="n">
        <v>12920000</v>
      </c>
      <c r="AR64" s="48" t="n">
        <v>296</v>
      </c>
      <c r="AS64" s="71" t="n">
        <v>0.49</v>
      </c>
      <c r="AT64" s="50" t="n">
        <f aca="false">IF(AQ64&gt;0,AR64*1000000/AQ64,0)</f>
        <v>22.9102167182663</v>
      </c>
      <c r="AU64" s="67" t="n">
        <f aca="false">IF(AND(AS64&gt;0,AT63&gt;0,B64&gt;0),MIN(conv_cap,conv_beta*1*AS64*MAX(0,LN(B64/(AT63*AV63)))),0)</f>
        <v>0.0145640491046947</v>
      </c>
      <c r="AV64" s="68" t="n">
        <f aca="false">AV63*(1+AU64)</f>
        <v>1.27593610504184</v>
      </c>
      <c r="AW64" s="50" t="n">
        <f aca="false">AR64*AV64</f>
        <v>377.677087092384</v>
      </c>
      <c r="AX64" s="70" t="n">
        <f aca="false">IF(AQ64&gt;0,AW64*1000000/AQ64/Economy!Q64,0)</f>
        <v>0.104028372545086</v>
      </c>
      <c r="AY64" s="48" t="n">
        <v>84600000</v>
      </c>
      <c r="AZ64" s="48" t="n">
        <v>2308</v>
      </c>
      <c r="BA64" s="71" t="n">
        <v>0.115</v>
      </c>
      <c r="BB64" s="50" t="n">
        <f aca="false">IF(AY64&gt;0,AZ64*1000000/AY64,0)</f>
        <v>27.2813238770686</v>
      </c>
      <c r="BC64" s="67" t="n">
        <f aca="false">IF(AND(BA64&gt;0,BB63&gt;0,B64&gt;0),MIN(conv_cap,conv_beta*1*BA64*MAX(0,LN(B64/(BB63*BD63)))),0)</f>
        <v>0.00342165869647927</v>
      </c>
      <c r="BD64" s="68" t="n">
        <f aca="false">BD63*(1+BC64)</f>
        <v>1.05744199829227</v>
      </c>
      <c r="BE64" s="50" t="n">
        <f aca="false">AZ64*BD64</f>
        <v>2440.57613205856</v>
      </c>
      <c r="BF64" s="70" t="n">
        <f aca="false">IF(AY64&gt;0,BE64*1000000/AY64/Economy!Q64,0)</f>
        <v>0.102663407959523</v>
      </c>
      <c r="BG64" s="48" t="n">
        <v>32200000</v>
      </c>
      <c r="BH64" s="48" t="n">
        <v>2662</v>
      </c>
      <c r="BI64" s="71" t="n">
        <v>0.225</v>
      </c>
      <c r="BJ64" s="50" t="n">
        <f aca="false">IF(BG64&gt;0,BH64*1000000/BG64,0)</f>
        <v>82.6708074534162</v>
      </c>
      <c r="BK64" s="67" t="n">
        <f aca="false">IF(AND(BI64&gt;0,BJ63&gt;0,B64&gt;0),MIN(conv_cap,conv_beta*1*BI64*MAX(0,LN(B64/(BJ63*BL63)))),0)</f>
        <v>0.00417332148486808</v>
      </c>
      <c r="BL64" s="68" t="n">
        <f aca="false">BL63*(1+BK64)</f>
        <v>1.07614406818</v>
      </c>
      <c r="BM64" s="50" t="n">
        <f aca="false">BH64*BL64</f>
        <v>2864.69550949515</v>
      </c>
      <c r="BN64" s="70" t="n">
        <f aca="false">IF(BG64&gt;0,BM64*1000000/BG64/Economy!Q64,0)</f>
        <v>0.316603911219375</v>
      </c>
      <c r="BO64" s="48" t="n">
        <v>14600000</v>
      </c>
      <c r="BP64" s="48" t="n">
        <v>892</v>
      </c>
      <c r="BQ64" s="71" t="n">
        <v>0</v>
      </c>
      <c r="BR64" s="50" t="n">
        <f aca="false">IF(BO64&gt;0,BP64*1000000/BO64,0)</f>
        <v>61.0958904109589</v>
      </c>
      <c r="BS64" s="67" t="n">
        <f aca="false">IF(AND(BQ64&gt;0,BR63&gt;0,B64&gt;0),MIN(conv_cap,conv_beta*1*BQ64*MAX(0,LN(B64/(BR63*BT63)))),0)</f>
        <v>0</v>
      </c>
      <c r="BT64" s="68" t="n">
        <f aca="false">BT63*(1+BS64)</f>
        <v>1</v>
      </c>
      <c r="BU64" s="50"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1.24684577412919</v>
      </c>
      <c r="BX64" s="66" t="n">
        <f aca="false">MIN(mkt_cap,mkt_elast*MAX(0,BW64-1))</f>
        <v>0.123422887064595</v>
      </c>
      <c r="BY64" s="50" t="n">
        <f aca="false">I64+Q64+Y64+AG64</f>
        <v>4038.03275345754</v>
      </c>
      <c r="BZ64" s="50" t="n">
        <f aca="false">D64+L64+T64+AB64</f>
        <v>2928.31872</v>
      </c>
      <c r="CA64" s="68" t="n">
        <f aca="false">IF(BZ64&gt;0,BY64/BZ64,0)</f>
        <v>1.37895944381954</v>
      </c>
    </row>
    <row r="65" customFormat="false" ht="14.25" hidden="false" customHeight="false" outlineLevel="0" collapsed="false">
      <c r="A65" s="61" t="n">
        <v>1905</v>
      </c>
      <c r="B65" s="50" t="n">
        <f aca="false">Economy!P64</f>
        <v>573.537568570215</v>
      </c>
      <c r="C65" s="48" t="n">
        <v>46810000</v>
      </c>
      <c r="D65" s="65" t="n">
        <f aca="false">Japan!B65</f>
        <v>1550</v>
      </c>
      <c r="E65" s="71" t="n">
        <v>0.75</v>
      </c>
      <c r="F65" s="50" t="n">
        <f aca="false">IF(C65&gt;0,D65*1000000/C65,0)</f>
        <v>33.112582781457</v>
      </c>
      <c r="G65" s="67" t="n">
        <f aca="false">IF(AND(E65&gt;0,F64&gt;0,B65&gt;0),MIN(conv_cap,conv_beta*jp_uplift*E65*MAX(0,LN(B65/(F64*H64)))),0)</f>
        <v>0.0178912579467866</v>
      </c>
      <c r="H65" s="68" t="n">
        <f aca="false">H64*(1+G65)</f>
        <v>1.67920349807689</v>
      </c>
      <c r="I65" s="50" t="n">
        <f aca="false">D65*H65</f>
        <v>2602.76542201919</v>
      </c>
      <c r="J65" s="70" t="n">
        <f aca="false">IF(C65&gt;0,I65*1000000/C65/Economy!Q65,0)</f>
        <v>0.191733671851666</v>
      </c>
      <c r="K65" s="65" t="n">
        <f aca="false">Gulf!B65</f>
        <v>7050000</v>
      </c>
      <c r="L65" s="50" t="n">
        <f aca="false">Gulf!B65*Gulf!C65*Economy!Q65/1000000</f>
        <v>1216.4775</v>
      </c>
      <c r="M65" s="71" t="n">
        <v>0.558</v>
      </c>
      <c r="N65" s="50" t="n">
        <f aca="false">IF(K65&gt;0,L65*1000000/K65,0)</f>
        <v>172.55</v>
      </c>
      <c r="O65" s="67" t="n">
        <f aca="false">IF(AND(M65&gt;0,N64&gt;0,B65&gt;0),MIN(conv_cap,conv_beta*1*M65*MAX(0,LN(B65/(N64*P64)))),0)</f>
        <v>0.0067624248031118</v>
      </c>
      <c r="P65" s="68" t="n">
        <f aca="false">P64*(1+O65)</f>
        <v>1.03308863745034</v>
      </c>
      <c r="Q65" s="50" t="n">
        <f aca="false">L65*P65</f>
        <v>1256.729082964</v>
      </c>
      <c r="R65" s="70" t="n">
        <f aca="false">IF(K65&gt;0,Q65*1000000/K65/Economy!Q65,0)</f>
        <v>0.614687739282955</v>
      </c>
      <c r="S65" s="65" t="n">
        <f aca="false">People!U65</f>
        <v>8094908</v>
      </c>
      <c r="T65" s="48" t="n">
        <v>320.339</v>
      </c>
      <c r="U65" s="71" t="n">
        <v>0.578</v>
      </c>
      <c r="V65" s="50" t="n">
        <f aca="false">IF(S65&gt;0,T65*1000000/S65,0)</f>
        <v>39.5729018785637</v>
      </c>
      <c r="W65" s="67" t="n">
        <f aca="false">IF(AND(U65&gt;0,V64&gt;0,B65&gt;0),MIN(conv_cap,conv_beta*1*U65*MAX(0,LN(B65/(V64*X64)))),0)</f>
        <v>0.0136815881767744</v>
      </c>
      <c r="X65" s="68" t="n">
        <f aca="false">X64*(1+W65)</f>
        <v>1.40422493865581</v>
      </c>
      <c r="Y65" s="50" t="n">
        <f aca="false">T65*X65</f>
        <v>449.828012624063</v>
      </c>
      <c r="Z65" s="70" t="n">
        <f aca="false">IF(S65&gt;0,Y65*1000000/S65/Economy!Q65,0)</f>
        <v>0.191618123147788</v>
      </c>
      <c r="AA65" s="48" t="n">
        <v>0</v>
      </c>
      <c r="AB65" s="48" t="n">
        <v>0</v>
      </c>
      <c r="AC65" s="71" t="n">
        <v>0</v>
      </c>
      <c r="AD65" s="50" t="n">
        <f aca="false">IF(AA65&gt;0,AB65*1000000/AA65,0)</f>
        <v>0</v>
      </c>
      <c r="AE65" s="67" t="n">
        <f aca="false">IF(AND(AC65&gt;0,AD64&gt;0,B65&gt;0),MIN(conv_cap,conv_beta*1*AC65*MAX(0,LN(B65/(AD64*AF64)))),0)</f>
        <v>0</v>
      </c>
      <c r="AF65" s="68" t="n">
        <f aca="false">AF64*(1+AE65)</f>
        <v>1</v>
      </c>
      <c r="AG65" s="50" t="n">
        <f aca="false">AB65*AF65</f>
        <v>0</v>
      </c>
      <c r="AH65" s="70" t="n">
        <f aca="false">IF(AA65&gt;0,AG65*1000000/AA65/Economy!Q65,0)</f>
        <v>0</v>
      </c>
      <c r="AI65" s="48" t="n">
        <v>411500000</v>
      </c>
      <c r="AJ65" s="48" t="n">
        <v>4385</v>
      </c>
      <c r="AK65" s="71" t="n">
        <v>0.221</v>
      </c>
      <c r="AL65" s="50" t="n">
        <f aca="false">IF(AI65&gt;0,AJ65*1000000/AI65,0)</f>
        <v>10.6561360874848</v>
      </c>
      <c r="AM65" s="67" t="n">
        <f aca="false">IF(AND(AK65&gt;0,AL64&gt;0,B65&gt;0),MIN(conv_cap,conv_beta*1*AK65*MAX(0,LN(B65/(AL64*AN64)))),0)</f>
        <v>0.00839774109099736</v>
      </c>
      <c r="AN65" s="68" t="n">
        <f aca="false">AN64*(1+AM65)</f>
        <v>1.22909517351951</v>
      </c>
      <c r="AO65" s="50" t="n">
        <f aca="false">AJ65*AN65</f>
        <v>5389.58233588307</v>
      </c>
      <c r="AP65" s="70" t="n">
        <f aca="false">IF(AI65&gt;0,AO65*1000000/AI65/Economy!Q65,0)</f>
        <v>0.0451634670120507</v>
      </c>
      <c r="AQ65" s="48" t="n">
        <v>13150000</v>
      </c>
      <c r="AR65" s="48" t="n">
        <v>308</v>
      </c>
      <c r="AS65" s="71" t="n">
        <v>0.5</v>
      </c>
      <c r="AT65" s="50" t="n">
        <f aca="false">IF(AQ65&gt;0,AR65*1000000/AQ65,0)</f>
        <v>23.4220532319392</v>
      </c>
      <c r="AU65" s="67" t="n">
        <f aca="false">IF(AND(AS65&gt;0,AT64&gt;0,B65&gt;0),MIN(conv_cap,conv_beta*1*AS65*MAX(0,LN(B65/(AT64*AV64)))),0)</f>
        <v>0.0148828018836858</v>
      </c>
      <c r="AV65" s="68" t="n">
        <f aca="false">AV64*(1+AU65)</f>
        <v>1.29492560930942</v>
      </c>
      <c r="AW65" s="50" t="n">
        <f aca="false">AR65*AV65</f>
        <v>398.837087667301</v>
      </c>
      <c r="AX65" s="70" t="n">
        <f aca="false">IF(AQ65&gt;0,AW65*1000000/AQ65/Economy!Q65,0)</f>
        <v>0.10458557431947</v>
      </c>
      <c r="AY65" s="48" t="n">
        <v>85800000</v>
      </c>
      <c r="AZ65" s="48" t="n">
        <v>2385</v>
      </c>
      <c r="BA65" s="71" t="n">
        <v>0.119</v>
      </c>
      <c r="BB65" s="50" t="n">
        <f aca="false">IF(AY65&gt;0,AZ65*1000000/AY65,0)</f>
        <v>27.7972027972028</v>
      </c>
      <c r="BC65" s="67" t="n">
        <f aca="false">IF(AND(BA65&gt;0,BB64&gt;0,B65&gt;0),MIN(conv_cap,conv_beta*1*BA65*MAX(0,LN(B65/(BB64*BD64)))),0)</f>
        <v>0.00355782427516458</v>
      </c>
      <c r="BD65" s="68" t="n">
        <f aca="false">BD64*(1+BC65)</f>
        <v>1.06120419110338</v>
      </c>
      <c r="BE65" s="50" t="n">
        <f aca="false">AZ65*BD65</f>
        <v>2530.97199578155</v>
      </c>
      <c r="BF65" s="70" t="n">
        <f aca="false">IF(AY65&gt;0,BE65*1000000/AY65/Economy!Q65,0)</f>
        <v>0.10171899348049</v>
      </c>
      <c r="BG65" s="48" t="n">
        <v>32700000</v>
      </c>
      <c r="BH65" s="48" t="n">
        <v>2777</v>
      </c>
      <c r="BI65" s="71" t="n">
        <v>0.233</v>
      </c>
      <c r="BJ65" s="50" t="n">
        <f aca="false">IF(BG65&gt;0,BH65*1000000/BG65,0)</f>
        <v>84.9235474006116</v>
      </c>
      <c r="BK65" s="67" t="n">
        <f aca="false">IF(AND(BI65&gt;0,BJ64&gt;0,B65&gt;0),MIN(conv_cap,conv_beta*1*BI65*MAX(0,LN(B65/(BJ64*BL64)))),0)</f>
        <v>0.00434212404246665</v>
      </c>
      <c r="BL65" s="68" t="n">
        <f aca="false">BL64*(1+BK65)</f>
        <v>1.0808168192116</v>
      </c>
      <c r="BM65" s="50" t="n">
        <f aca="false">BH65*BL65</f>
        <v>3001.42830695061</v>
      </c>
      <c r="BN65" s="70" t="n">
        <f aca="false">IF(BG65&gt;0,BM65*1000000/BG65/Economy!Q65,0)</f>
        <v>0.316506201302395</v>
      </c>
      <c r="BO65" s="48" t="n">
        <v>14800000</v>
      </c>
      <c r="BP65" s="48" t="n">
        <v>915</v>
      </c>
      <c r="BQ65" s="71" t="n">
        <v>0.05</v>
      </c>
      <c r="BR65" s="50" t="n">
        <f aca="false">IF(BO65&gt;0,BP65*1000000/BO65,0)</f>
        <v>61.8243243243243</v>
      </c>
      <c r="BS65" s="67" t="n">
        <f aca="false">IF(AND(BQ65&gt;0,BR64&gt;0,B65&gt;0),MIN(conv_cap,conv_beta*1*BQ65*MAX(0,LN(B65/(BR64*BT64)))),0)</f>
        <v>0.00111968941904563</v>
      </c>
      <c r="BT65" s="68" t="n">
        <f aca="false">BT64*(1+BS65)</f>
        <v>1.00111968941905</v>
      </c>
      <c r="BU65" s="50" t="n">
        <f aca="false">BP65*BT65</f>
        <v>916.024515818427</v>
      </c>
      <c r="BV65" s="70" t="n">
        <f aca="false">IF(BO65&gt;0,BU65*1000000/BO65/Economy!Q65,0)</f>
        <v>0.213426028848655</v>
      </c>
      <c r="BW65" s="68" t="n">
        <f aca="false">0.25*IF(D65&gt;0,H65,1)+0.15*IF(AJ65&gt;0,AN65,1)+0.03*IF(AR65&gt;0,AV65,1)+0.08*IF(AZ65&gt;0,BD65,1)+0.12*IF(BH65&gt;0,BL65,1)+0.1*IF(L65&gt;0,P65,1)+0.07*IF(T65&gt;0,X65,1)+0.05*IF(AB65&gt;0,AF65,1)+0.05*IF(BP65&gt;0,BT65,1)+0.1</f>
        <v>1.25926786634199</v>
      </c>
      <c r="BX65" s="66" t="n">
        <f aca="false">MIN(mkt_cap,mkt_elast*MAX(0,BW65-1))</f>
        <v>0.129633933170994</v>
      </c>
      <c r="BY65" s="50" t="n">
        <f aca="false">I65+Q65+Y65+AG65</f>
        <v>4309.32251760725</v>
      </c>
      <c r="BZ65" s="50" t="n">
        <f aca="false">D65+L65+T65+AB65</f>
        <v>3086.8165</v>
      </c>
      <c r="CA65" s="68" t="n">
        <f aca="false">IF(BZ65&gt;0,BY65/BZ65,0)</f>
        <v>1.39604104021319</v>
      </c>
    </row>
    <row r="66" customFormat="false" ht="14.25" hidden="false" customHeight="false" outlineLevel="0" collapsed="false">
      <c r="A66" s="61" t="n">
        <v>1906</v>
      </c>
      <c r="B66" s="50" t="n">
        <f aca="false">Economy!P65</f>
        <v>594.450087347389</v>
      </c>
      <c r="C66" s="48" t="n">
        <v>47370000</v>
      </c>
      <c r="D66" s="65" t="n">
        <f aca="false">Japan!B66</f>
        <v>1632</v>
      </c>
      <c r="E66" s="71" t="n">
        <v>0.756</v>
      </c>
      <c r="F66" s="50" t="n">
        <f aca="false">IF(C66&gt;0,D66*1000000/C66,0)</f>
        <v>34.4521849271691</v>
      </c>
      <c r="G66" s="67" t="n">
        <f aca="false">IF(AND(E66&gt;0,F65&gt;0,B66&gt;0),MIN(conv_cap,conv_beta*jp_uplift*E66*MAX(0,LN(B66/(F65*H65)))),0)</f>
        <v>0.0179126929392162</v>
      </c>
      <c r="H66" s="68" t="n">
        <f aca="false">H65*(1+G66)</f>
        <v>1.7092825547204</v>
      </c>
      <c r="I66" s="50" t="n">
        <f aca="false">D66*H66</f>
        <v>2789.5491293037</v>
      </c>
      <c r="J66" s="70" t="n">
        <f aca="false">IF(C66&gt;0,I66*1000000/C66/Economy!Q66,0)</f>
        <v>0.193077110386922</v>
      </c>
      <c r="K66" s="65" t="n">
        <f aca="false">Gulf!B66</f>
        <v>7240000</v>
      </c>
      <c r="L66" s="50" t="n">
        <f aca="false">Gulf!B66*Gulf!C66*Economy!Q66/1000000</f>
        <v>1320.5036</v>
      </c>
      <c r="M66" s="71" t="n">
        <v>0.569</v>
      </c>
      <c r="N66" s="50" t="n">
        <f aca="false">IF(K66&gt;0,L66*1000000/K66,0)</f>
        <v>182.39</v>
      </c>
      <c r="O66" s="67" t="n">
        <f aca="false">IF(AND(M66&gt;0,N65&gt;0,B66&gt;0),MIN(conv_cap,conv_beta*1*M66*MAX(0,LN(B66/(N65*P65)))),0)</f>
        <v>0.00685301729916201</v>
      </c>
      <c r="P66" s="68" t="n">
        <f aca="false">P65*(1+O66)</f>
        <v>1.04016841175436</v>
      </c>
      <c r="Q66" s="50" t="n">
        <f aca="false">L66*P66</f>
        <v>1373.54613232791</v>
      </c>
      <c r="R66" s="70" t="n">
        <f aca="false">IF(K66&gt;0,Q66*1000000/K66/Economy!Q66,0)</f>
        <v>0.622020710229107</v>
      </c>
      <c r="S66" s="65" t="n">
        <f aca="false">People!U66</f>
        <v>8277337</v>
      </c>
      <c r="T66" s="48" t="n">
        <v>333.534</v>
      </c>
      <c r="U66" s="71" t="n">
        <v>0.586</v>
      </c>
      <c r="V66" s="50" t="n">
        <f aca="false">IF(S66&gt;0,T66*1000000/S66,0)</f>
        <v>40.2948436193911</v>
      </c>
      <c r="W66" s="67" t="n">
        <f aca="false">IF(AND(U66&gt;0,V65&gt;0,B66&gt;0),MIN(conv_cap,conv_beta*1*U66*MAX(0,LN(B66/(V65*X65)))),0)</f>
        <v>0.0138882390377188</v>
      </c>
      <c r="X66" s="68" t="n">
        <f aca="false">X65*(1+W66)</f>
        <v>1.42372715026659</v>
      </c>
      <c r="Y66" s="50" t="n">
        <f aca="false">T66*X66</f>
        <v>474.861411337016</v>
      </c>
      <c r="Z66" s="70" t="n">
        <f aca="false">IF(S66&gt;0,Y66*1000000/S66/Economy!Q66,0)</f>
        <v>0.188094632382536</v>
      </c>
      <c r="AA66" s="48" t="n">
        <v>0</v>
      </c>
      <c r="AB66" s="48" t="n">
        <v>0</v>
      </c>
      <c r="AC66" s="71" t="n">
        <v>0</v>
      </c>
      <c r="AD66" s="50" t="n">
        <f aca="false">IF(AA66&gt;0,AB66*1000000/AA66,0)</f>
        <v>0</v>
      </c>
      <c r="AE66" s="67" t="n">
        <f aca="false">IF(AND(AC66&gt;0,AD65&gt;0,B66&gt;0),MIN(conv_cap,conv_beta*1*AC66*MAX(0,LN(B66/(AD65*AF65)))),0)</f>
        <v>0</v>
      </c>
      <c r="AF66" s="68" t="n">
        <f aca="false">AF65*(1+AE66)</f>
        <v>1</v>
      </c>
      <c r="AG66" s="50" t="n">
        <f aca="false">AB66*AF66</f>
        <v>0</v>
      </c>
      <c r="AH66" s="70" t="n">
        <f aca="false">IF(AA66&gt;0,AG66*1000000/AA66/Economy!Q66,0)</f>
        <v>0</v>
      </c>
      <c r="AI66" s="48" t="n">
        <v>413800000</v>
      </c>
      <c r="AJ66" s="48" t="n">
        <v>4462</v>
      </c>
      <c r="AK66" s="71" t="n">
        <v>0.225</v>
      </c>
      <c r="AL66" s="50" t="n">
        <f aca="false">IF(AI66&gt;0,AJ66*1000000/AI66,0)</f>
        <v>10.7829869502175</v>
      </c>
      <c r="AM66" s="67" t="n">
        <f aca="false">IF(AND(AK66&gt;0,AL65&gt;0,B66&gt;0),MIN(conv_cap,conv_beta*1*AK66*MAX(0,LN(B66/(AL65*AN65)))),0)</f>
        <v>0.00858425085711817</v>
      </c>
      <c r="AN66" s="68" t="n">
        <f aca="false">AN65*(1+AM66)</f>
        <v>1.23964603481628</v>
      </c>
      <c r="AO66" s="50" t="n">
        <f aca="false">AJ66*AN66</f>
        <v>5531.30060735023</v>
      </c>
      <c r="AP66" s="70" t="n">
        <f aca="false">IF(AI66&gt;0,AO66*1000000/AI66/Economy!Q66,0)</f>
        <v>0.0438265148075829</v>
      </c>
      <c r="AQ66" s="48" t="n">
        <v>13380000</v>
      </c>
      <c r="AR66" s="48" t="n">
        <v>319</v>
      </c>
      <c r="AS66" s="71" t="n">
        <v>0.504</v>
      </c>
      <c r="AT66" s="50" t="n">
        <f aca="false">IF(AQ66&gt;0,AR66*1000000/AQ66,0)</f>
        <v>23.8415545590434</v>
      </c>
      <c r="AU66" s="67" t="n">
        <f aca="false">IF(AND(AS66&gt;0,AT65&gt;0,B66&gt;0),MIN(conv_cap,conv_beta*1*AS66*MAX(0,LN(B66/(AT65*AV65)))),0)</f>
        <v>0.0149965476289782</v>
      </c>
      <c r="AV66" s="68" t="n">
        <f aca="false">AV65*(1+AU66)</f>
        <v>1.31434502288541</v>
      </c>
      <c r="AW66" s="50" t="n">
        <f aca="false">AR66*AV66</f>
        <v>419.276062300446</v>
      </c>
      <c r="AX66" s="70" t="n">
        <f aca="false">IF(AQ66&gt;0,AW66*1000000/AQ66/Economy!Q66,0)</f>
        <v>0.102741077286982</v>
      </c>
      <c r="AY66" s="48" t="n">
        <v>86900000</v>
      </c>
      <c r="AZ66" s="48" t="n">
        <v>2462</v>
      </c>
      <c r="BA66" s="71" t="n">
        <v>0.123</v>
      </c>
      <c r="BB66" s="50" t="n">
        <f aca="false">IF(AY66&gt;0,AZ66*1000000/AY66,0)</f>
        <v>28.331415420023</v>
      </c>
      <c r="BC66" s="67" t="n">
        <f aca="false">IF(AND(BA66&gt;0,BB65&gt;0,B66&gt;0),MIN(conv_cap,conv_beta*1*BA66*MAX(0,LN(B66/(BB65*BD65)))),0)</f>
        <v>0.00369405539086074</v>
      </c>
      <c r="BD66" s="68" t="n">
        <f aca="false">BD65*(1+BC66)</f>
        <v>1.06512433816632</v>
      </c>
      <c r="BE66" s="50" t="n">
        <f aca="false">AZ66*BD66</f>
        <v>2622.33612056549</v>
      </c>
      <c r="BF66" s="70" t="n">
        <f aca="false">IF(AY66&gt;0,BE66*1000000/AY66/Economy!Q66,0)</f>
        <v>0.0989392790116958</v>
      </c>
      <c r="BG66" s="48" t="n">
        <v>33200000</v>
      </c>
      <c r="BH66" s="48" t="n">
        <v>2892</v>
      </c>
      <c r="BI66" s="71" t="n">
        <v>0.242</v>
      </c>
      <c r="BJ66" s="50" t="n">
        <f aca="false">IF(BG66&gt;0,BH66*1000000/BG66,0)</f>
        <v>87.1084337349398</v>
      </c>
      <c r="BK66" s="67" t="n">
        <f aca="false">IF(AND(BI66&gt;0,BJ65&gt;0,B66&gt;0),MIN(conv_cap,conv_beta*1*BI66*MAX(0,LN(B66/(BJ65*BL65)))),0)</f>
        <v>0.00452096722908049</v>
      </c>
      <c r="BL66" s="68" t="n">
        <f aca="false">BL65*(1+BK66)</f>
        <v>1.08570315663189</v>
      </c>
      <c r="BM66" s="50" t="n">
        <f aca="false">BH66*BL66</f>
        <v>3139.85352897944</v>
      </c>
      <c r="BN66" s="70" t="n">
        <f aca="false">IF(BG66&gt;0,BM66*1000000/BG66/Economy!Q66,0)</f>
        <v>0.310078365492735</v>
      </c>
      <c r="BO66" s="48" t="n">
        <v>14900000</v>
      </c>
      <c r="BP66" s="48" t="n">
        <v>938</v>
      </c>
      <c r="BQ66" s="71" t="n">
        <v>0.056</v>
      </c>
      <c r="BR66" s="50" t="n">
        <f aca="false">IF(BO66&gt;0,BP66*1000000/BO66,0)</f>
        <v>62.9530201342282</v>
      </c>
      <c r="BS66" s="67" t="n">
        <f aca="false">IF(AND(BQ66&gt;0,BR65&gt;0,B66&gt;0),MIN(conv_cap,conv_beta*1*BQ66*MAX(0,LN(B66/(BR65*BT65)))),0)</f>
        <v>0.00126684365231361</v>
      </c>
      <c r="BT66" s="68" t="n">
        <f aca="false">BT65*(1+BS66)</f>
        <v>1.00238795154279</v>
      </c>
      <c r="BU66" s="50" t="n">
        <f aca="false">BP66*BT66</f>
        <v>940.239898547139</v>
      </c>
      <c r="BV66" s="70" t="n">
        <f aca="false">IF(BO66&gt;0,BU66*1000000/BO66/Economy!Q66,0)</f>
        <v>0.206896225887807</v>
      </c>
      <c r="BW66" s="68" t="n">
        <f aca="false">0.25*IF(D66&gt;0,H66,1)+0.15*IF(AJ66&gt;0,AN66,1)+0.03*IF(AR66&gt;0,AV66,1)+0.08*IF(AZ66&gt;0,BD66,1)+0.12*IF(BH66&gt;0,BL66,1)+0.1*IF(L66&gt;0,P66,1)+0.07*IF(T66&gt;0,X66,1)+0.05*IF(AB66&gt;0,AF66,1)+0.05*IF(BP66&gt;0,BT66,1)+0.1</f>
        <v>1.27198935970947</v>
      </c>
      <c r="BX66" s="66" t="n">
        <f aca="false">MIN(mkt_cap,mkt_elast*MAX(0,BW66-1))</f>
        <v>0.135994679854737</v>
      </c>
      <c r="BY66" s="50" t="n">
        <f aca="false">I66+Q66+Y66+AG66</f>
        <v>4637.95667296863</v>
      </c>
      <c r="BZ66" s="50" t="n">
        <f aca="false">D66+L66+T66+AB66</f>
        <v>3286.0376</v>
      </c>
      <c r="CA66" s="68" t="n">
        <f aca="false">IF(BZ66&gt;0,BY66/BZ66,0)</f>
        <v>1.41141314784975</v>
      </c>
    </row>
    <row r="67" customFormat="false" ht="14.25" hidden="false" customHeight="false" outlineLevel="0" collapsed="false">
      <c r="A67" s="61" t="n">
        <v>1907</v>
      </c>
      <c r="B67" s="50" t="n">
        <f aca="false">Economy!P66</f>
        <v>624.543169066081</v>
      </c>
      <c r="C67" s="48" t="n">
        <v>47930000</v>
      </c>
      <c r="D67" s="65" t="n">
        <f aca="false">Japan!B67</f>
        <v>1714</v>
      </c>
      <c r="E67" s="71" t="n">
        <v>0.761</v>
      </c>
      <c r="F67" s="50" t="n">
        <f aca="false">IF(C67&gt;0,D67*1000000/C67,0)</f>
        <v>35.7604840392239</v>
      </c>
      <c r="G67" s="67" t="n">
        <f aca="false">IF(AND(E67&gt;0,F66&gt;0,B67&gt;0),MIN(conv_cap,conv_beta*jp_uplift*E67*MAX(0,LN(B67/(F66*H66)))),0)</f>
        <v>0.0179700585033796</v>
      </c>
      <c r="H67" s="68" t="n">
        <f aca="false">H66*(1+G67)</f>
        <v>1.73999846222753</v>
      </c>
      <c r="I67" s="50" t="n">
        <f aca="false">D67*H67</f>
        <v>2982.35736425799</v>
      </c>
      <c r="J67" s="70" t="n">
        <f aca="false">IF(C67&gt;0,I67*1000000/C67/Economy!Q67,0)</f>
        <v>0.195057013281385</v>
      </c>
      <c r="K67" s="65" t="n">
        <f aca="false">Gulf!B67</f>
        <v>7430000</v>
      </c>
      <c r="L67" s="50" t="n">
        <f aca="false">Gulf!B67*Gulf!C67*Economy!Q67/1000000</f>
        <v>1426.84234</v>
      </c>
      <c r="M67" s="71" t="n">
        <v>0.581</v>
      </c>
      <c r="N67" s="50" t="n">
        <f aca="false">IF(K67&gt;0,L67*1000000/K67,0)</f>
        <v>192.038</v>
      </c>
      <c r="O67" s="67" t="n">
        <f aca="false">IF(AND(M67&gt;0,N66&gt;0,B67&gt;0),MIN(conv_cap,conv_beta*1*M67*MAX(0,LN(B67/(N66*P66)))),0)</f>
        <v>0.00692256019417998</v>
      </c>
      <c r="P67" s="68" t="n">
        <f aca="false">P66*(1+O67)</f>
        <v>1.04736904019681</v>
      </c>
      <c r="Q67" s="50" t="n">
        <f aca="false">L67*P67</f>
        <v>1494.43049215798</v>
      </c>
      <c r="R67" s="70" t="n">
        <f aca="false">IF(K67&gt;0,Q67*1000000/K67/Economy!Q67,0)</f>
        <v>0.630516162198482</v>
      </c>
      <c r="S67" s="65" t="n">
        <f aca="false">People!U67</f>
        <v>8459809</v>
      </c>
      <c r="T67" s="48" t="n">
        <v>347.747</v>
      </c>
      <c r="U67" s="71" t="n">
        <v>0.594</v>
      </c>
      <c r="V67" s="50" t="n">
        <f aca="false">IF(S67&gt;0,T67*1000000/S67,0)</f>
        <v>41.1057743738659</v>
      </c>
      <c r="W67" s="67" t="n">
        <f aca="false">IF(AND(U67&gt;0,V66&gt;0,B67&gt;0),MIN(conv_cap,conv_beta*1*U67*MAX(0,LN(B67/(V66*X66)))),0)</f>
        <v>0.0141818614072889</v>
      </c>
      <c r="X67" s="68" t="n">
        <f aca="false">X66*(1+W67)</f>
        <v>1.44391825139346</v>
      </c>
      <c r="Y67" s="50" t="n">
        <f aca="false">T67*X67</f>
        <v>502.118240167322</v>
      </c>
      <c r="Z67" s="70" t="n">
        <f aca="false">IF(S67&gt;0,Y67*1000000/S67/Economy!Q67,0)</f>
        <v>0.186060745630366</v>
      </c>
      <c r="AA67" s="48" t="n">
        <v>0</v>
      </c>
      <c r="AB67" s="48" t="n">
        <v>0</v>
      </c>
      <c r="AC67" s="71" t="n">
        <v>0</v>
      </c>
      <c r="AD67" s="50" t="n">
        <f aca="false">IF(AA67&gt;0,AB67*1000000/AA67,0)</f>
        <v>0</v>
      </c>
      <c r="AE67" s="67" t="n">
        <f aca="false">IF(AND(AC67&gt;0,AD66&gt;0,B67&gt;0),MIN(conv_cap,conv_beta*1*AC67*MAX(0,LN(B67/(AD66*AF66)))),0)</f>
        <v>0</v>
      </c>
      <c r="AF67" s="68" t="n">
        <f aca="false">AF66*(1+AE67)</f>
        <v>1</v>
      </c>
      <c r="AG67" s="50" t="n">
        <f aca="false">AB67*AF67</f>
        <v>0</v>
      </c>
      <c r="AH67" s="70" t="n">
        <f aca="false">IF(AA67&gt;0,AG67*1000000/AA67/Economy!Q67,0)</f>
        <v>0</v>
      </c>
      <c r="AI67" s="48" t="n">
        <v>416200000</v>
      </c>
      <c r="AJ67" s="48" t="n">
        <v>4538</v>
      </c>
      <c r="AK67" s="71" t="n">
        <v>0.229</v>
      </c>
      <c r="AL67" s="50" t="n">
        <f aca="false">IF(AI67&gt;0,AJ67*1000000/AI67,0)</f>
        <v>10.9034118212398</v>
      </c>
      <c r="AM67" s="67" t="n">
        <f aca="false">IF(AND(AK67&gt;0,AL66&gt;0,B67&gt;0),MIN(conv_cap,conv_beta*1*AK67*MAX(0,LN(B67/(AL66*AN66)))),0)</f>
        <v>0.00880327515892334</v>
      </c>
      <c r="AN67" s="68" t="n">
        <f aca="false">AN66*(1+AM67)</f>
        <v>1.25055897996043</v>
      </c>
      <c r="AO67" s="50" t="n">
        <f aca="false">AJ67*AN67</f>
        <v>5675.03665106045</v>
      </c>
      <c r="AP67" s="70" t="n">
        <f aca="false">IF(AI67&gt;0,AO67*1000000/AI67/Economy!Q67,0)</f>
        <v>0.0427440738722827</v>
      </c>
      <c r="AQ67" s="48" t="n">
        <v>13620000</v>
      </c>
      <c r="AR67" s="48" t="n">
        <v>331</v>
      </c>
      <c r="AS67" s="71" t="n">
        <v>0.508</v>
      </c>
      <c r="AT67" s="50" t="n">
        <f aca="false">IF(AQ67&gt;0,AR67*1000000/AQ67,0)</f>
        <v>24.302496328928</v>
      </c>
      <c r="AU67" s="67" t="n">
        <f aca="false">IF(AND(AS67&gt;0,AT66&gt;0,B67&gt;0),MIN(conv_cap,conv_beta*1*AS67*MAX(0,LN(B67/(AT66*AV66)))),0)</f>
        <v>0.0152006398796255</v>
      </c>
      <c r="AV67" s="68" t="n">
        <f aca="false">AV66*(1+AU67)</f>
        <v>1.33432390825587</v>
      </c>
      <c r="AW67" s="50" t="n">
        <f aca="false">AR67*AV67</f>
        <v>441.661213632693</v>
      </c>
      <c r="AX67" s="70" t="n">
        <f aca="false">IF(AQ67&gt;0,AW67*1000000/AQ67/Economy!Q67,0)</f>
        <v>0.101653297435703</v>
      </c>
      <c r="AY67" s="48" t="n">
        <v>88100000</v>
      </c>
      <c r="AZ67" s="48" t="n">
        <v>2538</v>
      </c>
      <c r="BA67" s="71" t="n">
        <v>0.127</v>
      </c>
      <c r="BB67" s="50" t="n">
        <f aca="false">IF(AY67&gt;0,AZ67*1000000/AY67,0)</f>
        <v>28.8081725312145</v>
      </c>
      <c r="BC67" s="67" t="n">
        <f aca="false">IF(AND(BA67&gt;0,BB66&gt;0,B67&gt;0),MIN(conv_cap,conv_beta*1*BA67*MAX(0,LN(B67/(BB66*BD66)))),0)</f>
        <v>0.00384804619862326</v>
      </c>
      <c r="BD67" s="68" t="n">
        <f aca="false">BD66*(1+BC67)</f>
        <v>1.06922298582687</v>
      </c>
      <c r="BE67" s="50" t="n">
        <f aca="false">AZ67*BD67</f>
        <v>2713.68793802859</v>
      </c>
      <c r="BF67" s="70" t="n">
        <f aca="false">IF(AY67&gt;0,BE67*1000000/AY67/Economy!Q67,0)</f>
        <v>0.09655912304088</v>
      </c>
      <c r="BG67" s="48" t="n">
        <v>33800000</v>
      </c>
      <c r="BH67" s="48" t="n">
        <v>3008</v>
      </c>
      <c r="BI67" s="71" t="n">
        <v>0.25</v>
      </c>
      <c r="BJ67" s="50" t="n">
        <f aca="false">IF(BG67&gt;0,BH67*1000000/BG67,0)</f>
        <v>88.9940828402367</v>
      </c>
      <c r="BK67" s="67" t="n">
        <f aca="false">IF(AND(BI67&gt;0,BJ66&gt;0,B67&gt;0),MIN(conv_cap,conv_beta*1*BI67*MAX(0,LN(B67/(BJ66*BL66)))),0)</f>
        <v>0.00471909724478226</v>
      </c>
      <c r="BL67" s="68" t="n">
        <f aca="false">BL66*(1+BK67)</f>
        <v>1.09082669540701</v>
      </c>
      <c r="BM67" s="50" t="n">
        <f aca="false">BH67*BL67</f>
        <v>3281.20669978428</v>
      </c>
      <c r="BN67" s="70" t="n">
        <f aca="false">IF(BG67&gt;0,BM67*1000000/BG67/Economy!Q67,0)</f>
        <v>0.304316994656404</v>
      </c>
      <c r="BO67" s="48" t="n">
        <v>15100000</v>
      </c>
      <c r="BP67" s="48" t="n">
        <v>962</v>
      </c>
      <c r="BQ67" s="71" t="n">
        <v>0.062</v>
      </c>
      <c r="BR67" s="50" t="n">
        <f aca="false">IF(BO67&gt;0,BP67*1000000/BO67,0)</f>
        <v>63.7086092715232</v>
      </c>
      <c r="BS67" s="67" t="n">
        <f aca="false">IF(AND(BQ67&gt;0,BR66&gt;0,B67&gt;0),MIN(conv_cap,conv_beta*1*BQ67*MAX(0,LN(B67/(BR66*BT66)))),0)</f>
        <v>0.00142119289944668</v>
      </c>
      <c r="BT67" s="68" t="n">
        <f aca="false">BT66*(1+BS67)</f>
        <v>1.00381253818202</v>
      </c>
      <c r="BU67" s="50" t="n">
        <f aca="false">BP67*BT67</f>
        <v>965.667661731099</v>
      </c>
      <c r="BV67" s="70" t="n">
        <f aca="false">IF(BO67&gt;0,BU67*1000000/BO67/Economy!Q67,0)</f>
        <v>0.200474924065498</v>
      </c>
      <c r="BW67" s="68" t="n">
        <f aca="false">0.25*IF(D67&gt;0,H67,1)+0.15*IF(AJ67&gt;0,AN67,1)+0.03*IF(AR67&gt;0,AV67,1)+0.08*IF(AZ67&gt;0,BD67,1)+0.12*IF(BH67&gt;0,BL67,1)+0.1*IF(L67&gt;0,P67,1)+0.07*IF(T67&gt;0,X67,1)+0.05*IF(AB67&gt;0,AF67,1)+0.05*IF(BP67&gt;0,BT67,1)+0.1</f>
        <v>1.28505203063994</v>
      </c>
      <c r="BX67" s="66" t="n">
        <f aca="false">MIN(mkt_cap,mkt_elast*MAX(0,BW67-1))</f>
        <v>0.14252601531997</v>
      </c>
      <c r="BY67" s="50" t="n">
        <f aca="false">I67+Q67+Y67+AG67</f>
        <v>4978.90609658329</v>
      </c>
      <c r="BZ67" s="50" t="n">
        <f aca="false">D67+L67+T67+AB67</f>
        <v>3488.58934</v>
      </c>
      <c r="CA67" s="68" t="n">
        <f aca="false">IF(BZ67&gt;0,BY67/BZ67,0)</f>
        <v>1.42719753210714</v>
      </c>
    </row>
    <row r="68" customFormat="false" ht="14.25" hidden="false" customHeight="false" outlineLevel="0" collapsed="false">
      <c r="A68" s="61" t="n">
        <v>1908</v>
      </c>
      <c r="B68" s="50" t="n">
        <f aca="false">Economy!P67</f>
        <v>646.691597600287</v>
      </c>
      <c r="C68" s="48" t="n">
        <v>48490000</v>
      </c>
      <c r="D68" s="65" t="n">
        <f aca="false">Japan!B68</f>
        <v>1796</v>
      </c>
      <c r="E68" s="71" t="n">
        <v>0.767</v>
      </c>
      <c r="F68" s="50" t="n">
        <f aca="false">IF(C68&gt;0,D68*1000000/C68,0)</f>
        <v>37.0385646525057</v>
      </c>
      <c r="G68" s="67" t="n">
        <f aca="false">IF(AND(E68&gt;0,F67&gt;0,B68&gt;0),MIN(conv_cap,conv_beta*jp_uplift*E68*MAX(0,LN(B68/(F67*H67)))),0)</f>
        <v>0.017956557607544</v>
      </c>
      <c r="H68" s="68" t="n">
        <f aca="false">H67*(1+G68)</f>
        <v>1.77124284485156</v>
      </c>
      <c r="I68" s="50" t="n">
        <f aca="false">D68*H68</f>
        <v>3181.1521493534</v>
      </c>
      <c r="J68" s="70" t="n">
        <f aca="false">IF(C68&gt;0,I68*1000000/C68/Economy!Q68,0)</f>
        <v>0.196420037797373</v>
      </c>
      <c r="K68" s="65" t="n">
        <f aca="false">Gulf!B68</f>
        <v>7620000</v>
      </c>
      <c r="L68" s="50" t="n">
        <f aca="false">Gulf!B68*Gulf!C68*Economy!Q68/1000000</f>
        <v>1539.7734</v>
      </c>
      <c r="M68" s="71" t="n">
        <v>0.592</v>
      </c>
      <c r="N68" s="50" t="n">
        <f aca="false">IF(K68&gt;0,L68*1000000/K68,0)</f>
        <v>202.07</v>
      </c>
      <c r="O68" s="67" t="n">
        <f aca="false">IF(AND(M68&gt;0,N67&gt;0,B68&gt;0),MIN(conv_cap,conv_beta*1*M68*MAX(0,LN(B68/(N67*P67)))),0)</f>
        <v>0.00691393782468378</v>
      </c>
      <c r="P68" s="68" t="n">
        <f aca="false">P67*(1+O68)</f>
        <v>1.05461048462023</v>
      </c>
      <c r="Q68" s="50" t="n">
        <f aca="false">L68*P68</f>
        <v>1623.86117157934</v>
      </c>
      <c r="R68" s="70" t="n">
        <f aca="false">IF(K68&gt;0,Q68*1000000/K68/Economy!Q68,0)</f>
        <v>0.638039343195241</v>
      </c>
      <c r="S68" s="65" t="n">
        <f aca="false">People!U68</f>
        <v>8642325</v>
      </c>
      <c r="T68" s="48" t="n">
        <v>360.944</v>
      </c>
      <c r="U68" s="71" t="n">
        <v>0.602</v>
      </c>
      <c r="V68" s="50" t="n">
        <f aca="false">IF(S68&gt;0,T68*1000000/S68,0)</f>
        <v>41.764687164623</v>
      </c>
      <c r="W68" s="67" t="n">
        <f aca="false">IF(AND(U68&gt;0,V67&gt;0,B68&gt;0),MIN(conv_cap,conv_beta*1*U68*MAX(0,LN(B68/(V67*X67)))),0)</f>
        <v>0.0143779301018115</v>
      </c>
      <c r="X68" s="68" t="n">
        <f aca="false">X67*(1+W68)</f>
        <v>1.46467880708473</v>
      </c>
      <c r="Y68" s="50" t="n">
        <f aca="false">T68*X68</f>
        <v>528.66702734439</v>
      </c>
      <c r="Z68" s="70" t="n">
        <f aca="false">IF(S68&gt;0,Y68*1000000/S68/Economy!Q68,0)</f>
        <v>0.183149258007625</v>
      </c>
      <c r="AA68" s="48" t="n">
        <v>0</v>
      </c>
      <c r="AB68" s="48" t="n">
        <v>0</v>
      </c>
      <c r="AC68" s="71" t="n">
        <v>0</v>
      </c>
      <c r="AD68" s="50" t="n">
        <f aca="false">IF(AA68&gt;0,AB68*1000000/AA68,0)</f>
        <v>0</v>
      </c>
      <c r="AE68" s="67" t="n">
        <f aca="false">IF(AND(AC68&gt;0,AD67&gt;0,B68&gt;0),MIN(conv_cap,conv_beta*1*AC68*MAX(0,LN(B68/(AD67*AF67)))),0)</f>
        <v>0</v>
      </c>
      <c r="AF68" s="68" t="n">
        <f aca="false">AF67*(1+AE68)</f>
        <v>1</v>
      </c>
      <c r="AG68" s="50" t="n">
        <f aca="false">AB68*AF68</f>
        <v>0</v>
      </c>
      <c r="AH68" s="70" t="n">
        <f aca="false">IF(AA68&gt;0,AG68*1000000/AA68/Economy!Q68,0)</f>
        <v>0</v>
      </c>
      <c r="AI68" s="48" t="n">
        <v>418500000</v>
      </c>
      <c r="AJ68" s="48" t="n">
        <v>4615</v>
      </c>
      <c r="AK68" s="71" t="n">
        <v>0.233</v>
      </c>
      <c r="AL68" s="50" t="n">
        <f aca="false">IF(AI68&gt;0,AJ68*1000000/AI68,0)</f>
        <v>11.0274790919952</v>
      </c>
      <c r="AM68" s="67" t="n">
        <f aca="false">IF(AND(AK68&gt;0,AL67&gt;0,B68&gt;0),MIN(conv_cap,conv_beta*1*AK68*MAX(0,LN(B68/(AL67*AN67)))),0)</f>
        <v>0.00899194329040782</v>
      </c>
      <c r="AN68" s="68" t="n">
        <f aca="false">AN67*(1+AM68)</f>
        <v>1.26180393538955</v>
      </c>
      <c r="AO68" s="50" t="n">
        <f aca="false">AJ68*AN68</f>
        <v>5823.22516182277</v>
      </c>
      <c r="AP68" s="70" t="n">
        <f aca="false">IF(AI68&gt;0,AO68*1000000/AI68/Economy!Q68,0)</f>
        <v>0.0416602290889387</v>
      </c>
      <c r="AQ68" s="48" t="n">
        <v>13850000</v>
      </c>
      <c r="AR68" s="48" t="n">
        <v>342</v>
      </c>
      <c r="AS68" s="71" t="n">
        <v>0.512</v>
      </c>
      <c r="AT68" s="50" t="n">
        <f aca="false">IF(AQ68&gt;0,AR68*1000000/AQ68,0)</f>
        <v>24.6931407942238</v>
      </c>
      <c r="AU68" s="67" t="n">
        <f aca="false">IF(AND(AS68&gt;0,AT67&gt;0,B68&gt;0),MIN(conv_cap,conv_beta*1*AS68*MAX(0,LN(B68/(AT67*AV67)))),0)</f>
        <v>0.015323472451449</v>
      </c>
      <c r="AV68" s="68" t="n">
        <f aca="false">AV67*(1+AU68)</f>
        <v>1.35477038390534</v>
      </c>
      <c r="AW68" s="50" t="n">
        <f aca="false">AR68*AV68</f>
        <v>463.331471295626</v>
      </c>
      <c r="AX68" s="70" t="n">
        <f aca="false">IF(AQ68&gt;0,AW68*1000000/AQ68/Economy!Q68,0)</f>
        <v>0.100160286927004</v>
      </c>
      <c r="AY68" s="48" t="n">
        <v>89200000</v>
      </c>
      <c r="AZ68" s="48" t="n">
        <v>2615</v>
      </c>
      <c r="BA68" s="71" t="n">
        <v>0.131</v>
      </c>
      <c r="BB68" s="50" t="n">
        <f aca="false">IF(AY68&gt;0,AZ68*1000000/AY68,0)</f>
        <v>29.3161434977578</v>
      </c>
      <c r="BC68" s="67" t="n">
        <f aca="false">IF(AND(BA68&gt;0,BB67&gt;0,B68&gt;0),MIN(conv_cap,conv_beta*1*BA68*MAX(0,LN(B68/(BB67*BD67)))),0)</f>
        <v>0.0039880044381983</v>
      </c>
      <c r="BD68" s="68" t="n">
        <f aca="false">BD67*(1+BC68)</f>
        <v>1.07348705183977</v>
      </c>
      <c r="BE68" s="50" t="n">
        <f aca="false">AZ68*BD68</f>
        <v>2807.16864056099</v>
      </c>
      <c r="BF68" s="70" t="n">
        <f aca="false">IF(AY68&gt;0,BE68*1000000/AY68/Economy!Q68,0)</f>
        <v>0.0942230552536516</v>
      </c>
      <c r="BG68" s="48" t="n">
        <v>34300000</v>
      </c>
      <c r="BH68" s="48" t="n">
        <v>3123</v>
      </c>
      <c r="BI68" s="71" t="n">
        <v>0.258</v>
      </c>
      <c r="BJ68" s="50" t="n">
        <f aca="false">IF(BG68&gt;0,BH68*1000000/BG68,0)</f>
        <v>91.0495626822158</v>
      </c>
      <c r="BK68" s="67" t="n">
        <f aca="false">IF(AND(BI68&gt;0,BJ67&gt;0,B68&gt;0),MIN(conv_cap,conv_beta*1*BI68*MAX(0,LN(B68/(BJ67*BL67)))),0)</f>
        <v>0.00489261857337175</v>
      </c>
      <c r="BL68" s="68" t="n">
        <f aca="false">BL67*(1+BK68)</f>
        <v>1.09616369435728</v>
      </c>
      <c r="BM68" s="50" t="n">
        <f aca="false">BH68*BL68</f>
        <v>3423.3192174778</v>
      </c>
      <c r="BN68" s="70" t="n">
        <f aca="false">IF(BG68&gt;0,BM68*1000000/BG68/Economy!Q68,0)</f>
        <v>0.298818038920218</v>
      </c>
      <c r="BO68" s="48" t="n">
        <v>15200000</v>
      </c>
      <c r="BP68" s="48" t="n">
        <v>985</v>
      </c>
      <c r="BQ68" s="71" t="n">
        <v>0.069</v>
      </c>
      <c r="BR68" s="50" t="n">
        <f aca="false">IF(BO68&gt;0,BP68*1000000/BO68,0)</f>
        <v>64.8026315789474</v>
      </c>
      <c r="BS68" s="67" t="n">
        <f aca="false">IF(AND(BQ68&gt;0,BR67&gt;0,B68&gt;0),MIN(conv_cap,conv_beta*1*BQ68*MAX(0,LN(B68/(BR67*BT67)))),0)</f>
        <v>0.00159648371874028</v>
      </c>
      <c r="BT68" s="68" t="n">
        <f aca="false">BT67*(1+BS68)</f>
        <v>1.00541510855589</v>
      </c>
      <c r="BU68" s="50" t="n">
        <f aca="false">BP68*BT68</f>
        <v>990.333881927552</v>
      </c>
      <c r="BV68" s="70" t="n">
        <f aca="false">IF(BO68&gt;0,BU68*1000000/BO68/Economy!Q68,0)</f>
        <v>0.195070493603757</v>
      </c>
      <c r="BW68" s="68" t="n">
        <f aca="false">0.25*IF(D68&gt;0,H68,1)+0.15*IF(AJ68&gt;0,AN68,1)+0.03*IF(AR68&gt;0,AV68,1)+0.08*IF(AZ68&gt;0,BD68,1)+0.12*IF(BH68&gt;0,BL68,1)+0.1*IF(L68&gt;0,P68,1)+0.07*IF(T68&gt;0,X68,1)+0.05*IF(AB68&gt;0,AF68,1)+0.05*IF(BP68&gt;0,BT68,1)+0.1</f>
        <v>1.29840234089429</v>
      </c>
      <c r="BX68" s="66" t="n">
        <f aca="false">MIN(mkt_cap,mkt_elast*MAX(0,BW68-1))</f>
        <v>0.149201170447144</v>
      </c>
      <c r="BY68" s="50" t="n">
        <f aca="false">I68+Q68+Y68+AG68</f>
        <v>5333.68034827714</v>
      </c>
      <c r="BZ68" s="50" t="n">
        <f aca="false">D68+L68+T68+AB68</f>
        <v>3696.7174</v>
      </c>
      <c r="CA68" s="68" t="n">
        <f aca="false">IF(BZ68&gt;0,BY68/BZ68,0)</f>
        <v>1.44281527938196</v>
      </c>
    </row>
    <row r="69" customFormat="false" ht="14.25" hidden="false" customHeight="false" outlineLevel="0" collapsed="false">
      <c r="A69" s="61" t="n">
        <v>1909</v>
      </c>
      <c r="B69" s="50" t="n">
        <f aca="false">Economy!P68</f>
        <v>655.186035267961</v>
      </c>
      <c r="C69" s="48" t="n">
        <v>49050000</v>
      </c>
      <c r="D69" s="65" t="n">
        <f aca="false">Japan!B69</f>
        <v>1878</v>
      </c>
      <c r="E69" s="71" t="n">
        <v>0.772</v>
      </c>
      <c r="F69" s="50" t="n">
        <f aca="false">IF(C69&gt;0,D69*1000000/C69,0)</f>
        <v>38.2874617737003</v>
      </c>
      <c r="G69" s="67" t="n">
        <f aca="false">IF(AND(E69&gt;0,F68&gt;0,B69&gt;0),MIN(conv_cap,conv_beta*jp_uplift*E69*MAX(0,LN(B69/(F68*H68)))),0)</f>
        <v>0.017765866842931</v>
      </c>
      <c r="H69" s="68" t="n">
        <f aca="false">H68*(1+G69)</f>
        <v>1.80271050937969</v>
      </c>
      <c r="I69" s="50" t="n">
        <f aca="false">D69*H69</f>
        <v>3385.49033661505</v>
      </c>
      <c r="J69" s="70" t="n">
        <f aca="false">IF(C69&gt;0,I69*1000000/C69/Economy!Q69,0)</f>
        <v>0.198336809531387</v>
      </c>
      <c r="K69" s="65" t="n">
        <f aca="false">Gulf!B69</f>
        <v>7810000</v>
      </c>
      <c r="L69" s="50" t="n">
        <f aca="false">Gulf!B69*Gulf!C69*Economy!Q69/1000000</f>
        <v>1652.47104</v>
      </c>
      <c r="M69" s="71" t="n">
        <v>0.604</v>
      </c>
      <c r="N69" s="50" t="n">
        <f aca="false">IF(K69&gt;0,L69*1000000/K69,0)</f>
        <v>211.584</v>
      </c>
      <c r="O69" s="67" t="n">
        <f aca="false">IF(AND(M69&gt;0,N68&gt;0,B69&gt;0),MIN(conv_cap,conv_beta*1*M69*MAX(0,LN(B69/(N68*P68)))),0)</f>
        <v>0.00678372668264832</v>
      </c>
      <c r="P69" s="68" t="n">
        <f aca="false">P68*(1+O69)</f>
        <v>1.06176467390455</v>
      </c>
      <c r="Q69" s="50" t="n">
        <f aca="false">L69*P69</f>
        <v>1754.53537492232</v>
      </c>
      <c r="R69" s="70" t="n">
        <f aca="false">IF(K69&gt;0,Q69*1000000/K69/Economy!Q69,0)</f>
        <v>0.645552921733968</v>
      </c>
      <c r="S69" s="65" t="n">
        <f aca="false">People!U69</f>
        <v>8824887</v>
      </c>
      <c r="T69" s="48" t="n">
        <v>374.143</v>
      </c>
      <c r="U69" s="71" t="n">
        <v>0.609</v>
      </c>
      <c r="V69" s="50" t="n">
        <f aca="false">IF(S69&gt;0,T69*1000000/S69,0)</f>
        <v>42.3963502308868</v>
      </c>
      <c r="W69" s="67" t="n">
        <f aca="false">IF(AND(U69&gt;0,V68&gt;0,B69&gt;0),MIN(conv_cap,conv_beta*1*U69*MAX(0,LN(B69/(V68*X68)))),0)</f>
        <v>0.0144408032861383</v>
      </c>
      <c r="X69" s="68" t="n">
        <f aca="false">X68*(1+W69)</f>
        <v>1.48582994561521</v>
      </c>
      <c r="Y69" s="50" t="n">
        <f aca="false">T69*X69</f>
        <v>555.912873342313</v>
      </c>
      <c r="Z69" s="70" t="n">
        <f aca="false">IF(S69&gt;0,Y69*1000000/S69/Economy!Q69,0)</f>
        <v>0.181016571143224</v>
      </c>
      <c r="AA69" s="48" t="n">
        <v>0</v>
      </c>
      <c r="AB69" s="48" t="n">
        <v>0</v>
      </c>
      <c r="AC69" s="71" t="n">
        <v>0</v>
      </c>
      <c r="AD69" s="50" t="n">
        <f aca="false">IF(AA69&gt;0,AB69*1000000/AA69,0)</f>
        <v>0</v>
      </c>
      <c r="AE69" s="67" t="n">
        <f aca="false">IF(AND(AC69&gt;0,AD68&gt;0,B69&gt;0),MIN(conv_cap,conv_beta*1*AC69*MAX(0,LN(B69/(AD68*AF68)))),0)</f>
        <v>0</v>
      </c>
      <c r="AF69" s="68" t="n">
        <f aca="false">AF68*(1+AE69)</f>
        <v>1</v>
      </c>
      <c r="AG69" s="50" t="n">
        <f aca="false">AB69*AF69</f>
        <v>0</v>
      </c>
      <c r="AH69" s="70" t="n">
        <f aca="false">IF(AA69&gt;0,AG69*1000000/AA69/Economy!Q69,0)</f>
        <v>0</v>
      </c>
      <c r="AI69" s="48" t="n">
        <v>420800000</v>
      </c>
      <c r="AJ69" s="48" t="n">
        <v>4692</v>
      </c>
      <c r="AK69" s="71" t="n">
        <v>0.237</v>
      </c>
      <c r="AL69" s="50" t="n">
        <f aca="false">IF(AI69&gt;0,AJ69*1000000/AI69,0)</f>
        <v>11.1501901140684</v>
      </c>
      <c r="AM69" s="67" t="n">
        <f aca="false">IF(AND(AK69&gt;0,AL68&gt;0,B69&gt;0),MIN(conv_cap,conv_beta*1*AK69*MAX(0,LN(B69/(AL68*AN68)))),0)</f>
        <v>0.00912920817040583</v>
      </c>
      <c r="AN69" s="68" t="n">
        <f aca="false">AN68*(1+AM69)</f>
        <v>1.27332320618596</v>
      </c>
      <c r="AO69" s="50" t="n">
        <f aca="false">AJ69*AN69</f>
        <v>5974.43248342451</v>
      </c>
      <c r="AP69" s="70" t="n">
        <f aca="false">IF(AI69&gt;0,AO69*1000000/AI69/Economy!Q69,0)</f>
        <v>0.0407982638667488</v>
      </c>
      <c r="AQ69" s="48" t="n">
        <v>14080000</v>
      </c>
      <c r="AR69" s="48" t="n">
        <v>354</v>
      </c>
      <c r="AS69" s="71" t="n">
        <v>0.517</v>
      </c>
      <c r="AT69" s="50" t="n">
        <f aca="false">IF(AQ69&gt;0,AR69*1000000/AQ69,0)</f>
        <v>25.1420454545455</v>
      </c>
      <c r="AU69" s="67" t="n">
        <f aca="false">IF(AND(AS69&gt;0,AT68&gt;0,B69&gt;0),MIN(conv_cap,conv_beta*1*AS69*MAX(0,LN(B69/(AT68*AV68)))),0)</f>
        <v>0.0153795181574869</v>
      </c>
      <c r="AV69" s="68" t="n">
        <f aca="false">AV68*(1+AU69)</f>
        <v>1.37560609962384</v>
      </c>
      <c r="AW69" s="50" t="n">
        <f aca="false">AR69*AV69</f>
        <v>486.964559266838</v>
      </c>
      <c r="AX69" s="70" t="n">
        <f aca="false">IF(AQ69&gt;0,AW69*1000000/AQ69/Economy!Q69,0)</f>
        <v>0.099383767483599</v>
      </c>
      <c r="AY69" s="48" t="n">
        <v>90400000</v>
      </c>
      <c r="AZ69" s="48" t="n">
        <v>2692</v>
      </c>
      <c r="BA69" s="71" t="n">
        <v>0.135</v>
      </c>
      <c r="BB69" s="50" t="n">
        <f aca="false">IF(AY69&gt;0,AZ69*1000000/AY69,0)</f>
        <v>29.7787610619469</v>
      </c>
      <c r="BC69" s="67" t="n">
        <f aca="false">IF(AND(BA69&gt;0,BB68&gt;0,B69&gt;0),MIN(conv_cap,conv_beta*1*BA69*MAX(0,LN(B69/(BB68*BD68)))),0)</f>
        <v>0.00409842261684654</v>
      </c>
      <c r="BD69" s="68" t="n">
        <f aca="false">BD68*(1+BC69)</f>
        <v>1.07788665545192</v>
      </c>
      <c r="BE69" s="50" t="n">
        <f aca="false">AZ69*BD69</f>
        <v>2901.67087647657</v>
      </c>
      <c r="BF69" s="70" t="n">
        <f aca="false">IF(AY69&gt;0,BE69*1000000/AY69/Economy!Q69,0)</f>
        <v>0.0922360033464477</v>
      </c>
      <c r="BG69" s="48" t="n">
        <v>34800000</v>
      </c>
      <c r="BH69" s="48" t="n">
        <v>3238</v>
      </c>
      <c r="BI69" s="71" t="n">
        <v>0.267</v>
      </c>
      <c r="BJ69" s="50" t="n">
        <f aca="false">IF(BG69&gt;0,BH69*1000000/BG69,0)</f>
        <v>93.0459770114943</v>
      </c>
      <c r="BK69" s="67" t="n">
        <f aca="false">IF(AND(BI69&gt;0,BJ68&gt;0,B69&gt;0),MIN(conv_cap,conv_beta*1*BI69*MAX(0,LN(B69/(BJ68*BL68)))),0)</f>
        <v>0.0050241354808552</v>
      </c>
      <c r="BL69" s="68" t="n">
        <f aca="false">BL68*(1+BK69)</f>
        <v>1.10167096926693</v>
      </c>
      <c r="BM69" s="50" t="n">
        <f aca="false">BH69*BL69</f>
        <v>3567.21059848632</v>
      </c>
      <c r="BN69" s="70" t="n">
        <f aca="false">IF(BG69&gt;0,BM69*1000000/BG69/Economy!Q69,0)</f>
        <v>0.294557619771958</v>
      </c>
      <c r="BO69" s="48" t="n">
        <v>15400000</v>
      </c>
      <c r="BP69" s="48" t="n">
        <v>1008</v>
      </c>
      <c r="BQ69" s="71" t="n">
        <v>0.075</v>
      </c>
      <c r="BR69" s="50" t="n">
        <f aca="false">IF(BO69&gt;0,BP69*1000000/BO69,0)</f>
        <v>65.4545454545455</v>
      </c>
      <c r="BS69" s="67" t="n">
        <f aca="false">IF(AND(BQ69&gt;0,BR68&gt;0,B69&gt;0),MIN(conv_cap,conv_beta*1*BQ69*MAX(0,LN(B69/(BR68*BT68)))),0)</f>
        <v>0.00173112937929522</v>
      </c>
      <c r="BT69" s="68" t="n">
        <f aca="false">BT68*(1+BS69)</f>
        <v>1.0071556121887</v>
      </c>
      <c r="BU69" s="50" t="n">
        <f aca="false">BP69*BT69</f>
        <v>1015.21285708621</v>
      </c>
      <c r="BV69" s="70" t="n">
        <f aca="false">IF(BO69&gt;0,BU69*1000000/BO69/Economy!Q69,0)</f>
        <v>0.189433657464959</v>
      </c>
      <c r="BW69" s="68" t="n">
        <f aca="false">0.25*IF(D69&gt;0,H69,1)+0.15*IF(AJ69&gt;0,AN69,1)+0.03*IF(AR69&gt;0,AV69,1)+0.08*IF(AZ69&gt;0,BD69,1)+0.12*IF(BH69&gt;0,BL69,1)+0.1*IF(L69&gt;0,P69,1)+0.07*IF(T69&gt;0,X69,1)+0.05*IF(AB69&gt;0,AF69,1)+0.05*IF(BP69&gt;0,BT69,1)+0.1</f>
        <v>1.31191808420267</v>
      </c>
      <c r="BX69" s="66" t="n">
        <f aca="false">MIN(mkt_cap,mkt_elast*MAX(0,BW69-1))</f>
        <v>0.155959042101336</v>
      </c>
      <c r="BY69" s="50" t="n">
        <f aca="false">I69+Q69+Y69+AG69</f>
        <v>5695.93858487968</v>
      </c>
      <c r="BZ69" s="50" t="n">
        <f aca="false">D69+L69+T69+AB69</f>
        <v>3904.61404</v>
      </c>
      <c r="CA69" s="68" t="n">
        <f aca="false">IF(BZ69&gt;0,BY69/BZ69,0)</f>
        <v>1.45877121951846</v>
      </c>
    </row>
    <row r="70" customFormat="false" ht="14.25" hidden="false" customHeight="false" outlineLevel="0" collapsed="false">
      <c r="A70" s="61" t="n">
        <v>1910</v>
      </c>
      <c r="B70" s="50" t="n">
        <f aca="false">Economy!P69</f>
        <v>721.710605637181</v>
      </c>
      <c r="C70" s="48" t="n">
        <v>49620000</v>
      </c>
      <c r="D70" s="65" t="n">
        <f aca="false">Japan!B70</f>
        <v>1960</v>
      </c>
      <c r="E70" s="71" t="n">
        <v>0.778</v>
      </c>
      <c r="F70" s="50" t="n">
        <f aca="false">IF(C70&gt;0,D70*1000000/C70,0)</f>
        <v>39.5002015316405</v>
      </c>
      <c r="G70" s="67" t="n">
        <f aca="false">IF(AND(E70&gt;0,F69&gt;0,B70&gt;0),MIN(conv_cap,conv_beta*jp_uplift*E70*MAX(0,LN(B70/(F69*H69)))),0)</f>
        <v>0.018261296840107</v>
      </c>
      <c r="H70" s="68" t="n">
        <f aca="false">H69*(1+G70)</f>
        <v>1.83563034110825</v>
      </c>
      <c r="I70" s="50" t="n">
        <f aca="false">D70*H70</f>
        <v>3597.83546857217</v>
      </c>
      <c r="J70" s="70" t="n">
        <f aca="false">IF(C70&gt;0,I70*1000000/C70/Economy!Q70,0)</f>
        <v>0.199745918488622</v>
      </c>
      <c r="K70" s="65" t="n">
        <f aca="false">Gulf!B70</f>
        <v>8000000</v>
      </c>
      <c r="L70" s="50" t="n">
        <f aca="false">Gulf!B70*Gulf!C70*Economy!Q70/1000000</f>
        <v>1774.344</v>
      </c>
      <c r="M70" s="71" t="n">
        <v>0.615</v>
      </c>
      <c r="N70" s="50" t="n">
        <f aca="false">IF(K70&gt;0,L70*1000000/K70,0)</f>
        <v>221.793</v>
      </c>
      <c r="O70" s="67" t="n">
        <f aca="false">IF(AND(M70&gt;0,N69&gt;0,B70&gt;0),MIN(conv_cap,conv_beta*1*M70*MAX(0,LN(B70/(N69*P69)))),0)</f>
        <v>0.00717747952805982</v>
      </c>
      <c r="P70" s="68" t="n">
        <f aca="false">P69*(1+O70)</f>
        <v>1.06938546811512</v>
      </c>
      <c r="Q70" s="50" t="n">
        <f aca="false">L70*P70</f>
        <v>1897.45768903725</v>
      </c>
      <c r="R70" s="70" t="n">
        <f aca="false">IF(K70&gt;0,Q70*1000000/K70/Economy!Q70,0)</f>
        <v>0.653394521018338</v>
      </c>
      <c r="S70" s="65" t="n">
        <f aca="false">People!U70</f>
        <v>9007495</v>
      </c>
      <c r="T70" s="48" t="n">
        <v>387.343</v>
      </c>
      <c r="U70" s="71" t="n">
        <v>0.617</v>
      </c>
      <c r="V70" s="50" t="n">
        <f aca="false">IF(S70&gt;0,T70*1000000/S70,0)</f>
        <v>43.0022997514847</v>
      </c>
      <c r="W70" s="67" t="n">
        <f aca="false">IF(AND(U70&gt;0,V69&gt;0,B70&gt;0),MIN(conv_cap,conv_beta*1*U70*MAX(0,LN(B70/(V69*X69)))),0)</f>
        <v>0.0150460907622883</v>
      </c>
      <c r="X70" s="68" t="n">
        <f aca="false">X69*(1+W70)</f>
        <v>1.50818587783427</v>
      </c>
      <c r="Y70" s="50" t="n">
        <f aca="false">T70*X70</f>
        <v>584.185242477958</v>
      </c>
      <c r="Z70" s="70" t="n">
        <f aca="false">IF(S70&gt;0,Y70*1000000/S70/Economy!Q70,0)</f>
        <v>0.178665182368003</v>
      </c>
      <c r="AA70" s="48" t="n">
        <v>0</v>
      </c>
      <c r="AB70" s="48" t="n">
        <v>0</v>
      </c>
      <c r="AC70" s="71" t="n">
        <v>0</v>
      </c>
      <c r="AD70" s="50" t="n">
        <f aca="false">IF(AA70&gt;0,AB70*1000000/AA70,0)</f>
        <v>0</v>
      </c>
      <c r="AE70" s="67" t="n">
        <f aca="false">IF(AND(AC70&gt;0,AD69&gt;0,B70&gt;0),MIN(conv_cap,conv_beta*1*AC70*MAX(0,LN(B70/(AD69*AF69)))),0)</f>
        <v>0</v>
      </c>
      <c r="AF70" s="68" t="n">
        <f aca="false">AF69*(1+AE70)</f>
        <v>1</v>
      </c>
      <c r="AG70" s="50" t="n">
        <f aca="false">AB70*AF70</f>
        <v>0</v>
      </c>
      <c r="AH70" s="70" t="n">
        <f aca="false">IF(AA70&gt;0,AG70*1000000/AA70/Economy!Q70,0)</f>
        <v>0</v>
      </c>
      <c r="AI70" s="48" t="n">
        <v>423100000</v>
      </c>
      <c r="AJ70" s="48" t="n">
        <v>4769</v>
      </c>
      <c r="AK70" s="71" t="n">
        <v>0.242</v>
      </c>
      <c r="AL70" s="50" t="n">
        <f aca="false">IF(AI70&gt;0,AJ70*1000000/AI70,0)</f>
        <v>11.2715670054361</v>
      </c>
      <c r="AM70" s="67" t="n">
        <f aca="false">IF(AND(AK70&gt;0,AL69&gt;0,B70&gt;0),MIN(conv_cap,conv_beta*1*AK70*MAX(0,LN(B70/(AL69*AN69)))),0)</f>
        <v>0.0095070607652775</v>
      </c>
      <c r="AN70" s="68" t="n">
        <f aca="false">AN69*(1+AM70)</f>
        <v>1.285428767281</v>
      </c>
      <c r="AO70" s="50" t="n">
        <f aca="false">AJ70*AN70</f>
        <v>6130.20979116311</v>
      </c>
      <c r="AP70" s="70" t="n">
        <f aca="false">IF(AI70&gt;0,AO70*1000000/AI70/Economy!Q70,0)</f>
        <v>0.0399140398929006</v>
      </c>
      <c r="AQ70" s="48" t="n">
        <v>14310000</v>
      </c>
      <c r="AR70" s="48" t="n">
        <v>365</v>
      </c>
      <c r="AS70" s="71" t="n">
        <v>0.521</v>
      </c>
      <c r="AT70" s="50" t="n">
        <f aca="false">IF(AQ70&gt;0,AR70*1000000/AQ70,0)</f>
        <v>25.5066387141859</v>
      </c>
      <c r="AU70" s="67" t="n">
        <f aca="false">IF(AND(AS70&gt;0,AT69&gt;0,B70&gt;0),MIN(conv_cap,conv_beta*1*AS70*MAX(0,LN(B70/(AT69*AV69)))),0)</f>
        <v>0.0158289607262286</v>
      </c>
      <c r="AV70" s="68" t="n">
        <f aca="false">AV69*(1+AU70)</f>
        <v>1.39738051454954</v>
      </c>
      <c r="AW70" s="50" t="n">
        <f aca="false">AR70*AV70</f>
        <v>510.043887810583</v>
      </c>
      <c r="AX70" s="70" t="n">
        <f aca="false">IF(AQ70&gt;0,AW70*1000000/AQ70/Economy!Q70,0)</f>
        <v>0.0981886499472681</v>
      </c>
      <c r="AY70" s="48" t="n">
        <v>91500000</v>
      </c>
      <c r="AZ70" s="48" t="n">
        <v>2769</v>
      </c>
      <c r="BA70" s="71" t="n">
        <v>0.138</v>
      </c>
      <c r="BB70" s="50" t="n">
        <f aca="false">IF(AY70&gt;0,AZ70*1000000/AY70,0)</f>
        <v>30.2622950819672</v>
      </c>
      <c r="BC70" s="67" t="n">
        <f aca="false">IF(AND(BA70&gt;0,BB69&gt;0,B70&gt;0),MIN(conv_cap,conv_beta*1*BA70*MAX(0,LN(B70/(BB69*BD69)))),0)</f>
        <v>0.00429570055394336</v>
      </c>
      <c r="BD70" s="68" t="n">
        <f aca="false">BD69*(1+BC70)</f>
        <v>1.08251693375483</v>
      </c>
      <c r="BE70" s="50" t="n">
        <f aca="false">AZ70*BD70</f>
        <v>2997.48938956713</v>
      </c>
      <c r="BF70" s="70" t="n">
        <f aca="false">IF(AY70&gt;0,BE70*1000000/AY70/Economy!Q70,0)</f>
        <v>0.0902464101391601</v>
      </c>
      <c r="BG70" s="48" t="n">
        <v>35400000</v>
      </c>
      <c r="BH70" s="48" t="n">
        <v>3354</v>
      </c>
      <c r="BI70" s="71" t="n">
        <v>0.275</v>
      </c>
      <c r="BJ70" s="50" t="n">
        <f aca="false">IF(BG70&gt;0,BH70*1000000/BG70,0)</f>
        <v>94.7457627118644</v>
      </c>
      <c r="BK70" s="67" t="n">
        <f aca="false">IF(AND(BI70&gt;0,BJ69&gt;0,B70&gt;0),MIN(conv_cap,conv_beta*1*BI70*MAX(0,LN(B70/(BJ69*BL69)))),0)</f>
        <v>0.00536718159368093</v>
      </c>
      <c r="BL70" s="68" t="n">
        <f aca="false">BL69*(1+BK70)</f>
        <v>1.10758383741547</v>
      </c>
      <c r="BM70" s="50" t="n">
        <f aca="false">BH70*BL70</f>
        <v>3714.83619069149</v>
      </c>
      <c r="BN70" s="70" t="n">
        <f aca="false">IF(BG70&gt;0,BM70*1000000/BG70/Economy!Q70,0)</f>
        <v>0.289087811138464</v>
      </c>
      <c r="BO70" s="48" t="n">
        <v>15500000</v>
      </c>
      <c r="BP70" s="48" t="n">
        <v>1031</v>
      </c>
      <c r="BQ70" s="71" t="n">
        <v>0.081</v>
      </c>
      <c r="BR70" s="50" t="n">
        <f aca="false">IF(BO70&gt;0,BP70*1000000/BO70,0)</f>
        <v>66.5161290322581</v>
      </c>
      <c r="BS70" s="67" t="n">
        <f aca="false">IF(AND(BQ70&gt;0,BR69&gt;0,B70&gt;0),MIN(conv_cap,conv_beta*1*BQ70*MAX(0,LN(B70/(BR69*BT69)))),0)</f>
        <v>0.00193844191271008</v>
      </c>
      <c r="BT70" s="68" t="n">
        <f aca="false">BT69*(1+BS70)</f>
        <v>1.00910792483999</v>
      </c>
      <c r="BU70" s="50" t="n">
        <f aca="false">BP70*BT70</f>
        <v>1040.39027051003</v>
      </c>
      <c r="BV70" s="70" t="n">
        <f aca="false">IF(BO70&gt;0,BU70*1000000/BO70/Economy!Q70,0)</f>
        <v>0.184908961256558</v>
      </c>
      <c r="BW70" s="68" t="n">
        <f aca="false">0.25*IF(D70&gt;0,H70,1)+0.15*IF(AJ70&gt;0,AN70,1)+0.03*IF(AR70&gt;0,AV70,1)+0.08*IF(AZ70&gt;0,BD70,1)+0.12*IF(BH70&gt;0,BL70,1)+0.1*IF(L70&gt;0,P70,1)+0.07*IF(T70&gt;0,X70,1)+0.05*IF(AB70&gt;0,AF70,1)+0.05*IF(BP70&gt;0,BT70,1)+0.1</f>
        <v>1.32612168549785</v>
      </c>
      <c r="BX70" s="66" t="n">
        <f aca="false">MIN(mkt_cap,mkt_elast*MAX(0,BW70-1))</f>
        <v>0.163060842748927</v>
      </c>
      <c r="BY70" s="50" t="n">
        <f aca="false">I70+Q70+Y70+AG70</f>
        <v>6079.47840008738</v>
      </c>
      <c r="BZ70" s="50" t="n">
        <f aca="false">D70+L70+T70+AB70</f>
        <v>4121.687</v>
      </c>
      <c r="CA70" s="68" t="n">
        <f aca="false">IF(BZ70&gt;0,BY70/BZ70,0)</f>
        <v>1.47499759202661</v>
      </c>
    </row>
    <row r="71" customFormat="false" ht="14.25" hidden="false" customHeight="false" outlineLevel="0" collapsed="false">
      <c r="A71" s="61" t="n">
        <v>1911</v>
      </c>
      <c r="B71" s="50" t="n">
        <f aca="false">Economy!P70</f>
        <v>756.662078657563</v>
      </c>
      <c r="C71" s="48" t="n">
        <v>50180000</v>
      </c>
      <c r="D71" s="65" t="n">
        <f aca="false">Japan!B71</f>
        <v>2140</v>
      </c>
      <c r="E71" s="71" t="n">
        <v>0.783</v>
      </c>
      <c r="F71" s="50" t="n">
        <f aca="false">IF(C71&gt;0,D71*1000000/C71,0)</f>
        <v>42.6464726982862</v>
      </c>
      <c r="G71" s="67" t="n">
        <f aca="false">IF(AND(E71&gt;0,F70&gt;0,B71&gt;0),MIN(conv_cap,conv_beta*jp_uplift*E71*MAX(0,LN(B71/(F70*H70)))),0)</f>
        <v>0.0183630964949576</v>
      </c>
      <c r="H71" s="68" t="n">
        <f aca="false">H70*(1+G71)</f>
        <v>1.86933819819109</v>
      </c>
      <c r="I71" s="50" t="n">
        <f aca="false">D71*H71</f>
        <v>4000.38374412894</v>
      </c>
      <c r="J71" s="70" t="n">
        <f aca="false">IF(C71&gt;0,I71*1000000/C71/Economy!Q71,0)</f>
        <v>0.212023086258032</v>
      </c>
      <c r="K71" s="65" t="n">
        <f aca="false">Gulf!B71</f>
        <v>8140000</v>
      </c>
      <c r="L71" s="50" t="n">
        <f aca="false">Gulf!B71*Gulf!C71*Economy!Q71/1000000</f>
        <v>1879.23296</v>
      </c>
      <c r="M71" s="71" t="n">
        <v>0.627</v>
      </c>
      <c r="N71" s="50" t="n">
        <f aca="false">IF(K71&gt;0,L71*1000000/K71,0)</f>
        <v>230.864</v>
      </c>
      <c r="O71" s="67" t="n">
        <f aca="false">IF(AND(M71&gt;0,N70&gt;0,B71&gt;0),MIN(conv_cap,conv_beta*1*M71*MAX(0,LN(B71/(N70*P70)))),0)</f>
        <v>0.0072737523197044</v>
      </c>
      <c r="P71" s="68" t="n">
        <f aca="false">P70*(1+O71)</f>
        <v>1.07716391314448</v>
      </c>
      <c r="Q71" s="50" t="n">
        <f aca="false">L71*P71</f>
        <v>2024.24192890368</v>
      </c>
      <c r="R71" s="70" t="n">
        <f aca="false">IF(K71&gt;0,Q71*1000000/K71/Economy!Q71,0)</f>
        <v>0.661378642670711</v>
      </c>
      <c r="S71" s="65" t="n">
        <f aca="false">People!U71</f>
        <v>9190150</v>
      </c>
      <c r="T71" s="48" t="n">
        <v>400.544</v>
      </c>
      <c r="U71" s="71" t="n">
        <v>0.625</v>
      </c>
      <c r="V71" s="50" t="n">
        <f aca="false">IF(S71&gt;0,T71*1000000/S71,0)</f>
        <v>43.5840546672252</v>
      </c>
      <c r="W71" s="67" t="n">
        <f aca="false">IF(AND(U71&gt;0,V70&gt;0,B71&gt;0),MIN(conv_cap,conv_beta*1*U71*MAX(0,LN(B71/(V70*X70)))),0)</f>
        <v>0.015354722739573</v>
      </c>
      <c r="X71" s="68" t="n">
        <f aca="false">X70*(1+W71)</f>
        <v>1.53134365382815</v>
      </c>
      <c r="Y71" s="50" t="n">
        <f aca="false">T71*X71</f>
        <v>613.370512478942</v>
      </c>
      <c r="Z71" s="70" t="n">
        <f aca="false">IF(S71&gt;0,Y71*1000000/S71/Economy!Q71,0)</f>
        <v>0.177505759369028</v>
      </c>
      <c r="AA71" s="48" t="n">
        <v>0</v>
      </c>
      <c r="AB71" s="48" t="n">
        <v>0</v>
      </c>
      <c r="AC71" s="71" t="n">
        <v>0</v>
      </c>
      <c r="AD71" s="50" t="n">
        <f aca="false">IF(AA71&gt;0,AB71*1000000/AA71,0)</f>
        <v>0</v>
      </c>
      <c r="AE71" s="67" t="n">
        <f aca="false">IF(AND(AC71&gt;0,AD70&gt;0,B71&gt;0),MIN(conv_cap,conv_beta*1*AC71*MAX(0,LN(B71/(AD70*AF70)))),0)</f>
        <v>0</v>
      </c>
      <c r="AF71" s="68" t="n">
        <f aca="false">AF70*(1+AE71)</f>
        <v>1</v>
      </c>
      <c r="AG71" s="50" t="n">
        <f aca="false">AB71*AF71</f>
        <v>0</v>
      </c>
      <c r="AH71" s="70" t="n">
        <f aca="false">IF(AA71&gt;0,AG71*1000000/AA71/Economy!Q71,0)</f>
        <v>0</v>
      </c>
      <c r="AI71" s="48" t="n">
        <v>425400000</v>
      </c>
      <c r="AJ71" s="48" t="n">
        <v>4846</v>
      </c>
      <c r="AK71" s="71" t="n">
        <v>0.246</v>
      </c>
      <c r="AL71" s="50" t="n">
        <f aca="false">IF(AI71&gt;0,AJ71*1000000/AI71,0)</f>
        <v>11.3916314057358</v>
      </c>
      <c r="AM71" s="67" t="n">
        <f aca="false">IF(AND(AK71&gt;0,AL70&gt;0,B71&gt;0),MIN(conv_cap,conv_beta*1*AK71*MAX(0,LN(B71/(AL70*AN70)))),0)</f>
        <v>0.00973063101754188</v>
      </c>
      <c r="AN71" s="68" t="n">
        <f aca="false">AN70*(1+AM71)</f>
        <v>1.29793680031475</v>
      </c>
      <c r="AO71" s="50" t="n">
        <f aca="false">AJ71*AN71</f>
        <v>6289.80173432528</v>
      </c>
      <c r="AP71" s="70" t="n">
        <f aca="false">IF(AI71&gt;0,AO71*1000000/AI71/Economy!Q71,0)</f>
        <v>0.0393234511093769</v>
      </c>
      <c r="AQ71" s="48" t="n">
        <v>14540000</v>
      </c>
      <c r="AR71" s="48" t="n">
        <v>377</v>
      </c>
      <c r="AS71" s="71" t="n">
        <v>0.525</v>
      </c>
      <c r="AT71" s="50" t="n">
        <f aca="false">IF(AQ71&gt;0,AR71*1000000/AQ71,0)</f>
        <v>25.9284731774415</v>
      </c>
      <c r="AU71" s="67" t="n">
        <f aca="false">IF(AND(AS71&gt;0,AT70&gt;0,B71&gt;0),MIN(conv_cap,conv_beta*1*AS71*MAX(0,LN(B71/(AT70*AV70)))),0)</f>
        <v>0.0160407375206542</v>
      </c>
      <c r="AV71" s="68" t="n">
        <f aca="false">AV70*(1+AU71)</f>
        <v>1.41979552859991</v>
      </c>
      <c r="AW71" s="50" t="n">
        <f aca="false">AR71*AV71</f>
        <v>535.262914282165</v>
      </c>
      <c r="AX71" s="70" t="n">
        <f aca="false">IF(AQ71&gt;0,AW71*1000000/AQ71/Economy!Q71,0)</f>
        <v>0.0979072613849844</v>
      </c>
      <c r="AY71" s="48" t="n">
        <v>92700000</v>
      </c>
      <c r="AZ71" s="48" t="n">
        <v>2846</v>
      </c>
      <c r="BA71" s="71" t="n">
        <v>0.142</v>
      </c>
      <c r="BB71" s="50" t="n">
        <f aca="false">IF(AY71&gt;0,AZ71*1000000/AY71,0)</f>
        <v>30.7011866235167</v>
      </c>
      <c r="BC71" s="67" t="n">
        <f aca="false">IF(AND(BA71&gt;0,BB70&gt;0,B71&gt;0),MIN(conv_cap,conv_beta*1*BA71*MAX(0,LN(B71/(BB70*BD70)))),0)</f>
        <v>0.00445841004455243</v>
      </c>
      <c r="BD71" s="68" t="n">
        <f aca="false">BD70*(1+BC71)</f>
        <v>1.08734323812568</v>
      </c>
      <c r="BE71" s="50" t="n">
        <f aca="false">AZ71*BD71</f>
        <v>3094.57885570569</v>
      </c>
      <c r="BF71" s="70" t="n">
        <f aca="false">IF(AY71&gt;0,BE71*1000000/AY71/Economy!Q71,0)</f>
        <v>0.0887838502061585</v>
      </c>
      <c r="BG71" s="48" t="n">
        <v>35900000</v>
      </c>
      <c r="BH71" s="48" t="n">
        <v>3469</v>
      </c>
      <c r="BI71" s="71" t="n">
        <v>0.283</v>
      </c>
      <c r="BJ71" s="50" t="n">
        <f aca="false">IF(BG71&gt;0,BH71*1000000/BG71,0)</f>
        <v>96.6295264623956</v>
      </c>
      <c r="BK71" s="67" t="n">
        <f aca="false">IF(AND(BI71&gt;0,BJ70&gt;0,B71&gt;0),MIN(conv_cap,conv_beta*1*BI71*MAX(0,LN(B71/(BJ70*BL70)))),0)</f>
        <v>0.00559077456720642</v>
      </c>
      <c r="BL71" s="68" t="n">
        <f aca="false">BL70*(1+BK71)</f>
        <v>1.11377608896474</v>
      </c>
      <c r="BM71" s="50" t="n">
        <f aca="false">BH71*BL71</f>
        <v>3863.6892526187</v>
      </c>
      <c r="BN71" s="70" t="n">
        <f aca="false">IF(BG71&gt;0,BM71*1000000/BG71/Economy!Q71,0)</f>
        <v>0.286233127823942</v>
      </c>
      <c r="BO71" s="48" t="n">
        <v>15700000</v>
      </c>
      <c r="BP71" s="48" t="n">
        <v>1054</v>
      </c>
      <c r="BQ71" s="71" t="n">
        <v>0.088</v>
      </c>
      <c r="BR71" s="50" t="n">
        <f aca="false">IF(BO71&gt;0,BP71*1000000/BO71,0)</f>
        <v>67.1337579617835</v>
      </c>
      <c r="BS71" s="67" t="n">
        <f aca="false">IF(AND(BQ71&gt;0,BR70&gt;0,B71&gt;0),MIN(conv_cap,conv_beta*1*BQ71*MAX(0,LN(B71/(BR70*BT70)))),0)</f>
        <v>0.00213171692836718</v>
      </c>
      <c r="BT71" s="68" t="n">
        <f aca="false">BT70*(1+BS71)</f>
        <v>1.01125905728592</v>
      </c>
      <c r="BU71" s="50" t="n">
        <f aca="false">BP71*BT71</f>
        <v>1065.86704637936</v>
      </c>
      <c r="BV71" s="70" t="n">
        <f aca="false">IF(BO71&gt;0,BU71*1000000/BO71/Economy!Q71,0)</f>
        <v>0.180557502097059</v>
      </c>
      <c r="BW71" s="68" t="n">
        <f aca="false">0.25*IF(D71&gt;0,H71,1)+0.15*IF(AJ71&gt;0,AN71,1)+0.03*IF(AR71&gt;0,AV71,1)+0.08*IF(AZ71&gt;0,BD71,1)+0.12*IF(BH71&gt;0,BL71,1)+0.1*IF(L71&gt;0,P71,1)+0.07*IF(T71&gt;0,X71,1)+0.05*IF(AB71&gt;0,AF71,1)+0.05*IF(BP71&gt;0,BT71,1)+0.1</f>
        <v>1.34073292512552</v>
      </c>
      <c r="BX71" s="66" t="n">
        <f aca="false">MIN(mkt_cap,mkt_elast*MAX(0,BW71-1))</f>
        <v>0.170366462562761</v>
      </c>
      <c r="BY71" s="50" t="n">
        <f aca="false">I71+Q71+Y71+AG71</f>
        <v>6637.99618551157</v>
      </c>
      <c r="BZ71" s="50" t="n">
        <f aca="false">D71+L71+T71+AB71</f>
        <v>4419.77696</v>
      </c>
      <c r="CA71" s="68" t="n">
        <f aca="false">IF(BZ71&gt;0,BY71/BZ71,0)</f>
        <v>1.50188487916629</v>
      </c>
    </row>
    <row r="72" customFormat="false" ht="14.25" hidden="false" customHeight="false" outlineLevel="0" collapsed="false">
      <c r="A72" s="61" t="n">
        <v>1912</v>
      </c>
      <c r="B72" s="50" t="n">
        <f aca="false">Economy!P71</f>
        <v>789.178307964107</v>
      </c>
      <c r="C72" s="48" t="n">
        <v>50740000</v>
      </c>
      <c r="D72" s="65" t="n">
        <f aca="false">Japan!B72</f>
        <v>2320</v>
      </c>
      <c r="E72" s="71" t="n">
        <v>0.789</v>
      </c>
      <c r="F72" s="50" t="n">
        <f aca="false">IF(C72&gt;0,D72*1000000/C72,0)</f>
        <v>45.7232952305873</v>
      </c>
      <c r="G72" s="67" t="n">
        <f aca="false">IF(AND(E72&gt;0,F71&gt;0,B72&gt;0),MIN(conv_cap,conv_beta*jp_uplift*E72*MAX(0,LN(B72/(F71*H71)))),0)</f>
        <v>0.0180875350982742</v>
      </c>
      <c r="H72" s="68" t="n">
        <f aca="false">H71*(1+G72)</f>
        <v>1.90314991846142</v>
      </c>
      <c r="I72" s="50" t="n">
        <f aca="false">D72*H72</f>
        <v>4415.3078108305</v>
      </c>
      <c r="J72" s="70" t="n">
        <f aca="false">IF(C72&gt;0,I72*1000000/C72/Economy!Q72,0)</f>
        <v>0.22312380920482</v>
      </c>
      <c r="K72" s="65" t="n">
        <f aca="false">Gulf!B72</f>
        <v>8280000</v>
      </c>
      <c r="L72" s="50" t="n">
        <f aca="false">Gulf!B72*Gulf!C72*Economy!Q72/1000000</f>
        <v>1992.4164</v>
      </c>
      <c r="M72" s="71" t="n">
        <v>0.638</v>
      </c>
      <c r="N72" s="50" t="n">
        <f aca="false">IF(K72&gt;0,L72*1000000/K72,0)</f>
        <v>240.63</v>
      </c>
      <c r="O72" s="67" t="n">
        <f aca="false">IF(AND(M72&gt;0,N71&gt;0,B72&gt;0),MIN(conv_cap,conv_beta*1*M72*MAX(0,LN(B72/(N71*P71)))),0)</f>
        <v>0.00736782761338002</v>
      </c>
      <c r="P72" s="68" t="n">
        <f aca="false">P71*(1+O72)</f>
        <v>1.08510027116788</v>
      </c>
      <c r="Q72" s="50" t="n">
        <f aca="false">L72*P72</f>
        <v>2161.97157591934</v>
      </c>
      <c r="R72" s="70" t="n">
        <f aca="false">IF(K72&gt;0,Q72*1000000/K72/Economy!Q72,0)</f>
        <v>0.669506867310583</v>
      </c>
      <c r="S72" s="65" t="n">
        <f aca="false">People!U72</f>
        <v>9372853</v>
      </c>
      <c r="T72" s="48" t="n">
        <v>413.747</v>
      </c>
      <c r="U72" s="71" t="n">
        <v>0.632</v>
      </c>
      <c r="V72" s="50" t="n">
        <f aca="false">IF(S72&gt;0,T72*1000000/S72,0)</f>
        <v>44.1431226970059</v>
      </c>
      <c r="W72" s="67" t="n">
        <f aca="false">IF(AND(U72&gt;0,V71&gt;0,B72&gt;0),MIN(conv_cap,conv_beta*1*U72*MAX(0,LN(B72/(V71*X71)))),0)</f>
        <v>0.0156113819239721</v>
      </c>
      <c r="X72" s="68" t="n">
        <f aca="false">X71*(1+W72)</f>
        <v>1.55525004446491</v>
      </c>
      <c r="Y72" s="50" t="n">
        <f aca="false">T72*X72</f>
        <v>643.480040147224</v>
      </c>
      <c r="Z72" s="70" t="n">
        <f aca="false">IF(S72&gt;0,Y72*1000000/S72/Economy!Q72,0)</f>
        <v>0.176034855223945</v>
      </c>
      <c r="AA72" s="48" t="n">
        <v>0</v>
      </c>
      <c r="AB72" s="48" t="n">
        <v>0</v>
      </c>
      <c r="AC72" s="71" t="n">
        <v>0</v>
      </c>
      <c r="AD72" s="50" t="n">
        <f aca="false">IF(AA72&gt;0,AB72*1000000/AA72,0)</f>
        <v>0</v>
      </c>
      <c r="AE72" s="67" t="n">
        <f aca="false">IF(AND(AC72&gt;0,AD71&gt;0,B72&gt;0),MIN(conv_cap,conv_beta*1*AC72*MAX(0,LN(B72/(AD71*AF71)))),0)</f>
        <v>0</v>
      </c>
      <c r="AF72" s="68" t="n">
        <f aca="false">AF71*(1+AE72)</f>
        <v>1</v>
      </c>
      <c r="AG72" s="50" t="n">
        <f aca="false">AB72*AF72</f>
        <v>0</v>
      </c>
      <c r="AH72" s="70" t="n">
        <f aca="false">IF(AA72&gt;0,AG72*1000000/AA72/Economy!Q72,0)</f>
        <v>0</v>
      </c>
      <c r="AI72" s="48" t="n">
        <v>427700000</v>
      </c>
      <c r="AJ72" s="48" t="n">
        <v>4923</v>
      </c>
      <c r="AK72" s="71" t="n">
        <v>0.25</v>
      </c>
      <c r="AL72" s="50" t="n">
        <f aca="false">IF(AI72&gt;0,AJ72*1000000/AI72,0)</f>
        <v>11.5104044891279</v>
      </c>
      <c r="AM72" s="67" t="n">
        <f aca="false">IF(AND(AK72&gt;0,AL71&gt;0,B72&gt;0),MIN(conv_cap,conv_beta*1*AK72*MAX(0,LN(B72/(AL71*AN71)))),0)</f>
        <v>0.00994334340501708</v>
      </c>
      <c r="AN72" s="68" t="n">
        <f aca="false">AN71*(1+AM72)</f>
        <v>1.31084263163829</v>
      </c>
      <c r="AO72" s="50" t="n">
        <f aca="false">AJ72*AN72</f>
        <v>6453.27827555529</v>
      </c>
      <c r="AP72" s="70" t="n">
        <f aca="false">IF(AI72&gt;0,AO72*1000000/AI72/Economy!Q72,0)</f>
        <v>0.0386880228506399</v>
      </c>
      <c r="AQ72" s="48" t="n">
        <v>14770000</v>
      </c>
      <c r="AR72" s="48" t="n">
        <v>388</v>
      </c>
      <c r="AS72" s="71" t="n">
        <v>0.529</v>
      </c>
      <c r="AT72" s="50" t="n">
        <f aca="false">IF(AQ72&gt;0,AR72*1000000/AQ72,0)</f>
        <v>26.2694651320244</v>
      </c>
      <c r="AU72" s="67" t="n">
        <f aca="false">IF(AND(AS72&gt;0,AT71&gt;0,B72&gt;0),MIN(conv_cap,conv_beta*1*AS72*MAX(0,LN(B72/(AT71*AV71)))),0)</f>
        <v>0.0162145784595528</v>
      </c>
      <c r="AV72" s="68" t="n">
        <f aca="false">AV71*(1+AU72)</f>
        <v>1.44281691459491</v>
      </c>
      <c r="AW72" s="50" t="n">
        <f aca="false">AR72*AV72</f>
        <v>559.812962862826</v>
      </c>
      <c r="AX72" s="70" t="n">
        <f aca="false">IF(AQ72&gt;0,AW72*1000000/AQ72/Economy!Q72,0)</f>
        <v>0.0971846887944771</v>
      </c>
      <c r="AY72" s="48" t="n">
        <v>93800000</v>
      </c>
      <c r="AZ72" s="48" t="n">
        <v>2923</v>
      </c>
      <c r="BA72" s="71" t="n">
        <v>0.146</v>
      </c>
      <c r="BB72" s="50" t="n">
        <f aca="false">IF(AY72&gt;0,AZ72*1000000/AY72,0)</f>
        <v>31.1620469083156</v>
      </c>
      <c r="BC72" s="67" t="n">
        <f aca="false">IF(AND(BA72&gt;0,BB71&gt;0,B72&gt;0),MIN(conv_cap,conv_beta*1*BA72*MAX(0,LN(B72/(BB71*BD71)))),0)</f>
        <v>0.00461791233899384</v>
      </c>
      <c r="BD72" s="68" t="n">
        <f aca="false">BD71*(1+BC72)</f>
        <v>1.09236449388175</v>
      </c>
      <c r="BE72" s="50" t="n">
        <f aca="false">AZ72*BD72</f>
        <v>3192.98141561634</v>
      </c>
      <c r="BF72" s="70" t="n">
        <f aca="false">IF(AY72&gt;0,BE72*1000000/AY72/Economy!Q72,0)</f>
        <v>0.0872828553828752</v>
      </c>
      <c r="BG72" s="48" t="n">
        <v>36500000</v>
      </c>
      <c r="BH72" s="48" t="n">
        <v>3585</v>
      </c>
      <c r="BI72" s="71" t="n">
        <v>0.292</v>
      </c>
      <c r="BJ72" s="50" t="n">
        <f aca="false">IF(BG72&gt;0,BH72*1000000/BG72,0)</f>
        <v>98.2191780821918</v>
      </c>
      <c r="BK72" s="67" t="n">
        <f aca="false">IF(AND(BI72&gt;0,BJ71&gt;0,B72&gt;0),MIN(conv_cap,conv_beta*1*BI72*MAX(0,LN(B72/(BJ71*BL71)))),0)</f>
        <v>0.0058176672916944</v>
      </c>
      <c r="BL72" s="68" t="n">
        <f aca="false">BL71*(1+BK72)</f>
        <v>1.12025566768779</v>
      </c>
      <c r="BM72" s="50" t="n">
        <f aca="false">BH72*BL72</f>
        <v>4016.11656866071</v>
      </c>
      <c r="BN72" s="70" t="n">
        <f aca="false">IF(BG72&gt;0,BM72*1000000/BG72/Economy!Q72,0)</f>
        <v>0.282129720313362</v>
      </c>
      <c r="BO72" s="48" t="n">
        <v>15800000</v>
      </c>
      <c r="BP72" s="48" t="n">
        <v>1077</v>
      </c>
      <c r="BQ72" s="71" t="n">
        <v>0.094</v>
      </c>
      <c r="BR72" s="50" t="n">
        <f aca="false">IF(BO72&gt;0,BP72*1000000/BO72,0)</f>
        <v>68.1645569620253</v>
      </c>
      <c r="BS72" s="67" t="n">
        <f aca="false">IF(AND(BQ72&gt;0,BR71&gt;0,B72&gt;0),MIN(conv_cap,conv_beta*1*BQ72*MAX(0,LN(B72/(BR71*BT71)))),0)</f>
        <v>0.00230592257753843</v>
      </c>
      <c r="BT72" s="68" t="n">
        <f aca="false">BT71*(1+BS72)</f>
        <v>1.01359094237785</v>
      </c>
      <c r="BU72" s="50" t="n">
        <f aca="false">BP72*BT72</f>
        <v>1091.63744494095</v>
      </c>
      <c r="BV72" s="70" t="n">
        <f aca="false">IF(BO72&gt;0,BU72*1000000/BO72/Economy!Q72,0)</f>
        <v>0.177156352635662</v>
      </c>
      <c r="BW72" s="68" t="n">
        <f aca="false">0.25*IF(D72&gt;0,H72,1)+0.15*IF(AJ72&gt;0,AN72,1)+0.03*IF(AR72&gt;0,AV72,1)+0.08*IF(AZ72&gt;0,BD72,1)+0.12*IF(BH72&gt;0,BL72,1)+0.1*IF(L72&gt;0,P72,1)+0.07*IF(T72&gt;0,X72,1)+0.05*IF(AB72&gt;0,AF72,1)+0.05*IF(BP72&gt;0,BT72,1)+0.1</f>
        <v>1.35557529878024</v>
      </c>
      <c r="BX72" s="66" t="n">
        <f aca="false">MIN(mkt_cap,mkt_elast*MAX(0,BW72-1))</f>
        <v>0.177787649390122</v>
      </c>
      <c r="BY72" s="50" t="n">
        <f aca="false">I72+Q72+Y72+AG72</f>
        <v>7220.75942689706</v>
      </c>
      <c r="BZ72" s="50" t="n">
        <f aca="false">D72+L72+T72+AB72</f>
        <v>4726.1634</v>
      </c>
      <c r="CA72" s="68" t="n">
        <f aca="false">IF(BZ72&gt;0,BY72/BZ72,0)</f>
        <v>1.52782686838484</v>
      </c>
    </row>
    <row r="73" customFormat="false" ht="14.25" hidden="false" customHeight="false" outlineLevel="0" collapsed="false">
      <c r="A73" s="61" t="n">
        <v>1913</v>
      </c>
      <c r="B73" s="50" t="n">
        <f aca="false">Economy!P72</f>
        <v>823.575184273162</v>
      </c>
      <c r="C73" s="48" t="n">
        <v>51300000</v>
      </c>
      <c r="D73" s="65" t="n">
        <f aca="false">Japan!B73</f>
        <v>2500</v>
      </c>
      <c r="E73" s="71" t="n">
        <v>0.794</v>
      </c>
      <c r="F73" s="50" t="n">
        <f aca="false">IF(C73&gt;0,D73*1000000/C73,0)</f>
        <v>48.7329434697856</v>
      </c>
      <c r="G73" s="67" t="n">
        <f aca="false">IF(AND(E73&gt;0,F72&gt;0,B73&gt;0),MIN(conv_cap,conv_beta*jp_uplift*E73*MAX(0,LN(B73/(F72*H72)))),0)</f>
        <v>0.0178454403509974</v>
      </c>
      <c r="H73" s="68" t="n">
        <f aca="false">H72*(1+G73)</f>
        <v>1.93711246681033</v>
      </c>
      <c r="I73" s="50" t="n">
        <f aca="false">D73*H73</f>
        <v>4842.78116702582</v>
      </c>
      <c r="J73" s="70" t="n">
        <f aca="false">IF(C73&gt;0,I73*1000000/C73/Economy!Q73,0)</f>
        <v>0.234246134837927</v>
      </c>
      <c r="K73" s="65" t="n">
        <f aca="false">Gulf!B73</f>
        <v>8420000</v>
      </c>
      <c r="L73" s="50" t="n">
        <f aca="false">Gulf!B73*Gulf!C73*Economy!Q73/1000000</f>
        <v>2103.8212</v>
      </c>
      <c r="M73" s="71" t="n">
        <v>0.65</v>
      </c>
      <c r="N73" s="50" t="n">
        <f aca="false">IF(K73&gt;0,L73*1000000/K73,0)</f>
        <v>249.86</v>
      </c>
      <c r="O73" s="67" t="n">
        <f aca="false">IF(AND(M73&gt;0,N72&gt;0,B73&gt;0),MIN(conv_cap,conv_beta*1*M73*MAX(0,LN(B73/(N72*P72)))),0)</f>
        <v>0.00746669274849891</v>
      </c>
      <c r="P73" s="68" t="n">
        <f aca="false">P72*(1+O73)</f>
        <v>1.09320238149401</v>
      </c>
      <c r="Q73" s="50" t="n">
        <f aca="false">L73*P73</f>
        <v>2299.90234607758</v>
      </c>
      <c r="R73" s="70" t="n">
        <f aca="false">IF(K73&gt;0,Q73*1000000/K73/Economy!Q73,0)</f>
        <v>0.677785476526283</v>
      </c>
      <c r="S73" s="65" t="n">
        <f aca="false">People!U73</f>
        <v>9555604</v>
      </c>
      <c r="T73" s="48" t="n">
        <v>426.953</v>
      </c>
      <c r="U73" s="71" t="n">
        <v>0.64</v>
      </c>
      <c r="V73" s="50" t="n">
        <f aca="false">IF(S73&gt;0,T73*1000000/S73,0)</f>
        <v>44.6809013851976</v>
      </c>
      <c r="W73" s="67" t="n">
        <f aca="false">IF(AND(U73&gt;0,V72&gt;0,B73&gt;0),MIN(conv_cap,conv_beta*1*U73*MAX(0,LN(B73/(V72*X72)))),0)</f>
        <v>0.0159013207506076</v>
      </c>
      <c r="X73" s="68" t="n">
        <f aca="false">X72*(1+W73)</f>
        <v>1.57998057426935</v>
      </c>
      <c r="Y73" s="50" t="n">
        <f aca="false">T73*X73</f>
        <v>674.57744612602</v>
      </c>
      <c r="Z73" s="70" t="n">
        <f aca="false">IF(S73&gt;0,Y73*1000000/S73/Economy!Q73,0)</f>
        <v>0.175173588658701</v>
      </c>
      <c r="AA73" s="48" t="n">
        <v>0</v>
      </c>
      <c r="AB73" s="48" t="n">
        <v>0</v>
      </c>
      <c r="AC73" s="71" t="n">
        <v>0</v>
      </c>
      <c r="AD73" s="50" t="n">
        <f aca="false">IF(AA73&gt;0,AB73*1000000/AA73,0)</f>
        <v>0</v>
      </c>
      <c r="AE73" s="67" t="n">
        <f aca="false">IF(AND(AC73&gt;0,AD72&gt;0,B73&gt;0),MIN(conv_cap,conv_beta*1*AC73*MAX(0,LN(B73/(AD72*AF72)))),0)</f>
        <v>0</v>
      </c>
      <c r="AF73" s="68" t="n">
        <f aca="false">AF72*(1+AE73)</f>
        <v>1</v>
      </c>
      <c r="AG73" s="50" t="n">
        <f aca="false">AB73*AF73</f>
        <v>0</v>
      </c>
      <c r="AH73" s="70" t="n">
        <f aca="false">IF(AA73&gt;0,AG73*1000000/AA73/Economy!Q73,0)</f>
        <v>0</v>
      </c>
      <c r="AI73" s="48" t="n">
        <v>430000000</v>
      </c>
      <c r="AJ73" s="48" t="n">
        <v>5000</v>
      </c>
      <c r="AK73" s="71" t="n">
        <v>0.255</v>
      </c>
      <c r="AL73" s="50" t="n">
        <f aca="false">IF(AI73&gt;0,AJ73*1000000/AI73,0)</f>
        <v>11.6279069767442</v>
      </c>
      <c r="AM73" s="67" t="n">
        <f aca="false">IF(AND(AK73&gt;0,AL72&gt;0,B73&gt;0),MIN(conv_cap,conv_beta*1*AK73*MAX(0,LN(B73/(AL72*AN72)))),0)</f>
        <v>0.0101993199626519</v>
      </c>
      <c r="AN73" s="68" t="n">
        <f aca="false">AN72*(1+AM73)</f>
        <v>1.32421233505905</v>
      </c>
      <c r="AO73" s="50" t="n">
        <f aca="false">AJ73*AN73</f>
        <v>6621.06167529526</v>
      </c>
      <c r="AP73" s="70" t="n">
        <f aca="false">IF(AI73&gt;0,AO73*1000000/AI73/Economy!Q73,0)</f>
        <v>0.0382079847382726</v>
      </c>
      <c r="AQ73" s="48" t="n">
        <v>15000000</v>
      </c>
      <c r="AR73" s="48" t="n">
        <v>400</v>
      </c>
      <c r="AS73" s="71" t="n">
        <v>0.533</v>
      </c>
      <c r="AT73" s="50" t="n">
        <f aca="false">IF(AQ73&gt;0,AR73*1000000/AQ73,0)</f>
        <v>26.6666666666667</v>
      </c>
      <c r="AU73" s="67" t="n">
        <f aca="false">IF(AND(AS73&gt;0,AT72&gt;0,B73&gt;0),MIN(conv_cap,conv_beta*1*AS73*MAX(0,LN(B73/(AT72*AV72)))),0)</f>
        <v>0.0164092056053906</v>
      </c>
      <c r="AV73" s="68" t="n">
        <f aca="false">AV72*(1+AU73)</f>
        <v>1.46649239399744</v>
      </c>
      <c r="AW73" s="50" t="n">
        <f aca="false">AR73*AV73</f>
        <v>586.596957598975</v>
      </c>
      <c r="AX73" s="70" t="n">
        <f aca="false">IF(AQ73&gt;0,AW73*1000000/AQ73/Economy!Q73,0)</f>
        <v>0.0970383718112448</v>
      </c>
      <c r="AY73" s="48" t="n">
        <v>95000000</v>
      </c>
      <c r="AZ73" s="48" t="n">
        <v>3000</v>
      </c>
      <c r="BA73" s="71" t="n">
        <v>0.15</v>
      </c>
      <c r="BB73" s="50" t="n">
        <f aca="false">IF(AY73&gt;0,AZ73*1000000/AY73,0)</f>
        <v>31.5789473684211</v>
      </c>
      <c r="BC73" s="67" t="n">
        <f aca="false">IF(AND(BA73&gt;0,BB72&gt;0,B73&gt;0),MIN(conv_cap,conv_beta*1*BA73*MAX(0,LN(B73/(BB72*BD72)))),0)</f>
        <v>0.00477916399134899</v>
      </c>
      <c r="BD73" s="68" t="n">
        <f aca="false">BD72*(1+BC73)</f>
        <v>1.09758508293633</v>
      </c>
      <c r="BE73" s="50" t="n">
        <f aca="false">AZ73*BD73</f>
        <v>3292.755248809</v>
      </c>
      <c r="BF73" s="70" t="n">
        <f aca="false">IF(AY73&gt;0,BE73*1000000/AY73/Economy!Q73,0)</f>
        <v>0.0860064058719864</v>
      </c>
      <c r="BG73" s="48" t="n">
        <v>37000000</v>
      </c>
      <c r="BH73" s="48" t="n">
        <v>3700</v>
      </c>
      <c r="BI73" s="71" t="n">
        <v>0.3</v>
      </c>
      <c r="BJ73" s="50" t="n">
        <f aca="false">IF(BG73&gt;0,BH73*1000000/BG73,0)</f>
        <v>100</v>
      </c>
      <c r="BK73" s="67" t="n">
        <f aca="false">IF(AND(BI73&gt;0,BJ72&gt;0,B73&gt;0),MIN(conv_cap,conv_beta*1*BI73*MAX(0,LN(B73/(BJ72*BL72)))),0)</f>
        <v>0.00603868925243082</v>
      </c>
      <c r="BL73" s="68" t="n">
        <f aca="false">BL72*(1+BK73)</f>
        <v>1.12702054354823</v>
      </c>
      <c r="BM73" s="50" t="n">
        <f aca="false">BH73*BL73</f>
        <v>4169.97601112844</v>
      </c>
      <c r="BN73" s="70" t="n">
        <f aca="false">IF(BG73&gt;0,BM73*1000000/BG73/Economy!Q73,0)</f>
        <v>0.279657703113704</v>
      </c>
      <c r="BO73" s="48" t="n">
        <v>16000000</v>
      </c>
      <c r="BP73" s="48" t="n">
        <v>1100</v>
      </c>
      <c r="BQ73" s="71" t="n">
        <v>0.1</v>
      </c>
      <c r="BR73" s="50" t="n">
        <f aca="false">IF(BO73&gt;0,BP73*1000000/BO73,0)</f>
        <v>68.75</v>
      </c>
      <c r="BS73" s="67" t="n">
        <f aca="false">IF(AND(BQ73&gt;0,BR72&gt;0,B73&gt;0),MIN(conv_cap,conv_beta*1*BQ73*MAX(0,LN(B73/(BR72*BT72)))),0)</f>
        <v>0.00247823069288272</v>
      </c>
      <c r="BT73" s="68" t="n">
        <f aca="false">BT72*(1+BS73)</f>
        <v>1.01610285456128</v>
      </c>
      <c r="BU73" s="50" t="n">
        <f aca="false">BP73*BT73</f>
        <v>1117.71314001741</v>
      </c>
      <c r="BV73" s="70" t="n">
        <f aca="false">IF(BO73&gt;0,BU73*1000000/BO73/Economy!Q73,0)</f>
        <v>0.173342608563494</v>
      </c>
      <c r="BW73" s="68" t="n">
        <f aca="false">0.25*IF(D73&gt;0,H73,1)+0.15*IF(AJ73&gt;0,AN73,1)+0.03*IF(AR73&gt;0,AV73,1)+0.08*IF(AZ73&gt;0,BD73,1)+0.12*IF(BH73&gt;0,BL73,1)+0.1*IF(L73&gt;0,P73,1)+0.07*IF(T73&gt;0,X73,1)+0.05*IF(AB73&gt;0,AF73,1)+0.05*IF(BP73&gt;0,BT73,1)+0.1</f>
        <v>1.37067803171838</v>
      </c>
      <c r="BX73" s="66" t="n">
        <f aca="false">MIN(mkt_cap,mkt_elast*MAX(0,BW73-1))</f>
        <v>0.185339015859188</v>
      </c>
      <c r="BY73" s="50" t="n">
        <f aca="false">I73+Q73+Y73+AG73</f>
        <v>7817.26095922942</v>
      </c>
      <c r="BZ73" s="50" t="n">
        <f aca="false">D73+L73+T73+AB73</f>
        <v>5030.7742</v>
      </c>
      <c r="CA73" s="68" t="n">
        <f aca="false">IF(BZ73&gt;0,BY73/BZ73,0)</f>
        <v>1.55388825823855</v>
      </c>
    </row>
    <row r="74" customFormat="false" ht="14.25" hidden="false" customHeight="false" outlineLevel="0" collapsed="false">
      <c r="A74" s="64" t="n">
        <v>1914</v>
      </c>
      <c r="B74" s="50" t="n">
        <f aca="false">Economy!P73</f>
        <v>858.438898977638</v>
      </c>
      <c r="C74" s="48" t="n">
        <v>51970000</v>
      </c>
      <c r="D74" s="65" t="n">
        <f aca="false">Japan!B74</f>
        <v>2495</v>
      </c>
      <c r="E74" s="71" t="n">
        <v>0.8</v>
      </c>
      <c r="F74" s="50" t="n">
        <f aca="false">IF(C74&gt;0,D74*1000000/C74,0)</f>
        <v>48.0084664229363</v>
      </c>
      <c r="G74" s="67" t="n">
        <f aca="false">IF(AND(E74&gt;0,F73&gt;0,B74&gt;0),MIN(conv_cap,conv_beta*jp_uplift*E74*MAX(0,LN(B74/(F73*H73)))),0)</f>
        <v>0.0176604944174293</v>
      </c>
      <c r="H74" s="68" t="n">
        <f aca="false">H73*(1+G74)</f>
        <v>1.97132283071637</v>
      </c>
      <c r="I74" s="50" t="n">
        <f aca="false">D74*H74</f>
        <v>4918.45046263733</v>
      </c>
      <c r="J74" s="70" t="n">
        <f aca="false">IF(C74&gt;0,I74*1000000/C74/Economy!Q74,0)</f>
        <v>0.24905312086109</v>
      </c>
      <c r="K74" s="65" t="n">
        <f aca="false">Gulf!B74</f>
        <v>8560000</v>
      </c>
      <c r="L74" s="50" t="n">
        <f aca="false">Gulf!B74*Gulf!C74*Economy!Q74/1000000</f>
        <v>2046.0112</v>
      </c>
      <c r="M74" s="71" t="n">
        <v>0.664</v>
      </c>
      <c r="N74" s="50" t="n">
        <f aca="false">IF(K74&gt;0,L74*1000000/K74,0)</f>
        <v>239.02</v>
      </c>
      <c r="O74" s="67" t="n">
        <f aca="false">IF(AND(M74&gt;0,N73&gt;0,B74&gt;0),MIN(conv_cap,conv_beta*1*M74*MAX(0,LN(B74/(N73*P73)))),0)</f>
        <v>0.00760348651911418</v>
      </c>
      <c r="P74" s="68" t="n">
        <f aca="false">P73*(1+O74)</f>
        <v>1.10151453106436</v>
      </c>
      <c r="Q74" s="50" t="n">
        <f aca="false">L74*P74</f>
        <v>2253.71106752043</v>
      </c>
      <c r="R74" s="70" t="n">
        <f aca="false">IF(K74&gt;0,Q74*1000000/K74/Economy!Q74,0)</f>
        <v>0.692852640039481</v>
      </c>
      <c r="S74" s="65" t="n">
        <f aca="false">People!U74</f>
        <v>9738405</v>
      </c>
      <c r="T74" s="48" t="n">
        <v>497.086</v>
      </c>
      <c r="U74" s="71" t="n">
        <v>0.654</v>
      </c>
      <c r="V74" s="50" t="n">
        <f aca="false">IF(S74&gt;0,T74*1000000/S74,0)</f>
        <v>51.0438824427614</v>
      </c>
      <c r="W74" s="67" t="n">
        <f aca="false">IF(AND(U74&gt;0,V73&gt;0,B74&gt;0),MIN(conv_cap,conv_beta*1*U74*MAX(0,LN(B74/(V73*X73)))),0)</f>
        <v>0.0163379455081618</v>
      </c>
      <c r="X74" s="68" t="n">
        <f aca="false">X73*(1+W74)</f>
        <v>1.60579421079571</v>
      </c>
      <c r="Y74" s="50" t="n">
        <f aca="false">T74*X74</f>
        <v>798.217821067597</v>
      </c>
      <c r="Z74" s="70" t="n">
        <f aca="false">IF(S74&gt;0,Y74*1000000/S74/Economy!Q74,0)</f>
        <v>0.215699923481903</v>
      </c>
      <c r="AA74" s="48" t="n">
        <v>0</v>
      </c>
      <c r="AB74" s="48" t="n">
        <v>0</v>
      </c>
      <c r="AC74" s="71" t="n">
        <v>0</v>
      </c>
      <c r="AD74" s="50" t="n">
        <f aca="false">IF(AA74&gt;0,AB74*1000000/AA74,0)</f>
        <v>0</v>
      </c>
      <c r="AE74" s="67" t="n">
        <f aca="false">IF(AND(AC74&gt;0,AD73&gt;0,B74&gt;0),MIN(conv_cap,conv_beta*1*AC74*MAX(0,LN(B74/(AD73*AF73)))),0)</f>
        <v>0</v>
      </c>
      <c r="AF74" s="68" t="n">
        <f aca="false">AF73*(1+AE74)</f>
        <v>1</v>
      </c>
      <c r="AG74" s="50" t="n">
        <f aca="false">AB74*AF74</f>
        <v>0</v>
      </c>
      <c r="AH74" s="70" t="n">
        <f aca="false">IF(AA74&gt;0,AG74*1000000/AA74/Economy!Q74,0)</f>
        <v>0</v>
      </c>
      <c r="AI74" s="48" t="n">
        <v>433800000</v>
      </c>
      <c r="AJ74" s="48" t="n">
        <v>5188</v>
      </c>
      <c r="AK74" s="71" t="n">
        <v>0.26</v>
      </c>
      <c r="AL74" s="50" t="n">
        <f aca="false">IF(AI74&gt;0,AJ74*1000000/AI74,0)</f>
        <v>11.959428307976</v>
      </c>
      <c r="AM74" s="67" t="n">
        <f aca="false">IF(AND(AK74&gt;0,AL73&gt;0,B74&gt;0),MIN(conv_cap,conv_beta*1*AK74*MAX(0,LN(B74/(AL73*AN73)))),0)</f>
        <v>0.010454313232144</v>
      </c>
      <c r="AN74" s="68" t="n">
        <f aca="false">AN73*(1+AM74)</f>
        <v>1.33805606559563</v>
      </c>
      <c r="AO74" s="50" t="n">
        <f aca="false">AJ74*AN74</f>
        <v>6941.83486831012</v>
      </c>
      <c r="AP74" s="70" t="n">
        <f aca="false">IF(AI74&gt;0,AO74*1000000/AI74/Economy!Q74,0)</f>
        <v>0.0421115410224826</v>
      </c>
      <c r="AQ74" s="48" t="n">
        <v>15310000</v>
      </c>
      <c r="AR74" s="48" t="n">
        <v>438</v>
      </c>
      <c r="AS74" s="71" t="n">
        <v>0.537</v>
      </c>
      <c r="AT74" s="50" t="n">
        <f aca="false">IF(AQ74&gt;0,AR74*1000000/AQ74,0)</f>
        <v>28.6087524493795</v>
      </c>
      <c r="AU74" s="67" t="n">
        <f aca="false">IF(AND(AS74&gt;0,AT73&gt;0,B74&gt;0),MIN(conv_cap,conv_beta*1*AS74*MAX(0,LN(B74/(AT73*AV73)))),0)</f>
        <v>0.0165870049479041</v>
      </c>
      <c r="AV74" s="68" t="n">
        <f aca="false">AV73*(1+AU74)</f>
        <v>1.49081711059274</v>
      </c>
      <c r="AW74" s="50" t="n">
        <f aca="false">AR74*AV74</f>
        <v>652.977894439618</v>
      </c>
      <c r="AX74" s="70" t="n">
        <f aca="false">IF(AQ74&gt;0,AW74*1000000/AQ74/Economy!Q74,0)</f>
        <v>0.112237941221702</v>
      </c>
      <c r="AY74" s="48" t="n">
        <v>96900000</v>
      </c>
      <c r="AZ74" s="48" t="n">
        <v>3214</v>
      </c>
      <c r="BA74" s="71" t="n">
        <v>0.156</v>
      </c>
      <c r="BB74" s="50" t="n">
        <f aca="false">IF(AY74&gt;0,AZ74*1000000/AY74,0)</f>
        <v>33.1682146542828</v>
      </c>
      <c r="BC74" s="67" t="n">
        <f aca="false">IF(AND(BA74&gt;0,BB73&gt;0,B74&gt;0),MIN(conv_cap,conv_beta*1*BA74*MAX(0,LN(B74/(BB73*BD73)))),0)</f>
        <v>0.005006839410518</v>
      </c>
      <c r="BD74" s="68" t="n">
        <f aca="false">BD73*(1+BC74)</f>
        <v>1.10308051518598</v>
      </c>
      <c r="BE74" s="50" t="n">
        <f aca="false">AZ74*BD74</f>
        <v>3545.30077580772</v>
      </c>
      <c r="BF74" s="70" t="n">
        <f aca="false">IF(AY74&gt;0,BE74*1000000/AY74/Economy!Q74,0)</f>
        <v>0.0962821350227506</v>
      </c>
      <c r="BG74" s="48" t="n">
        <v>37600000</v>
      </c>
      <c r="BH74" s="48" t="n">
        <v>3886</v>
      </c>
      <c r="BI74" s="71" t="n">
        <v>0.306</v>
      </c>
      <c r="BJ74" s="50" t="n">
        <f aca="false">IF(BG74&gt;0,BH74*1000000/BG74,0)</f>
        <v>103.351063829787</v>
      </c>
      <c r="BK74" s="67" t="n">
        <f aca="false">IF(AND(BI74&gt;0,BJ73&gt;0,B74&gt;0),MIN(conv_cap,conv_beta*1*BI74*MAX(0,LN(B74/(BJ73*BL73)))),0)</f>
        <v>0.00621292564108053</v>
      </c>
      <c r="BL74" s="68" t="n">
        <f aca="false">BL73*(1+BK74)</f>
        <v>1.13402263838126</v>
      </c>
      <c r="BM74" s="50" t="n">
        <f aca="false">BH74*BL74</f>
        <v>4406.81197274958</v>
      </c>
      <c r="BN74" s="70" t="n">
        <f aca="false">IF(BG74&gt;0,BM74*1000000/BG74/Economy!Q74,0)</f>
        <v>0.30842748969412</v>
      </c>
      <c r="BO74" s="48" t="n">
        <v>16200000</v>
      </c>
      <c r="BP74" s="48" t="n">
        <v>1144</v>
      </c>
      <c r="BQ74" s="71" t="n">
        <v>0.106</v>
      </c>
      <c r="BR74" s="50" t="n">
        <f aca="false">IF(BO74&gt;0,BP74*1000000/BO74,0)</f>
        <v>70.6172839506173</v>
      </c>
      <c r="BS74" s="67" t="n">
        <f aca="false">IF(AND(BQ74&gt;0,BR73&gt;0,B74&gt;0),MIN(conv_cap,conv_beta*1*BQ74*MAX(0,LN(B74/(BR73*BT73)))),0)</f>
        <v>0.00265918404201889</v>
      </c>
      <c r="BT74" s="68" t="n">
        <f aca="false">BT73*(1+BS74)</f>
        <v>1.01880485905718</v>
      </c>
      <c r="BU74" s="50" t="n">
        <f aca="false">BP74*BT74</f>
        <v>1165.51275876142</v>
      </c>
      <c r="BV74" s="70" t="n">
        <f aca="false">IF(BO74&gt;0,BU74*1000000/BO74/Economy!Q74,0)</f>
        <v>0.189329557953446</v>
      </c>
      <c r="BW74" s="68" t="n">
        <f aca="false">0.25*IF(D74&gt;0,H74,1)+0.15*IF(AJ74&gt;0,AN74,1)+0.03*IF(AR74&gt;0,AV74,1)+0.08*IF(AZ74&gt;0,BD74,1)+0.12*IF(BH74&gt;0,BL74,1)+0.1*IF(L74&gt;0,P74,1)+0.07*IF(T74&gt;0,X74,1)+0.05*IF(AB74&gt;0,AF74,1)+0.05*IF(BP74&gt;0,BT74,1)+0.1</f>
        <v>1.38609007947184</v>
      </c>
      <c r="BX74" s="66" t="n">
        <f aca="false">MIN(mkt_cap,mkt_elast*MAX(0,BW74-1))</f>
        <v>0.193045039735921</v>
      </c>
      <c r="BY74" s="50" t="n">
        <f aca="false">I74+Q74+Y74+AG74</f>
        <v>7970.37935122535</v>
      </c>
      <c r="BZ74" s="50" t="n">
        <f aca="false">D74+L74+T74+AB74</f>
        <v>5038.0972</v>
      </c>
      <c r="CA74" s="68" t="n">
        <f aca="false">IF(BZ74&gt;0,BY74/BZ74,0)</f>
        <v>1.58202175043891</v>
      </c>
    </row>
    <row r="75" customFormat="false" ht="14.25" hidden="false" customHeight="false" outlineLevel="0" collapsed="false">
      <c r="A75" s="64" t="n">
        <v>1915</v>
      </c>
      <c r="B75" s="50" t="n">
        <f aca="false">Economy!P74</f>
        <v>861.43339869422</v>
      </c>
      <c r="C75" s="48" t="n">
        <v>52640000</v>
      </c>
      <c r="D75" s="65" t="n">
        <f aca="false">Japan!B75</f>
        <v>2490</v>
      </c>
      <c r="E75" s="71" t="n">
        <v>0.81</v>
      </c>
      <c r="F75" s="50" t="n">
        <f aca="false">IF(C75&gt;0,D75*1000000/C75,0)</f>
        <v>47.3024316109423</v>
      </c>
      <c r="G75" s="67" t="n">
        <f aca="false">IF(AND(E75&gt;0,F74&gt;0,B75&gt;0),MIN(conv_cap,conv_beta*jp_uplift*E75*MAX(0,LN(B75/(F74*H74)))),0)</f>
        <v>0.0178889760376177</v>
      </c>
      <c r="H75" s="68" t="n">
        <f aca="false">H74*(1+G75)</f>
        <v>2.00658777759746</v>
      </c>
      <c r="I75" s="50" t="n">
        <f aca="false">D75*H75</f>
        <v>4996.40356621767</v>
      </c>
      <c r="J75" s="70" t="n">
        <f aca="false">IF(C75&gt;0,I75*1000000/C75/Economy!Q75,0)</f>
        <v>0.220736002607341</v>
      </c>
      <c r="K75" s="65" t="n">
        <f aca="false">Gulf!B75</f>
        <v>8700000</v>
      </c>
      <c r="L75" s="50" t="n">
        <f aca="false">Gulf!B75*Gulf!C75*Economy!Q75/1000000</f>
        <v>2383.017</v>
      </c>
      <c r="M75" s="71" t="n">
        <v>0.679</v>
      </c>
      <c r="N75" s="50" t="n">
        <f aca="false">IF(K75&gt;0,L75*1000000/K75,0)</f>
        <v>273.91</v>
      </c>
      <c r="O75" s="67" t="n">
        <f aca="false">IF(AND(M75&gt;0,N74&gt;0,B75&gt;0),MIN(conv_cap,conv_beta*1*M75*MAX(0,LN(B75/(N74*P74)))),0)</f>
        <v>0.00804862451201959</v>
      </c>
      <c r="P75" s="68" t="n">
        <f aca="false">P74*(1+O75)</f>
        <v>1.11038020791943</v>
      </c>
      <c r="Q75" s="50" t="n">
        <f aca="false">L75*P75</f>
        <v>2646.05491193553</v>
      </c>
      <c r="R75" s="70" t="n">
        <f aca="false">IF(K75&gt;0,Q75*1000000/K75/Economy!Q75,0)</f>
        <v>0.707312192444676</v>
      </c>
      <c r="S75" s="65" t="n">
        <f aca="false">People!U75</f>
        <v>9921256</v>
      </c>
      <c r="T75" s="48" t="n">
        <v>566.203</v>
      </c>
      <c r="U75" s="71" t="n">
        <v>0.699</v>
      </c>
      <c r="V75" s="50" t="n">
        <f aca="false">IF(S75&gt;0,T75*1000000/S75,0)</f>
        <v>57.0696895634988</v>
      </c>
      <c r="W75" s="67" t="n">
        <f aca="false">IF(AND(U75&gt;0,V74&gt;0,B75&gt;0),MIN(conv_cap,conv_beta*1*U75*MAX(0,LN(B75/(V74*X74)))),0)</f>
        <v>0.0164425320686364</v>
      </c>
      <c r="X75" s="68" t="n">
        <f aca="false">X74*(1+W75)</f>
        <v>1.63219753360235</v>
      </c>
      <c r="Y75" s="50" t="n">
        <f aca="false">T75*X75</f>
        <v>924.155140118252</v>
      </c>
      <c r="Z75" s="70" t="n">
        <f aca="false">IF(S75&gt;0,Y75*1000000/S75/Economy!Q75,0)</f>
        <v>0.216625596625569</v>
      </c>
      <c r="AA75" s="48" t="n">
        <v>0</v>
      </c>
      <c r="AB75" s="48" t="n">
        <v>0</v>
      </c>
      <c r="AC75" s="71" t="n">
        <v>0</v>
      </c>
      <c r="AD75" s="50" t="n">
        <f aca="false">IF(AA75&gt;0,AB75*1000000/AA75,0)</f>
        <v>0</v>
      </c>
      <c r="AE75" s="67" t="n">
        <f aca="false">IF(AND(AC75&gt;0,AD74&gt;0,B75&gt;0),MIN(conv_cap,conv_beta*1*AC75*MAX(0,LN(B75/(AD74*AF74)))),0)</f>
        <v>0</v>
      </c>
      <c r="AF75" s="68" t="n">
        <f aca="false">AF74*(1+AE75)</f>
        <v>1</v>
      </c>
      <c r="AG75" s="50" t="n">
        <f aca="false">AB75*AF75</f>
        <v>0</v>
      </c>
      <c r="AH75" s="70" t="n">
        <f aca="false">IF(AA75&gt;0,AG75*1000000/AA75/Economy!Q75,0)</f>
        <v>0</v>
      </c>
      <c r="AI75" s="48" t="n">
        <v>437500000</v>
      </c>
      <c r="AJ75" s="48" t="n">
        <v>5375</v>
      </c>
      <c r="AK75" s="71" t="n">
        <v>0.265</v>
      </c>
      <c r="AL75" s="50" t="n">
        <f aca="false">IF(AI75&gt;0,AJ75*1000000/AI75,0)</f>
        <v>12.2857142857143</v>
      </c>
      <c r="AM75" s="67" t="n">
        <f aca="false">IF(AND(AK75&gt;0,AL74&gt;0,B75&gt;0),MIN(conv_cap,conv_beta*1*AK75*MAX(0,LN(B75/(AL74*AN74)))),0)</f>
        <v>0.0105625288251838</v>
      </c>
      <c r="AN75" s="68" t="n">
        <f aca="false">AN74*(1+AM75)</f>
        <v>1.35218932135819</v>
      </c>
      <c r="AO75" s="50" t="n">
        <f aca="false">AJ75*AN75</f>
        <v>7268.01760230029</v>
      </c>
      <c r="AP75" s="70" t="n">
        <f aca="false">IF(AI75&gt;0,AO75*1000000/AI75/Economy!Q75,0)</f>
        <v>0.0386339806102341</v>
      </c>
      <c r="AQ75" s="48" t="n">
        <v>15620000</v>
      </c>
      <c r="AR75" s="48" t="n">
        <v>475</v>
      </c>
      <c r="AS75" s="71" t="n">
        <v>0.542</v>
      </c>
      <c r="AT75" s="50" t="n">
        <f aca="false">IF(AQ75&gt;0,AR75*1000000/AQ75,0)</f>
        <v>30.4097311139565</v>
      </c>
      <c r="AU75" s="67" t="n">
        <f aca="false">IF(AND(AS75&gt;0,AT74&gt;0,B75&gt;0),MIN(conv_cap,conv_beta*1*AS75*MAX(0,LN(B75/(AT74*AV74)))),0)</f>
        <v>0.0162901388732442</v>
      </c>
      <c r="AV75" s="68" t="n">
        <f aca="false">AV74*(1+AU75)</f>
        <v>1.5151027283589</v>
      </c>
      <c r="AW75" s="50" t="n">
        <f aca="false">AR75*AV75</f>
        <v>719.673795970478</v>
      </c>
      <c r="AX75" s="70" t="n">
        <f aca="false">IF(AQ75&gt;0,AW75*1000000/AQ75/Economy!Q75,0)</f>
        <v>0.107148526928874</v>
      </c>
      <c r="AY75" s="48" t="n">
        <v>98800000</v>
      </c>
      <c r="AZ75" s="48" t="n">
        <v>3429</v>
      </c>
      <c r="BA75" s="71" t="n">
        <v>0.163</v>
      </c>
      <c r="BB75" s="50" t="n">
        <f aca="false">IF(AY75&gt;0,AZ75*1000000/AY75,0)</f>
        <v>34.7064777327935</v>
      </c>
      <c r="BC75" s="67" t="n">
        <f aca="false">IF(AND(BA75&gt;0,BB74&gt;0,B75&gt;0),MIN(conv_cap,conv_beta*1*BA75*MAX(0,LN(B75/(BB74*BD74)))),0)</f>
        <v>0.00514900534211244</v>
      </c>
      <c r="BD75" s="68" t="n">
        <f aca="false">BD74*(1+BC75)</f>
        <v>1.10876028265145</v>
      </c>
      <c r="BE75" s="50" t="n">
        <f aca="false">AZ75*BD75</f>
        <v>3801.93900921182</v>
      </c>
      <c r="BF75" s="70" t="n">
        <f aca="false">IF(AY75&gt;0,BE75*1000000/AY75/Economy!Q75,0)</f>
        <v>0.0894910792112752</v>
      </c>
      <c r="BG75" s="48" t="n">
        <v>38100000</v>
      </c>
      <c r="BH75" s="48" t="n">
        <v>4071</v>
      </c>
      <c r="BI75" s="71" t="n">
        <v>0.312</v>
      </c>
      <c r="BJ75" s="50" t="n">
        <f aca="false">IF(BG75&gt;0,BH75*1000000/BG75,0)</f>
        <v>106.850393700787</v>
      </c>
      <c r="BK75" s="67" t="n">
        <f aca="false">IF(AND(BI75&gt;0,BJ74&gt;0,B75&gt;0),MIN(conv_cap,conv_beta*1*BI75*MAX(0,LN(B75/(BJ74*BL74)))),0)</f>
        <v>0.00622344838906184</v>
      </c>
      <c r="BL75" s="68" t="n">
        <f aca="false">BL74*(1+BK75)</f>
        <v>1.14108016974325</v>
      </c>
      <c r="BM75" s="50" t="n">
        <f aca="false">BH75*BL75</f>
        <v>4645.33737102479</v>
      </c>
      <c r="BN75" s="70" t="n">
        <f aca="false">IF(BG75&gt;0,BM75*1000000/BG75/Economy!Q75,0)</f>
        <v>0.283546198560996</v>
      </c>
      <c r="BO75" s="48" t="n">
        <v>16400000</v>
      </c>
      <c r="BP75" s="48" t="n">
        <v>1188</v>
      </c>
      <c r="BQ75" s="71" t="n">
        <v>0.113</v>
      </c>
      <c r="BR75" s="50" t="n">
        <f aca="false">IF(BO75&gt;0,BP75*1000000/BO75,0)</f>
        <v>72.4390243902439</v>
      </c>
      <c r="BS75" s="67" t="n">
        <f aca="false">IF(AND(BQ75&gt;0,BR74&gt;0,B75&gt;0),MIN(conv_cap,conv_beta*1*BQ75*MAX(0,LN(B75/(BR74*BT74)))),0)</f>
        <v>0.00280544261679599</v>
      </c>
      <c r="BT75" s="68" t="n">
        <f aca="false">BT74*(1+BS75)</f>
        <v>1.02166305762698</v>
      </c>
      <c r="BU75" s="50" t="n">
        <f aca="false">BP75*BT75</f>
        <v>1213.73571246085</v>
      </c>
      <c r="BV75" s="70" t="n">
        <f aca="false">IF(BO75&gt;0,BU75*1000000/BO75/Economy!Q75,0)</f>
        <v>0.172112267790818</v>
      </c>
      <c r="BW75" s="68" t="n">
        <f aca="false">0.25*IF(D75&gt;0,H75,1)+0.15*IF(AJ75&gt;0,AN75,1)+0.03*IF(AR75&gt;0,AV75,1)+0.08*IF(AZ75&gt;0,BD75,1)+0.12*IF(BH75&gt;0,BL75,1)+0.1*IF(L75&gt;0,P75,1)+0.07*IF(T75&gt;0,X75,1)+0.05*IF(AB75&gt;0,AF75,1)+0.05*IF(BP75&gt;0,BT75,1)+0.1</f>
        <v>1.40193386846062</v>
      </c>
      <c r="BX75" s="66" t="n">
        <f aca="false">MIN(mkt_cap,mkt_elast*MAX(0,BW75-1))</f>
        <v>0.200966934230312</v>
      </c>
      <c r="BY75" s="50" t="n">
        <f aca="false">I75+Q75+Y75+AG75</f>
        <v>8566.61361827146</v>
      </c>
      <c r="BZ75" s="50" t="n">
        <f aca="false">D75+L75+T75+AB75</f>
        <v>5439.22</v>
      </c>
      <c r="CA75" s="68" t="n">
        <f aca="false">IF(BZ75&gt;0,BY75/BZ75,0)</f>
        <v>1.57497097346154</v>
      </c>
    </row>
    <row r="76" customFormat="false" ht="14.25" hidden="false" customHeight="false" outlineLevel="0" collapsed="false">
      <c r="A76" s="64" t="n">
        <v>1916</v>
      </c>
      <c r="B76" s="50" t="n">
        <f aca="false">Economy!P75</f>
        <v>928.775405998074</v>
      </c>
      <c r="C76" s="48" t="n">
        <v>53310000</v>
      </c>
      <c r="D76" s="65" t="n">
        <f aca="false">Japan!B76</f>
        <v>3390</v>
      </c>
      <c r="E76" s="71" t="n">
        <v>0.82</v>
      </c>
      <c r="F76" s="50" t="n">
        <f aca="false">IF(C76&gt;0,D76*1000000/C76,0)</f>
        <v>63.5903207653348</v>
      </c>
      <c r="G76" s="67" t="n">
        <f aca="false">IF(AND(E76&gt;0,F75&gt;0,B76&gt;0),MIN(conv_cap,conv_beta*jp_uplift*E76*MAX(0,LN(B76/(F75*H75)))),0)</f>
        <v>0.018703130653342</v>
      </c>
      <c r="H76" s="68" t="n">
        <f aca="false">H75*(1+G76)</f>
        <v>2.04411725096926</v>
      </c>
      <c r="I76" s="50" t="n">
        <f aca="false">D76*H76</f>
        <v>6929.5574807858</v>
      </c>
      <c r="J76" s="70" t="n">
        <f aca="false">IF(C76&gt;0,I76*1000000/C76/Economy!Q76,0)</f>
        <v>0.270804315981437</v>
      </c>
      <c r="K76" s="65" t="n">
        <f aca="false">Gulf!B76</f>
        <v>8840000</v>
      </c>
      <c r="L76" s="50" t="n">
        <f aca="false">Gulf!B76*Gulf!C76*Economy!Q76/1000000</f>
        <v>2741.1072</v>
      </c>
      <c r="M76" s="71" t="n">
        <v>0.693</v>
      </c>
      <c r="N76" s="50" t="n">
        <f aca="false">IF(K76&gt;0,L76*1000000/K76,0)</f>
        <v>310.08</v>
      </c>
      <c r="O76" s="67" t="n">
        <f aca="false">IF(AND(M76&gt;0,N75&gt;0,B76&gt;0),MIN(conv_cap,conv_beta*1*M76*MAX(0,LN(B76/(N75*P75)))),0)</f>
        <v>0.00773640861211954</v>
      </c>
      <c r="P76" s="68" t="n">
        <f aca="false">P75*(1+O76)</f>
        <v>1.1189705629227</v>
      </c>
      <c r="Q76" s="50" t="n">
        <f aca="false">L76*P76</f>
        <v>3067.21826661548</v>
      </c>
      <c r="R76" s="70" t="n">
        <f aca="false">IF(K76&gt;0,Q76*1000000/K76/Economy!Q76,0)</f>
        <v>0.722854983648067</v>
      </c>
      <c r="S76" s="65" t="n">
        <f aca="false">People!U76</f>
        <v>10104159</v>
      </c>
      <c r="T76" s="48" t="n">
        <v>636.338</v>
      </c>
      <c r="U76" s="71" t="n">
        <v>0.713</v>
      </c>
      <c r="V76" s="50" t="n">
        <f aca="false">IF(S76&gt;0,T76*1000000/S76,0)</f>
        <v>62.9778292285385</v>
      </c>
      <c r="W76" s="67" t="n">
        <f aca="false">IF(AND(U76&gt;0,V75&gt;0,B76&gt;0),MIN(conv_cap,conv_beta*1*U76*MAX(0,LN(B76/(V75*X75)))),0)</f>
        <v>0.0163966222788963</v>
      </c>
      <c r="X76" s="68" t="n">
        <f aca="false">X75*(1+W76)</f>
        <v>1.65896006004537</v>
      </c>
      <c r="Y76" s="50" t="n">
        <f aca="false">T76*X76</f>
        <v>1055.65932668915</v>
      </c>
      <c r="Z76" s="70" t="n">
        <f aca="false">IF(S76&gt;0,Y76*1000000/S76/Economy!Q76,0)</f>
        <v>0.217661881996882</v>
      </c>
      <c r="AA76" s="48" t="n">
        <v>0</v>
      </c>
      <c r="AB76" s="48" t="n">
        <v>0</v>
      </c>
      <c r="AC76" s="71" t="n">
        <v>0</v>
      </c>
      <c r="AD76" s="50" t="n">
        <f aca="false">IF(AA76&gt;0,AB76*1000000/AA76,0)</f>
        <v>0</v>
      </c>
      <c r="AE76" s="67" t="n">
        <f aca="false">IF(AND(AC76&gt;0,AD75&gt;0,B76&gt;0),MIN(conv_cap,conv_beta*1*AC76*MAX(0,LN(B76/(AD75*AF75)))),0)</f>
        <v>0</v>
      </c>
      <c r="AF76" s="68" t="n">
        <f aca="false">AF75*(1+AE76)</f>
        <v>1</v>
      </c>
      <c r="AG76" s="50" t="n">
        <f aca="false">AB76*AF76</f>
        <v>0</v>
      </c>
      <c r="AH76" s="70" t="n">
        <f aca="false">IF(AA76&gt;0,AG76*1000000/AA76/Economy!Q76,0)</f>
        <v>0</v>
      </c>
      <c r="AI76" s="48" t="n">
        <v>441200000</v>
      </c>
      <c r="AJ76" s="48" t="n">
        <v>5562</v>
      </c>
      <c r="AK76" s="71" t="n">
        <v>0.27</v>
      </c>
      <c r="AL76" s="50" t="n">
        <f aca="false">IF(AI76&gt;0,AJ76*1000000/AI76,0)</f>
        <v>12.6065276518586</v>
      </c>
      <c r="AM76" s="67" t="n">
        <f aca="false">IF(AND(AK76&gt;0,AL75&gt;0,B76&gt;0),MIN(conv_cap,conv_beta*1*AK76*MAX(0,LN(B76/(AL75*AN75)))),0)</f>
        <v>0.0108640029737616</v>
      </c>
      <c r="AN76" s="68" t="n">
        <f aca="false">AN75*(1+AM76)</f>
        <v>1.36687951016652</v>
      </c>
      <c r="AO76" s="50" t="n">
        <f aca="false">AJ76*AN76</f>
        <v>7602.58383554617</v>
      </c>
      <c r="AP76" s="70" t="n">
        <f aca="false">IF(AI76&gt;0,AO76*1000000/AI76/Economy!Q76,0)</f>
        <v>0.035899175711819</v>
      </c>
      <c r="AQ76" s="48" t="n">
        <v>15940000</v>
      </c>
      <c r="AR76" s="48" t="n">
        <v>512</v>
      </c>
      <c r="AS76" s="71" t="n">
        <v>0.546</v>
      </c>
      <c r="AT76" s="50" t="n">
        <f aca="false">IF(AQ76&gt;0,AR76*1000000/AQ76,0)</f>
        <v>32.120451693852</v>
      </c>
      <c r="AU76" s="67" t="n">
        <f aca="false">IF(AND(AS76&gt;0,AT75&gt;0,B76&gt;0),MIN(conv_cap,conv_beta*1*AS76*MAX(0,LN(B76/(AT75*AV75)))),0)</f>
        <v>0.0163997709161812</v>
      </c>
      <c r="AV76" s="68" t="n">
        <f aca="false">AV75*(1+AU76)</f>
        <v>1.53995006601847</v>
      </c>
      <c r="AW76" s="50" t="n">
        <f aca="false">AR76*AV76</f>
        <v>788.454433801455</v>
      </c>
      <c r="AX76" s="70" t="n">
        <f aca="false">IF(AQ76&gt;0,AW76*1000000/AQ76/Economy!Q76,0)</f>
        <v>0.103049774388521</v>
      </c>
      <c r="AY76" s="48" t="n">
        <v>100600000</v>
      </c>
      <c r="AZ76" s="48" t="n">
        <v>3643</v>
      </c>
      <c r="BA76" s="71" t="n">
        <v>0.169</v>
      </c>
      <c r="BB76" s="50" t="n">
        <f aca="false">IF(AY76&gt;0,AZ76*1000000/AY76,0)</f>
        <v>36.2127236580517</v>
      </c>
      <c r="BC76" s="67" t="n">
        <f aca="false">IF(AND(BA76&gt;0,BB75&gt;0,B76&gt;0),MIN(conv_cap,conv_beta*1*BA76*MAX(0,LN(B76/(BB75*BD75)))),0)</f>
        <v>0.0053804497455693</v>
      </c>
      <c r="BD76" s="68" t="n">
        <f aca="false">BD75*(1+BC76)</f>
        <v>1.11472591163214</v>
      </c>
      <c r="BE76" s="50" t="n">
        <f aca="false">AZ76*BD76</f>
        <v>4060.94649607588</v>
      </c>
      <c r="BF76" s="70" t="n">
        <f aca="false">IF(AY76&gt;0,BE76*1000000/AY76/Economy!Q76,0)</f>
        <v>0.0840984612341757</v>
      </c>
      <c r="BG76" s="48" t="n">
        <v>38700000</v>
      </c>
      <c r="BH76" s="48" t="n">
        <v>4257</v>
      </c>
      <c r="BI76" s="71" t="n">
        <v>0.319</v>
      </c>
      <c r="BJ76" s="50" t="n">
        <f aca="false">IF(BG76&gt;0,BH76*1000000/BG76,0)</f>
        <v>110</v>
      </c>
      <c r="BK76" s="67" t="n">
        <f aca="false">IF(AND(BI76&gt;0,BJ75&gt;0,B76&gt;0),MIN(conv_cap,conv_beta*1*BI76*MAX(0,LN(B76/(BJ75*BL75)))),0)</f>
        <v>0.00647717363076755</v>
      </c>
      <c r="BL76" s="68" t="n">
        <f aca="false">BL75*(1+BK76)</f>
        <v>1.14847114412931</v>
      </c>
      <c r="BM76" s="50" t="n">
        <f aca="false">BH76*BL76</f>
        <v>4889.04166055846</v>
      </c>
      <c r="BN76" s="70" t="n">
        <f aca="false">IF(BG76&gt;0,BM76*1000000/BG76/Economy!Q76,0)</f>
        <v>0.263191303862966</v>
      </c>
      <c r="BO76" s="48" t="n">
        <v>16600000</v>
      </c>
      <c r="BP76" s="48" t="n">
        <v>1231</v>
      </c>
      <c r="BQ76" s="71" t="n">
        <v>0.119</v>
      </c>
      <c r="BR76" s="50" t="n">
        <f aca="false">IF(BO76&gt;0,BP76*1000000/BO76,0)</f>
        <v>74.1566265060241</v>
      </c>
      <c r="BS76" s="67" t="n">
        <f aca="false">IF(AND(BQ76&gt;0,BR75&gt;0,B76&gt;0),MIN(conv_cap,conv_beta*1*BQ76*MAX(0,LN(B76/(BR75*BT75)))),0)</f>
        <v>0.0030103311445045</v>
      </c>
      <c r="BT76" s="68" t="n">
        <f aca="false">BT75*(1+BS76)</f>
        <v>1.02473860174854</v>
      </c>
      <c r="BU76" s="50" t="n">
        <f aca="false">BP76*BT76</f>
        <v>1261.45321875246</v>
      </c>
      <c r="BV76" s="70" t="n">
        <f aca="false">IF(BO76&gt;0,BU76*1000000/BO76/Economy!Q76,0)</f>
        <v>0.158314911992025</v>
      </c>
      <c r="BW76" s="68" t="n">
        <f aca="false">0.25*IF(D76&gt;0,H76,1)+0.15*IF(AJ76&gt;0,AN76,1)+0.03*IF(AR76&gt;0,AV76,1)+0.08*IF(AZ76&gt;0,BD76,1)+0.12*IF(BH76&gt;0,BL76,1)+0.1*IF(L76&gt;0,P76,1)+0.07*IF(T76&gt;0,X76,1)+0.05*IF(AB76&gt;0,AF76,1)+0.05*IF(BP76&gt;0,BT76,1)+0.1</f>
        <v>1.41851554205681</v>
      </c>
      <c r="BX76" s="66" t="n">
        <f aca="false">MIN(mkt_cap,mkt_elast*MAX(0,BW76-1))</f>
        <v>0.209257771028405</v>
      </c>
      <c r="BY76" s="50" t="n">
        <f aca="false">I76+Q76+Y76+AG76</f>
        <v>11052.4350740904</v>
      </c>
      <c r="BZ76" s="50" t="n">
        <f aca="false">D76+L76+T76+AB76</f>
        <v>6767.4452</v>
      </c>
      <c r="CA76" s="68" t="n">
        <f aca="false">IF(BZ76&gt;0,BY76/BZ76,0)</f>
        <v>1.63317688543535</v>
      </c>
    </row>
    <row r="77" customFormat="false" ht="14.25" hidden="false" customHeight="false" outlineLevel="0" collapsed="false">
      <c r="A77" s="64" t="n">
        <v>1917</v>
      </c>
      <c r="B77" s="50" t="n">
        <f aca="false">Economy!P76</f>
        <v>1064.72007240239</v>
      </c>
      <c r="C77" s="48" t="n">
        <v>53990000</v>
      </c>
      <c r="D77" s="65" t="n">
        <f aca="false">Japan!B77</f>
        <v>4290</v>
      </c>
      <c r="E77" s="71" t="n">
        <v>0.83</v>
      </c>
      <c r="F77" s="50" t="n">
        <f aca="false">IF(C77&gt;0,D77*1000000/C77,0)</f>
        <v>79.4591591035377</v>
      </c>
      <c r="G77" s="67" t="n">
        <f aca="false">IF(AND(E77&gt;0,F76&gt;0,B77&gt;0),MIN(conv_cap,conv_beta*jp_uplift*E77*MAX(0,LN(B77/(F76*H76)))),0)</f>
        <v>0.0174552311455622</v>
      </c>
      <c r="H77" s="68" t="n">
        <f aca="false">H76*(1+G77)</f>
        <v>2.07979779007356</v>
      </c>
      <c r="I77" s="50" t="n">
        <f aca="false">D77*H77</f>
        <v>8922.33251941559</v>
      </c>
      <c r="J77" s="70" t="n">
        <f aca="false">IF(C77&gt;0,I77*1000000/C77/Economy!Q77,0)</f>
        <v>0.284929281904554</v>
      </c>
      <c r="K77" s="65" t="n">
        <f aca="false">Gulf!B77</f>
        <v>8980000</v>
      </c>
      <c r="L77" s="50" t="n">
        <f aca="false">Gulf!B77*Gulf!C77*Economy!Q77/1000000</f>
        <v>3406.2936</v>
      </c>
      <c r="M77" s="71" t="n">
        <v>0.707</v>
      </c>
      <c r="N77" s="50" t="n">
        <f aca="false">IF(K77&gt;0,L77*1000000/K77,0)</f>
        <v>379.32</v>
      </c>
      <c r="O77" s="67" t="n">
        <f aca="false">IF(AND(M77&gt;0,N76&gt;0,B77&gt;0),MIN(conv_cap,conv_beta*1*M77*MAX(0,LN(B77/(N76*P76)))),0)</f>
        <v>0.0079270801902817</v>
      </c>
      <c r="P77" s="68" t="n">
        <f aca="false">P76*(1+O77)</f>
        <v>1.12784073230556</v>
      </c>
      <c r="Q77" s="50" t="n">
        <f aca="false">L77*P77</f>
        <v>3841.75666827173</v>
      </c>
      <c r="R77" s="70" t="n">
        <f aca="false">IF(K77&gt;0,Q77*1000000/K77/Economy!Q77,0)</f>
        <v>0.737607838927834</v>
      </c>
      <c r="S77" s="65" t="n">
        <f aca="false">People!U77</f>
        <v>10287114</v>
      </c>
      <c r="T77" s="48" t="n">
        <v>705.46</v>
      </c>
      <c r="U77" s="71" t="n">
        <v>0.727</v>
      </c>
      <c r="V77" s="50" t="n">
        <f aca="false">IF(S77&gt;0,T77*1000000/S77,0)</f>
        <v>68.5770566944237</v>
      </c>
      <c r="W77" s="67" t="n">
        <f aca="false">IF(AND(U77&gt;0,V76&gt;0,B77&gt;0),MIN(conv_cap,conv_beta*1*U77*MAX(0,LN(B77/(V76*X76)))),0)</f>
        <v>0.0168772578695404</v>
      </c>
      <c r="X77" s="68" t="n">
        <f aca="false">X76*(1+W77)</f>
        <v>1.68695875677403</v>
      </c>
      <c r="Y77" s="50" t="n">
        <f aca="false">T77*X77</f>
        <v>1190.08192455381</v>
      </c>
      <c r="Z77" s="70" t="n">
        <f aca="false">IF(S77&gt;0,Y77*1000000/S77/Economy!Q77,0)</f>
        <v>0.199459769490426</v>
      </c>
      <c r="AA77" s="48" t="n">
        <v>0</v>
      </c>
      <c r="AB77" s="48" t="n">
        <v>0</v>
      </c>
      <c r="AC77" s="71" t="n">
        <v>0</v>
      </c>
      <c r="AD77" s="50" t="n">
        <f aca="false">IF(AA77&gt;0,AB77*1000000/AA77,0)</f>
        <v>0</v>
      </c>
      <c r="AE77" s="67" t="n">
        <f aca="false">IF(AND(AC77&gt;0,AD76&gt;0,B77&gt;0),MIN(conv_cap,conv_beta*1*AC77*MAX(0,LN(B77/(AD76*AF76)))),0)</f>
        <v>0</v>
      </c>
      <c r="AF77" s="68" t="n">
        <f aca="false">AF76*(1+AE77)</f>
        <v>1</v>
      </c>
      <c r="AG77" s="50" t="n">
        <f aca="false">AB77*AF77</f>
        <v>0</v>
      </c>
      <c r="AH77" s="70" t="n">
        <f aca="false">IF(AA77&gt;0,AG77*1000000/AA77/Economy!Q77,0)</f>
        <v>0</v>
      </c>
      <c r="AI77" s="48" t="n">
        <v>445000000</v>
      </c>
      <c r="AJ77" s="48" t="n">
        <v>5750</v>
      </c>
      <c r="AK77" s="71" t="n">
        <v>0.275</v>
      </c>
      <c r="AL77" s="50" t="n">
        <f aca="false">IF(AI77&gt;0,AJ77*1000000/AI77,0)</f>
        <v>12.9213483146067</v>
      </c>
      <c r="AM77" s="67" t="n">
        <f aca="false">IF(AND(AK77&gt;0,AL76&gt;0,B77&gt;0),MIN(conv_cap,conv_beta*1*AK77*MAX(0,LN(B77/(AL76*AN76)))),0)</f>
        <v>0.0113402356135826</v>
      </c>
      <c r="AN77" s="68" t="n">
        <f aca="false">AN76*(1+AM77)</f>
        <v>1.38238024586718</v>
      </c>
      <c r="AO77" s="50" t="n">
        <f aca="false">AJ77*AN77</f>
        <v>7948.68641373631</v>
      </c>
      <c r="AP77" s="70" t="n">
        <f aca="false">IF(AI77&gt;0,AO77*1000000/AI77/Economy!Q77,0)</f>
        <v>0.0307969252760028</v>
      </c>
      <c r="AQ77" s="48" t="n">
        <v>16250000</v>
      </c>
      <c r="AR77" s="48" t="n">
        <v>550</v>
      </c>
      <c r="AS77" s="71" t="n">
        <v>0.55</v>
      </c>
      <c r="AT77" s="50" t="n">
        <f aca="false">IF(AQ77&gt;0,AR77*1000000/AQ77,0)</f>
        <v>33.8461538461539</v>
      </c>
      <c r="AU77" s="67" t="n">
        <f aca="false">IF(AND(AS77&gt;0,AT76&gt;0,B77&gt;0),MIN(conv_cap,conv_beta*1*AS77*MAX(0,LN(B77/(AT76*AV76)))),0)</f>
        <v>0.0168807334182613</v>
      </c>
      <c r="AV77" s="68" t="n">
        <f aca="false">AV76*(1+AU77)</f>
        <v>1.56594555256036</v>
      </c>
      <c r="AW77" s="50" t="n">
        <f aca="false">AR77*AV77</f>
        <v>861.270053908197</v>
      </c>
      <c r="AX77" s="70" t="n">
        <f aca="false">IF(AQ77&gt;0,AW77*1000000/AQ77/Economy!Q77,0)</f>
        <v>0.0913814380804453</v>
      </c>
      <c r="AY77" s="48" t="n">
        <v>102500000</v>
      </c>
      <c r="AZ77" s="48" t="n">
        <v>3857</v>
      </c>
      <c r="BA77" s="71" t="n">
        <v>0.175</v>
      </c>
      <c r="BB77" s="50" t="n">
        <f aca="false">IF(AY77&gt;0,AZ77*1000000/AY77,0)</f>
        <v>37.6292682926829</v>
      </c>
      <c r="BC77" s="67" t="n">
        <f aca="false">IF(AND(BA77&gt;0,BB76&gt;0,B77&gt;0),MIN(conv_cap,conv_beta*1*BA77*MAX(0,LN(B77/(BB76*BD76)))),0)</f>
        <v>0.00572678418533747</v>
      </c>
      <c r="BD77" s="68" t="n">
        <f aca="false">BD76*(1+BC77)</f>
        <v>1.12110970635386</v>
      </c>
      <c r="BE77" s="50" t="n">
        <f aca="false">AZ77*BD77</f>
        <v>4324.12013740683</v>
      </c>
      <c r="BF77" s="70" t="n">
        <f aca="false">IF(AY77&gt;0,BE77*1000000/AY77/Economy!Q77,0)</f>
        <v>0.072735410217104</v>
      </c>
      <c r="BG77" s="48" t="n">
        <v>39200000</v>
      </c>
      <c r="BH77" s="48" t="n">
        <v>4443</v>
      </c>
      <c r="BI77" s="71" t="n">
        <v>0.325</v>
      </c>
      <c r="BJ77" s="50" t="n">
        <f aca="false">IF(BG77&gt;0,BH77*1000000/BG77,0)</f>
        <v>113.341836734694</v>
      </c>
      <c r="BK77" s="67" t="n">
        <f aca="false">IF(AND(BI77&gt;0,BJ76&gt;0,B77&gt;0),MIN(conv_cap,conv_beta*1*BI77*MAX(0,LN(B77/(BJ76*BL76)))),0)</f>
        <v>0.00692755445521373</v>
      </c>
      <c r="BL77" s="68" t="n">
        <f aca="false">BL76*(1+BK77)</f>
        <v>1.15642724052051</v>
      </c>
      <c r="BM77" s="50" t="n">
        <f aca="false">BH77*BL77</f>
        <v>5138.0062296326</v>
      </c>
      <c r="BN77" s="70" t="n">
        <f aca="false">IF(BG77&gt;0,BM77*1000000/BG77/Economy!Q77,0)</f>
        <v>0.225985495673496</v>
      </c>
      <c r="BO77" s="48" t="n">
        <v>16800000</v>
      </c>
      <c r="BP77" s="48" t="n">
        <v>1275</v>
      </c>
      <c r="BQ77" s="71" t="n">
        <v>0.125</v>
      </c>
      <c r="BR77" s="50" t="n">
        <f aca="false">IF(BO77&gt;0,BP77*1000000/BO77,0)</f>
        <v>75.8928571428571</v>
      </c>
      <c r="BS77" s="67" t="n">
        <f aca="false">IF(AND(BQ77&gt;0,BR76&gt;0,B77&gt;0),MIN(conv_cap,conv_beta*1*BQ77*MAX(0,LN(B77/(BR76*BT76)))),0)</f>
        <v>0.00329981276571935</v>
      </c>
      <c r="BT77" s="68" t="n">
        <f aca="false">BT76*(1+BS77)</f>
        <v>1.02812004726812</v>
      </c>
      <c r="BU77" s="50" t="n">
        <f aca="false">BP77*BT77</f>
        <v>1310.85306026685</v>
      </c>
      <c r="BV77" s="70" t="n">
        <f aca="false">IF(BO77&gt;0,BU77*1000000/BO77/Economy!Q77,0)</f>
        <v>0.134529254953495</v>
      </c>
      <c r="BW77" s="68" t="n">
        <f aca="false">0.25*IF(D77&gt;0,H77,1)+0.15*IF(AJ77&gt;0,AN77,1)+0.03*IF(AR77&gt;0,AV77,1)+0.08*IF(AZ77&gt;0,BD77,1)+0.12*IF(BH77&gt;0,BL77,1)+0.1*IF(L77&gt;0,P77,1)+0.07*IF(T77&gt;0,X77,1)+0.05*IF(AB77&gt;0,AF77,1)+0.05*IF(BP77&gt;0,BT77,1)+0.1</f>
        <v>1.43502208491419</v>
      </c>
      <c r="BX77" s="66" t="n">
        <f aca="false">MIN(mkt_cap,mkt_elast*MAX(0,BW77-1))</f>
        <v>0.217511042457096</v>
      </c>
      <c r="BY77" s="50" t="n">
        <f aca="false">I77+Q77+Y77+AG77</f>
        <v>13954.1711122411</v>
      </c>
      <c r="BZ77" s="50" t="n">
        <f aca="false">D77+L77+T77+AB77</f>
        <v>8401.7536</v>
      </c>
      <c r="CA77" s="68" t="n">
        <f aca="false">IF(BZ77&gt;0,BY77/BZ77,0)</f>
        <v>1.66086412153781</v>
      </c>
    </row>
    <row r="78" customFormat="false" ht="14.25" hidden="false" customHeight="false" outlineLevel="0" collapsed="false">
      <c r="A78" s="64" t="n">
        <v>1918</v>
      </c>
      <c r="B78" s="50" t="n">
        <f aca="false">Economy!P77</f>
        <v>1298.7696586967</v>
      </c>
      <c r="C78" s="48" t="n">
        <v>54660000</v>
      </c>
      <c r="D78" s="65" t="n">
        <f aca="false">Japan!B78</f>
        <v>6010</v>
      </c>
      <c r="E78" s="71" t="n">
        <v>0.84</v>
      </c>
      <c r="F78" s="50" t="n">
        <f aca="false">IF(C78&gt;0,D78*1000000/C78,0)</f>
        <v>109.952433223564</v>
      </c>
      <c r="G78" s="67" t="n">
        <f aca="false">IF(AND(E78&gt;0,F77&gt;0,B78&gt;0),MIN(conv_cap,conv_beta*jp_uplift*E78*MAX(0,LN(B78/(F77*H77)))),0)</f>
        <v>0.0173179342438974</v>
      </c>
      <c r="H78" s="68" t="n">
        <f aca="false">H77*(1+G78)</f>
        <v>2.11581559144266</v>
      </c>
      <c r="I78" s="50" t="n">
        <f aca="false">D78*H78</f>
        <v>12716.0517045704</v>
      </c>
      <c r="J78" s="70" t="n">
        <f aca="false">IF(C78&gt;0,I78*1000000/C78/Economy!Q78,0)</f>
        <v>0.315229095571103</v>
      </c>
      <c r="K78" s="65" t="n">
        <f aca="false">Gulf!B78</f>
        <v>9120000</v>
      </c>
      <c r="L78" s="50" t="n">
        <f aca="false">Gulf!B78*Gulf!C78*Economy!Q78/1000000</f>
        <v>4462.36128</v>
      </c>
      <c r="M78" s="71" t="n">
        <v>0.721</v>
      </c>
      <c r="N78" s="50" t="n">
        <f aca="false">IF(K78&gt;0,L78*1000000/K78,0)</f>
        <v>489.294</v>
      </c>
      <c r="O78" s="67" t="n">
        <f aca="false">IF(AND(M78&gt;0,N77&gt;0,B78&gt;0),MIN(conv_cap,conv_beta*1*M78*MAX(0,LN(B78/(N77*P77)))),0)</f>
        <v>0.00800661526844836</v>
      </c>
      <c r="P78" s="68" t="n">
        <f aca="false">P77*(1+O78)</f>
        <v>1.13687091913321</v>
      </c>
      <c r="Q78" s="50" t="n">
        <f aca="false">L78*P78</f>
        <v>5073.12876989806</v>
      </c>
      <c r="R78" s="70" t="n">
        <f aca="false">IF(K78&gt;0,Q78*1000000/K78/Economy!Q78,0)</f>
        <v>0.75374541938532</v>
      </c>
      <c r="S78" s="65" t="n">
        <f aca="false">People!U78</f>
        <v>10470122</v>
      </c>
      <c r="T78" s="48" t="n">
        <v>775.602</v>
      </c>
      <c r="U78" s="71" t="n">
        <v>0.741</v>
      </c>
      <c r="V78" s="50" t="n">
        <f aca="false">IF(S78&gt;0,T78*1000000/S78,0)</f>
        <v>74.0776468507244</v>
      </c>
      <c r="W78" s="67" t="n">
        <f aca="false">IF(AND(U78&gt;0,V77&gt;0,B78&gt;0),MIN(conv_cap,conv_beta*1*U78*MAX(0,LN(B78/(V77*X77)))),0)</f>
        <v>0.017919508856428</v>
      </c>
      <c r="X78" s="68" t="n">
        <f aca="false">X77*(1+W78)</f>
        <v>1.71718822915647</v>
      </c>
      <c r="Y78" s="50" t="n">
        <f aca="false">T78*X78</f>
        <v>1331.85462491022</v>
      </c>
      <c r="Z78" s="70" t="n">
        <f aca="false">IF(S78&gt;0,Y78*1000000/S78/Economy!Q78,0)</f>
        <v>0.172364855305791</v>
      </c>
      <c r="AA78" s="48" t="n">
        <v>0</v>
      </c>
      <c r="AB78" s="48" t="n">
        <v>0</v>
      </c>
      <c r="AC78" s="71" t="n">
        <v>0</v>
      </c>
      <c r="AD78" s="50" t="n">
        <f aca="false">IF(AA78&gt;0,AB78*1000000/AA78,0)</f>
        <v>0</v>
      </c>
      <c r="AE78" s="67" t="n">
        <f aca="false">IF(AND(AC78&gt;0,AD77&gt;0,B78&gt;0),MIN(conv_cap,conv_beta*1*AC78*MAX(0,LN(B78/(AD77*AF77)))),0)</f>
        <v>0</v>
      </c>
      <c r="AF78" s="68" t="n">
        <f aca="false">AF77*(1+AE78)</f>
        <v>1</v>
      </c>
      <c r="AG78" s="50" t="n">
        <f aca="false">AB78*AF78</f>
        <v>0</v>
      </c>
      <c r="AH78" s="70" t="n">
        <f aca="false">IF(AA78&gt;0,AG78*1000000/AA78/Economy!Q78,0)</f>
        <v>0</v>
      </c>
      <c r="AI78" s="48" t="n">
        <v>448800000</v>
      </c>
      <c r="AJ78" s="48" t="n">
        <v>5938</v>
      </c>
      <c r="AK78" s="71" t="n">
        <v>0.28</v>
      </c>
      <c r="AL78" s="50" t="n">
        <f aca="false">IF(AI78&gt;0,AJ78*1000000/AI78,0)</f>
        <v>13.2308377896613</v>
      </c>
      <c r="AM78" s="67" t="n">
        <f aca="false">IF(AND(AK78&gt;0,AL77&gt;0,B78&gt;0),MIN(conv_cap,conv_beta*1*AK78*MAX(0,LN(B78/(AL77*AN77)))),0)</f>
        <v>0.012002157994608</v>
      </c>
      <c r="AN78" s="68" t="n">
        <f aca="false">AN77*(1+AM78)</f>
        <v>1.39897179198671</v>
      </c>
      <c r="AO78" s="50" t="n">
        <f aca="false">AJ78*AN78</f>
        <v>8307.09450081707</v>
      </c>
      <c r="AP78" s="70" t="n">
        <f aca="false">IF(AI78&gt;0,AO78*1000000/AI78/Economy!Q78,0)</f>
        <v>0.0250807166017452</v>
      </c>
      <c r="AQ78" s="48" t="n">
        <v>16560000</v>
      </c>
      <c r="AR78" s="48" t="n">
        <v>588</v>
      </c>
      <c r="AS78" s="71" t="n">
        <v>0.554</v>
      </c>
      <c r="AT78" s="50" t="n">
        <f aca="false">IF(AQ78&gt;0,AR78*1000000/AQ78,0)</f>
        <v>35.5072463768116</v>
      </c>
      <c r="AU78" s="67" t="n">
        <f aca="false">IF(AND(AS78&gt;0,AT77&gt;0,B78&gt;0),MIN(conv_cap,conv_beta*1*AS78*MAX(0,LN(B78/(AT77*AV77)))),0)</f>
        <v>0.0177216704446998</v>
      </c>
      <c r="AV78" s="68" t="n">
        <f aca="false">AV77*(1+AU78)</f>
        <v>1.59369672357718</v>
      </c>
      <c r="AW78" s="50" t="n">
        <f aca="false">AR78*AV78</f>
        <v>937.09367346338</v>
      </c>
      <c r="AX78" s="70" t="n">
        <f aca="false">IF(AQ78&gt;0,AW78*1000000/AQ78/Economy!Q78,0)</f>
        <v>0.0766772116720491</v>
      </c>
      <c r="AY78" s="48" t="n">
        <v>104400000</v>
      </c>
      <c r="AZ78" s="48" t="n">
        <v>4071</v>
      </c>
      <c r="BA78" s="71" t="n">
        <v>0.181</v>
      </c>
      <c r="BB78" s="50" t="n">
        <f aca="false">IF(AY78&gt;0,AZ78*1000000/AY78,0)</f>
        <v>38.9942528735632</v>
      </c>
      <c r="BC78" s="67" t="n">
        <f aca="false">IF(AND(BA78&gt;0,BB77&gt;0,B78&gt;0),MIN(conv_cap,conv_beta*1*BA78*MAX(0,LN(B78/(BB77*BD77)))),0)</f>
        <v>0.0062029994426458</v>
      </c>
      <c r="BD78" s="68" t="n">
        <f aca="false">BD77*(1+BC78)</f>
        <v>1.12806394923752</v>
      </c>
      <c r="BE78" s="50" t="n">
        <f aca="false">AZ78*BD78</f>
        <v>4592.34833734593</v>
      </c>
      <c r="BF78" s="70" t="n">
        <f aca="false">IF(AY78&gt;0,BE78*1000000/AY78/Economy!Q78,0)</f>
        <v>0.0596043508050381</v>
      </c>
      <c r="BG78" s="48" t="n">
        <v>39800000</v>
      </c>
      <c r="BH78" s="48" t="n">
        <v>4629</v>
      </c>
      <c r="BI78" s="71" t="n">
        <v>0.331</v>
      </c>
      <c r="BJ78" s="50" t="n">
        <f aca="false">IF(BG78&gt;0,BH78*1000000/BG78,0)</f>
        <v>116.306532663317</v>
      </c>
      <c r="BK78" s="67" t="n">
        <f aca="false">IF(AND(BI78&gt;0,BJ77&gt;0,B78&gt;0),MIN(conv_cap,conv_beta*1*BI78*MAX(0,LN(B78/(BJ77*BL77)))),0)</f>
        <v>0.00759125010781111</v>
      </c>
      <c r="BL78" s="68" t="n">
        <f aca="false">BL77*(1+BK78)</f>
        <v>1.16520596893478</v>
      </c>
      <c r="BM78" s="50" t="n">
        <f aca="false">BH78*BL78</f>
        <v>5393.73843019911</v>
      </c>
      <c r="BN78" s="70" t="n">
        <f aca="false">IF(BG78&gt;0,BM78*1000000/BG78/Economy!Q78,0)</f>
        <v>0.183632880874532</v>
      </c>
      <c r="BO78" s="48" t="n">
        <v>16900000</v>
      </c>
      <c r="BP78" s="48" t="n">
        <v>1319</v>
      </c>
      <c r="BQ78" s="71" t="n">
        <v>0.131</v>
      </c>
      <c r="BR78" s="50" t="n">
        <f aca="false">IF(BO78&gt;0,BP78*1000000/BO78,0)</f>
        <v>78.0473372781065</v>
      </c>
      <c r="BS78" s="67" t="n">
        <f aca="false">IF(AND(BQ78&gt;0,BR77&gt;0,B78&gt;0),MIN(conv_cap,conv_beta*1*BQ78*MAX(0,LN(B78/(BR77*BT77)))),0)</f>
        <v>0.00368387480274089</v>
      </c>
      <c r="BT78" s="68" t="n">
        <f aca="false">BT77*(1+BS78)</f>
        <v>1.03190751280444</v>
      </c>
      <c r="BU78" s="50" t="n">
        <f aca="false">BP78*BT78</f>
        <v>1361.08600938906</v>
      </c>
      <c r="BV78" s="70" t="n">
        <f aca="false">IF(BO78&gt;0,BU78*1000000/BO78/Economy!Q78,0)</f>
        <v>0.109129584948049</v>
      </c>
      <c r="BW78" s="68" t="n">
        <f aca="false">0.25*IF(D78&gt;0,H78,1)+0.15*IF(AJ78&gt;0,AN78,1)+0.03*IF(AR78&gt;0,AV78,1)+0.08*IF(AZ78&gt;0,BD78,1)+0.12*IF(BH78&gt;0,BL78,1)+0.1*IF(L78&gt;0,P78,1)+0.07*IF(T78&gt;0,X78,1)+0.05*IF(AB78&gt;0,AF78,1)+0.05*IF(BP78&gt;0,BT78,1)+0.1</f>
        <v>1.45216604417166</v>
      </c>
      <c r="BX78" s="66" t="n">
        <f aca="false">MIN(mkt_cap,mkt_elast*MAX(0,BW78-1))</f>
        <v>0.226083022085829</v>
      </c>
      <c r="BY78" s="50" t="n">
        <f aca="false">I78+Q78+Y78+AG78</f>
        <v>19121.0350993787</v>
      </c>
      <c r="BZ78" s="50" t="n">
        <f aca="false">D78+L78+T78+AB78</f>
        <v>11247.96328</v>
      </c>
      <c r="CA78" s="68" t="n">
        <f aca="false">IF(BZ78&gt;0,BY78/BZ78,0)</f>
        <v>1.69995532732382</v>
      </c>
    </row>
    <row r="79" customFormat="false" ht="14.25" hidden="false" customHeight="false" outlineLevel="0" collapsed="false">
      <c r="A79" s="64" t="n">
        <v>1919</v>
      </c>
      <c r="B79" s="50" t="n">
        <f aca="false">Economy!P78</f>
        <v>1528.53735163412</v>
      </c>
      <c r="C79" s="48" t="n">
        <v>55330000</v>
      </c>
      <c r="D79" s="65" t="n">
        <f aca="false">Japan!B79</f>
        <v>7730</v>
      </c>
      <c r="E79" s="71" t="n">
        <v>0.85</v>
      </c>
      <c r="F79" s="50" t="n">
        <f aca="false">IF(C79&gt;0,D79*1000000/C79,0)</f>
        <v>139.707211277788</v>
      </c>
      <c r="G79" s="67" t="n">
        <f aca="false">IF(AND(E79&gt;0,F78&gt;0,B79&gt;0),MIN(conv_cap,conv_beta*jp_uplift*E79*MAX(0,LN(B79/(F78*H78)))),0)</f>
        <v>0.0160019161466732</v>
      </c>
      <c r="H79" s="68" t="n">
        <f aca="false">H78*(1+G79)</f>
        <v>2.14967269511875</v>
      </c>
      <c r="I79" s="50" t="n">
        <f aca="false">D79*H79</f>
        <v>16616.9699332679</v>
      </c>
      <c r="J79" s="70" t="n">
        <f aca="false">IF(C79&gt;0,I79*1000000/C79/Economy!Q79,0)</f>
        <v>0.375405971743808</v>
      </c>
      <c r="K79" s="65" t="n">
        <f aca="false">Gulf!B79</f>
        <v>9260000</v>
      </c>
      <c r="L79" s="50" t="n">
        <f aca="false">Gulf!B79*Gulf!C79*Economy!Q79/1000000</f>
        <v>4970.768</v>
      </c>
      <c r="M79" s="71" t="n">
        <v>0.736</v>
      </c>
      <c r="N79" s="50" t="n">
        <f aca="false">IF(K79&gt;0,L79*1000000/K79,0)</f>
        <v>536.8</v>
      </c>
      <c r="O79" s="67" t="n">
        <f aca="false">IF(AND(M79&gt;0,N78&gt;0,B79&gt;0),MIN(conv_cap,conv_beta*1*M79*MAX(0,LN(B79/(N78*P78)))),0)</f>
        <v>0.00743965993903688</v>
      </c>
      <c r="P79" s="68" t="n">
        <f aca="false">P78*(1+O79)</f>
        <v>1.14532885216614</v>
      </c>
      <c r="Q79" s="50" t="n">
        <f aca="false">L79*P79</f>
        <v>5693.1640078242</v>
      </c>
      <c r="R79" s="70" t="n">
        <f aca="false">IF(K79&gt;0,Q79*1000000/K79/Economy!Q79,0)</f>
        <v>0.768515659803483</v>
      </c>
      <c r="S79" s="65" t="n">
        <f aca="false">People!U79</f>
        <v>10666184</v>
      </c>
      <c r="T79" s="48" t="n">
        <v>844.715</v>
      </c>
      <c r="U79" s="71" t="n">
        <v>0.756</v>
      </c>
      <c r="V79" s="50" t="n">
        <f aca="false">IF(S79&gt;0,T79*1000000/S79,0)</f>
        <v>79.195614851572</v>
      </c>
      <c r="W79" s="67" t="n">
        <f aca="false">IF(AND(U79&gt;0,V78&gt;0,B79&gt;0),MIN(conv_cap,conv_beta*1*U79*MAX(0,LN(B79/(V78*X78)))),0)</f>
        <v>0.0187961600002</v>
      </c>
      <c r="X79" s="68" t="n">
        <f aca="false">X78*(1+W79)</f>
        <v>1.74946477386216</v>
      </c>
      <c r="Y79" s="50" t="n">
        <f aca="false">T79*X79</f>
        <v>1477.79913645297</v>
      </c>
      <c r="Z79" s="70" t="n">
        <f aca="false">IF(S79&gt;0,Y79*1000000/S79/Economy!Q79,0)</f>
        <v>0.173187423033975</v>
      </c>
      <c r="AA79" s="48" t="n">
        <v>0</v>
      </c>
      <c r="AB79" s="48" t="n">
        <v>0</v>
      </c>
      <c r="AC79" s="71" t="n">
        <v>0</v>
      </c>
      <c r="AD79" s="50" t="n">
        <f aca="false">IF(AA79&gt;0,AB79*1000000/AA79,0)</f>
        <v>0</v>
      </c>
      <c r="AE79" s="67" t="n">
        <f aca="false">IF(AND(AC79&gt;0,AD78&gt;0,B79&gt;0),MIN(conv_cap,conv_beta*1*AC79*MAX(0,LN(B79/(AD78*AF78)))),0)</f>
        <v>0</v>
      </c>
      <c r="AF79" s="68" t="n">
        <f aca="false">AF78*(1+AE79)</f>
        <v>1</v>
      </c>
      <c r="AG79" s="50" t="n">
        <f aca="false">AB79*AF79</f>
        <v>0</v>
      </c>
      <c r="AH79" s="70" t="n">
        <f aca="false">IF(AA79&gt;0,AG79*1000000/AA79/Economy!Q79,0)</f>
        <v>0</v>
      </c>
      <c r="AI79" s="48" t="n">
        <v>452500000</v>
      </c>
      <c r="AJ79" s="48" t="n">
        <v>6125</v>
      </c>
      <c r="AK79" s="71" t="n">
        <v>0.285</v>
      </c>
      <c r="AL79" s="50" t="n">
        <f aca="false">IF(AI79&gt;0,AJ79*1000000/AI79,0)</f>
        <v>13.5359116022099</v>
      </c>
      <c r="AM79" s="67" t="n">
        <f aca="false">IF(AND(AK79&gt;0,AL78&gt;0,B79&gt;0),MIN(conv_cap,conv_beta*1*AK79*MAX(0,LN(B79/(AL78*AN78)))),0)</f>
        <v>0.0125792694209999</v>
      </c>
      <c r="AN79" s="68" t="n">
        <f aca="false">AN78*(1+AM79)</f>
        <v>1.41656983507049</v>
      </c>
      <c r="AO79" s="50" t="n">
        <f aca="false">AJ79*AN79</f>
        <v>8676.49023980674</v>
      </c>
      <c r="AP79" s="70" t="n">
        <f aca="false">IF(AI79&gt;0,AO79*1000000/AI79/Economy!Q79,0)</f>
        <v>0.0239682050823391</v>
      </c>
      <c r="AQ79" s="48" t="n">
        <v>16880000</v>
      </c>
      <c r="AR79" s="48" t="n">
        <v>625</v>
      </c>
      <c r="AS79" s="71" t="n">
        <v>0.558</v>
      </c>
      <c r="AT79" s="50" t="n">
        <f aca="false">IF(AQ79&gt;0,AR79*1000000/AQ79,0)</f>
        <v>37.0260663507109</v>
      </c>
      <c r="AU79" s="67" t="n">
        <f aca="false">IF(AND(AS79&gt;0,AT78&gt;0,B79&gt;0),MIN(conv_cap,conv_beta*1*AS79*MAX(0,LN(B79/(AT78*AV78)))),0)</f>
        <v>0.0183932060064536</v>
      </c>
      <c r="AV79" s="68" t="n">
        <f aca="false">AV78*(1+AU79)</f>
        <v>1.62300991572574</v>
      </c>
      <c r="AW79" s="50" t="n">
        <f aca="false">AR79*AV79</f>
        <v>1014.38119732859</v>
      </c>
      <c r="AX79" s="70" t="n">
        <f aca="false">IF(AQ79&gt;0,AW79*1000000/AQ79/Economy!Q79,0)</f>
        <v>0.0751170910344038</v>
      </c>
      <c r="AY79" s="48" t="n">
        <v>106200000</v>
      </c>
      <c r="AZ79" s="48" t="n">
        <v>4286</v>
      </c>
      <c r="BA79" s="71" t="n">
        <v>0.188</v>
      </c>
      <c r="BB79" s="50" t="n">
        <f aca="false">IF(AY79&gt;0,AZ79*1000000/AY79,0)</f>
        <v>40.3578154425612</v>
      </c>
      <c r="BC79" s="67" t="n">
        <f aca="false">IF(AND(BA79&gt;0,BB78&gt;0,B79&gt;0),MIN(conv_cap,conv_beta*1*BA79*MAX(0,LN(B79/(BB78*BD78)))),0)</f>
        <v>0.00667052098614029</v>
      </c>
      <c r="BD79" s="68" t="n">
        <f aca="false">BD78*(1+BC79)</f>
        <v>1.13558872348461</v>
      </c>
      <c r="BE79" s="50" t="n">
        <f aca="false">AZ79*BD79</f>
        <v>4867.13326885505</v>
      </c>
      <c r="BF79" s="70" t="n">
        <f aca="false">IF(AY79&gt;0,BE79*1000000/AY79/Economy!Q79,0)</f>
        <v>0.0572873501513071</v>
      </c>
      <c r="BG79" s="48" t="n">
        <v>40400000</v>
      </c>
      <c r="BH79" s="48" t="n">
        <v>4814</v>
      </c>
      <c r="BI79" s="71" t="n">
        <v>0.338</v>
      </c>
      <c r="BJ79" s="50" t="n">
        <f aca="false">IF(BG79&gt;0,BH79*1000000/BG79,0)</f>
        <v>119.158415841584</v>
      </c>
      <c r="BK79" s="67" t="n">
        <f aca="false">IF(AND(BI79&gt;0,BJ78&gt;0,B79&gt;0),MIN(conv_cap,conv_beta*1*BI79*MAX(0,LN(B79/(BJ78*BL78)))),0)</f>
        <v>0.0081895354434886</v>
      </c>
      <c r="BL79" s="68" t="n">
        <f aca="false">BL78*(1+BK79)</f>
        <v>1.17474846451634</v>
      </c>
      <c r="BM79" s="50" t="n">
        <f aca="false">BH79*BL79</f>
        <v>5655.23910818165</v>
      </c>
      <c r="BN79" s="70" t="n">
        <f aca="false">IF(BG79&gt;0,BM79*1000000/BG79/Economy!Q79,0)</f>
        <v>0.174976457555125</v>
      </c>
      <c r="BO79" s="48" t="n">
        <v>17100000</v>
      </c>
      <c r="BP79" s="48" t="n">
        <v>1362</v>
      </c>
      <c r="BQ79" s="71" t="n">
        <v>0.138</v>
      </c>
      <c r="BR79" s="50" t="n">
        <f aca="false">IF(BO79&gt;0,BP79*1000000/BO79,0)</f>
        <v>79.6491228070176</v>
      </c>
      <c r="BS79" s="67" t="n">
        <f aca="false">IF(AND(BQ79&gt;0,BR78&gt;0,B79&gt;0),MIN(conv_cap,conv_beta*1*BQ79*MAX(0,LN(B79/(BR78*BT78)))),0)</f>
        <v>0.00406181196464598</v>
      </c>
      <c r="BT79" s="68" t="n">
        <f aca="false">BT78*(1+BS79)</f>
        <v>1.03609892708636</v>
      </c>
      <c r="BU79" s="50" t="n">
        <f aca="false">BP79*BT79</f>
        <v>1411.16673869162</v>
      </c>
      <c r="BV79" s="70" t="n">
        <f aca="false">IF(BO79&gt;0,BU79*1000000/BO79/Economy!Q79,0)</f>
        <v>0.103155463354651</v>
      </c>
      <c r="BW79" s="68" t="n">
        <f aca="false">0.25*IF(D79&gt;0,H79,1)+0.15*IF(AJ79&gt;0,AN79,1)+0.03*IF(AR79&gt;0,AV79,1)+0.08*IF(AZ79&gt;0,BD79,1)+0.12*IF(BH79&gt;0,BL79,1)+0.1*IF(L79&gt;0,P79,1)+0.07*IF(T79&gt;0,X79,1)+0.05*IF(AB79&gt;0,AF79,1)+0.05*IF(BP79&gt;0,BT79,1)+0.1</f>
        <v>1.46921122587405</v>
      </c>
      <c r="BX79" s="66" t="n">
        <f aca="false">MIN(mkt_cap,mkt_elast*MAX(0,BW79-1))</f>
        <v>0.234605612937023</v>
      </c>
      <c r="BY79" s="50" t="n">
        <f aca="false">I79+Q79+Y79+AG79</f>
        <v>23787.9330775451</v>
      </c>
      <c r="BZ79" s="50" t="n">
        <f aca="false">D79+L79+T79+AB79</f>
        <v>13545.483</v>
      </c>
      <c r="CA79" s="68" t="n">
        <f aca="false">IF(BZ79&gt;0,BY79/BZ79,0)</f>
        <v>1.75615244414283</v>
      </c>
    </row>
    <row r="80" customFormat="false" ht="14.25" hidden="false" customHeight="false" outlineLevel="0" collapsed="false">
      <c r="A80" s="64" t="n">
        <v>1920</v>
      </c>
      <c r="B80" s="50" t="n">
        <f aca="false">Economy!P79</f>
        <v>1695.76007857332</v>
      </c>
      <c r="C80" s="48" t="n">
        <v>56000000</v>
      </c>
      <c r="D80" s="65" t="n">
        <f aca="false">Japan!B80</f>
        <v>7930</v>
      </c>
      <c r="E80" s="71" t="n">
        <v>0.869</v>
      </c>
      <c r="F80" s="50" t="n">
        <f aca="false">IF(C80&gt;0,D80*1000000/C80,0)</f>
        <v>141.607142857143</v>
      </c>
      <c r="G80" s="67" t="n">
        <f aca="false">IF(AND(E80&gt;0,F79&gt;0,B80&gt;0),MIN(conv_cap,conv_beta*jp_uplift*E80*MAX(0,LN(B80/(F79*H79)))),0)</f>
        <v>0.0150425799881318</v>
      </c>
      <c r="H80" s="68" t="n">
        <f aca="false">H79*(1+G80)</f>
        <v>2.18200931858338</v>
      </c>
      <c r="I80" s="50" t="n">
        <f aca="false">D80*H80</f>
        <v>17303.3338963662</v>
      </c>
      <c r="J80" s="70" t="n">
        <f aca="false">IF(C80&gt;0,I80*1000000/C80/Economy!Q80,0)</f>
        <v>0.359288494525876</v>
      </c>
      <c r="K80" s="65" t="n">
        <f aca="false">Gulf!B80</f>
        <v>9400000</v>
      </c>
      <c r="L80" s="50" t="n">
        <f aca="false">Gulf!B80*Gulf!C80*Economy!Q80/1000000</f>
        <v>5497.12</v>
      </c>
      <c r="M80" s="71" t="n">
        <v>0.75</v>
      </c>
      <c r="N80" s="50" t="n">
        <f aca="false">IF(K80&gt;0,L80*1000000/K80,0)</f>
        <v>584.8</v>
      </c>
      <c r="O80" s="67" t="n">
        <f aca="false">IF(AND(M80&gt;0,N79&gt;0,B80&gt;0),MIN(conv_cap,conv_beta*1*M80*MAX(0,LN(B80/(N79*P79)))),0)</f>
        <v>0.0076092671601003</v>
      </c>
      <c r="P80" s="68" t="n">
        <f aca="false">P79*(1+O80)</f>
        <v>1.15404396538845</v>
      </c>
      <c r="Q80" s="50" t="n">
        <f aca="false">L80*P80</f>
        <v>6343.91816301614</v>
      </c>
      <c r="R80" s="70" t="n">
        <f aca="false">IF(K80&gt;0,Q80*1000000/K80/Economy!Q80,0)</f>
        <v>0.784749896464144</v>
      </c>
      <c r="S80" s="65" t="n">
        <f aca="false">People!U80</f>
        <v>10862301</v>
      </c>
      <c r="T80" s="48" t="n">
        <v>914.848</v>
      </c>
      <c r="U80" s="71" t="n">
        <v>0.77</v>
      </c>
      <c r="V80" s="50" t="n">
        <f aca="false">IF(S80&gt;0,T80*1000000/S80,0)</f>
        <v>84.2223024384981</v>
      </c>
      <c r="W80" s="67" t="n">
        <f aca="false">IF(AND(U80&gt;0,V79&gt;0,B80&gt;0),MIN(conv_cap,conv_beta*1*U80*MAX(0,LN(B80/(V79*X79)))),0)</f>
        <v>0.0192858474758135</v>
      </c>
      <c r="X80" s="68" t="n">
        <f aca="false">X79*(1+W80)</f>
        <v>1.78320468465517</v>
      </c>
      <c r="Y80" s="50" t="n">
        <f aca="false">T80*X80</f>
        <v>1631.36123934741</v>
      </c>
      <c r="Z80" s="70" t="n">
        <f aca="false">IF(S80&gt;0,Y80*1000000/S80/Economy!Q80,0)</f>
        <v>0.17463442355904</v>
      </c>
      <c r="AA80" s="48" t="n">
        <v>0</v>
      </c>
      <c r="AB80" s="48" t="n">
        <v>0</v>
      </c>
      <c r="AC80" s="71" t="n">
        <v>0</v>
      </c>
      <c r="AD80" s="50" t="n">
        <f aca="false">IF(AA80&gt;0,AB80*1000000/AA80,0)</f>
        <v>0</v>
      </c>
      <c r="AE80" s="67" t="n">
        <f aca="false">IF(AND(AC80&gt;0,AD79&gt;0,B80&gt;0),MIN(conv_cap,conv_beta*1*AC80*MAX(0,LN(B80/(AD79*AF79)))),0)</f>
        <v>0</v>
      </c>
      <c r="AF80" s="68" t="n">
        <f aca="false">AF79*(1+AE80)</f>
        <v>1</v>
      </c>
      <c r="AG80" s="50" t="n">
        <f aca="false">AB80*AF80</f>
        <v>0</v>
      </c>
      <c r="AH80" s="70" t="n">
        <f aca="false">IF(AA80&gt;0,AG80*1000000/AA80/Economy!Q80,0)</f>
        <v>0</v>
      </c>
      <c r="AI80" s="48" t="n">
        <v>456200000</v>
      </c>
      <c r="AJ80" s="48" t="n">
        <v>6312</v>
      </c>
      <c r="AK80" s="71" t="n">
        <v>0.29</v>
      </c>
      <c r="AL80" s="50" t="n">
        <f aca="false">IF(AI80&gt;0,AJ80*1000000/AI80,0)</f>
        <v>13.8360368259535</v>
      </c>
      <c r="AM80" s="67" t="n">
        <f aca="false">IF(AND(AK80&gt;0,AL79&gt;0,B80&gt;0),MIN(conv_cap,conv_beta*1*AK80*MAX(0,LN(B80/(AL79*AN79)))),0)</f>
        <v>0.0129986750191736</v>
      </c>
      <c r="AN80" s="68" t="n">
        <f aca="false">AN79*(1+AM80)</f>
        <v>1.43498336599853</v>
      </c>
      <c r="AO80" s="50" t="n">
        <f aca="false">AJ80*AN80</f>
        <v>9057.61500618274</v>
      </c>
      <c r="AP80" s="70" t="n">
        <f aca="false">IF(AI80&gt;0,AO80*1000000/AI80/Economy!Q80,0)</f>
        <v>0.0230866077867284</v>
      </c>
      <c r="AQ80" s="48" t="n">
        <v>17190000</v>
      </c>
      <c r="AR80" s="48" t="n">
        <v>662</v>
      </c>
      <c r="AS80" s="71" t="n">
        <v>0.562</v>
      </c>
      <c r="AT80" s="50" t="n">
        <f aca="false">IF(AQ80&gt;0,AR80*1000000/AQ80,0)</f>
        <v>38.5107620709715</v>
      </c>
      <c r="AU80" s="67" t="n">
        <f aca="false">IF(AND(AS80&gt;0,AT79&gt;0,B80&gt;0),MIN(conv_cap,conv_beta*1*AS80*MAX(0,LN(B80/(AT79*AV79)))),0)</f>
        <v>0.0187706976297488</v>
      </c>
      <c r="AV80" s="68" t="n">
        <f aca="false">AV79*(1+AU80)</f>
        <v>1.65347494410391</v>
      </c>
      <c r="AW80" s="50" t="n">
        <f aca="false">AR80*AV80</f>
        <v>1094.60041299679</v>
      </c>
      <c r="AX80" s="70" t="n">
        <f aca="false">IF(AQ80&gt;0,AW80*1000000/AQ80/Economy!Q80,0)</f>
        <v>0.0740425350729055</v>
      </c>
      <c r="AY80" s="48" t="n">
        <v>108100000</v>
      </c>
      <c r="AZ80" s="48" t="n">
        <v>4500</v>
      </c>
      <c r="BA80" s="71" t="n">
        <v>0.194</v>
      </c>
      <c r="BB80" s="50" t="n">
        <f aca="false">IF(AY80&gt;0,AZ80*1000000/AY80,0)</f>
        <v>41.6281221091582</v>
      </c>
      <c r="BC80" s="67" t="n">
        <f aca="false">IF(AND(BA80&gt;0,BB79&gt;0,B80&gt;0),MIN(conv_cap,conv_beta*1*BA80*MAX(0,LN(B80/(BB79*BD79)))),0)</f>
        <v>0.007005243117279</v>
      </c>
      <c r="BD80" s="68" t="n">
        <f aca="false">BD79*(1+BC80)</f>
        <v>1.14354379857386</v>
      </c>
      <c r="BE80" s="50" t="n">
        <f aca="false">AZ80*BD80</f>
        <v>5145.94709358239</v>
      </c>
      <c r="BF80" s="70" t="n">
        <f aca="false">IF(AY80&gt;0,BE80*1000000/AY80/Economy!Q80,0)</f>
        <v>0.0553530010281435</v>
      </c>
      <c r="BG80" s="48" t="n">
        <v>40900000</v>
      </c>
      <c r="BH80" s="48" t="n">
        <v>5000</v>
      </c>
      <c r="BI80" s="71" t="n">
        <v>0.344</v>
      </c>
      <c r="BJ80" s="50" t="n">
        <f aca="false">IF(BG80&gt;0,BH80*1000000/BG80,0)</f>
        <v>122.249388753056</v>
      </c>
      <c r="BK80" s="67" t="n">
        <f aca="false">IF(AND(BI80&gt;0,BJ79&gt;0,B80&gt;0),MIN(conv_cap,conv_beta*1*BI80*MAX(0,LN(B80/(BJ79*BL79)))),0)</f>
        <v>0.00858066189530158</v>
      </c>
      <c r="BL80" s="68" t="n">
        <f aca="false">BL79*(1+BK80)</f>
        <v>1.18482858390238</v>
      </c>
      <c r="BM80" s="50" t="n">
        <f aca="false">BH80*BL80</f>
        <v>5924.14291951189</v>
      </c>
      <c r="BN80" s="70" t="n">
        <f aca="false">IF(BG80&gt;0,BM80*1000000/BG80/Economy!Q80,0)</f>
        <v>0.168423918789785</v>
      </c>
      <c r="BO80" s="48" t="n">
        <v>17300000</v>
      </c>
      <c r="BP80" s="48" t="n">
        <v>1406</v>
      </c>
      <c r="BQ80" s="71" t="n">
        <v>0.144</v>
      </c>
      <c r="BR80" s="50" t="n">
        <f aca="false">IF(BO80&gt;0,BP80*1000000/BO80,0)</f>
        <v>81.271676300578</v>
      </c>
      <c r="BS80" s="67" t="n">
        <f aca="false">IF(AND(BQ80&gt;0,BR79&gt;0,B80&gt;0),MIN(conv_cap,conv_beta*1*BQ80*MAX(0,LN(B80/(BR79*BT79)))),0)</f>
        <v>0.00435282147546443</v>
      </c>
      <c r="BT80" s="68" t="n">
        <f aca="false">BT79*(1+BS80)</f>
        <v>1.04060888074689</v>
      </c>
      <c r="BU80" s="50" t="n">
        <f aca="false">BP80*BT80</f>
        <v>1463.09608633012</v>
      </c>
      <c r="BV80" s="70" t="n">
        <f aca="false">IF(BO80&gt;0,BU80*1000000/BO80/Economy!Q80,0)</f>
        <v>0.0983395675715905</v>
      </c>
      <c r="BW80" s="68" t="n">
        <f aca="false">0.25*IF(D80&gt;0,H80,1)+0.15*IF(AJ80&gt;0,AN80,1)+0.03*IF(AR80&gt;0,AV80,1)+0.08*IF(AZ80&gt;0,BD80,1)+0.12*IF(BH80&gt;0,BL80,1)+0.1*IF(L80&gt;0,P80,1)+0.07*IF(T80&gt;0,X80,1)+0.05*IF(AB80&gt;0,AF80,1)+0.05*IF(BP80&gt;0,BT80,1)+0.1</f>
        <v>1.48627618532499</v>
      </c>
      <c r="BX80" s="66" t="n">
        <f aca="false">MIN(mkt_cap,mkt_elast*MAX(0,BW80-1))</f>
        <v>0.243138092662493</v>
      </c>
      <c r="BY80" s="50" t="n">
        <f aca="false">I80+Q80+Y80+AG80</f>
        <v>25278.6132987297</v>
      </c>
      <c r="BZ80" s="50" t="n">
        <f aca="false">D80+L80+T80+AB80</f>
        <v>14341.968</v>
      </c>
      <c r="CA80" s="68" t="n">
        <f aca="false">IF(BZ80&gt;0,BY80/BZ80,0)</f>
        <v>1.76256238326077</v>
      </c>
    </row>
    <row r="81" customFormat="false" ht="14.25" hidden="false" customHeight="false" outlineLevel="0" collapsed="false">
      <c r="A81" s="64" t="n">
        <v>1921</v>
      </c>
      <c r="B81" s="50" t="n">
        <f aca="false">Economy!P80</f>
        <v>1923.80707853872</v>
      </c>
      <c r="C81" s="48" t="n">
        <v>56830000</v>
      </c>
      <c r="D81" s="65" t="n">
        <f aca="false">Japan!B81</f>
        <v>7430</v>
      </c>
      <c r="E81" s="71" t="n">
        <v>0.887</v>
      </c>
      <c r="F81" s="50" t="n">
        <f aca="false">IF(C81&gt;0,D81*1000000/C81,0)</f>
        <v>130.74080591237</v>
      </c>
      <c r="G81" s="67" t="n">
        <f aca="false">IF(AND(E81&gt;0,F80&gt;0,B81&gt;0),MIN(conv_cap,conv_beta*jp_uplift*E81*MAX(0,LN(B81/(F80*H80)))),0)</f>
        <v>0.0162210885443852</v>
      </c>
      <c r="H81" s="68" t="n">
        <f aca="false">H80*(1+G81)</f>
        <v>2.21740388494479</v>
      </c>
      <c r="I81" s="50" t="n">
        <f aca="false">D81*H81</f>
        <v>16475.3108651398</v>
      </c>
      <c r="J81" s="70" t="n">
        <f aca="false">IF(C81&gt;0,I81*1000000/C81/Economy!Q81,0)</f>
        <v>0.450163308929973</v>
      </c>
      <c r="K81" s="65" t="n">
        <f aca="false">Gulf!B81</f>
        <v>9560000</v>
      </c>
      <c r="L81" s="50" t="n">
        <f aca="false">Gulf!B81*Gulf!C81*Economy!Q81/1000000</f>
        <v>4168.04528</v>
      </c>
      <c r="M81" s="71" t="n">
        <v>0.761</v>
      </c>
      <c r="N81" s="50" t="n">
        <f aca="false">IF(K81&gt;0,L81*1000000/K81,0)</f>
        <v>435.988</v>
      </c>
      <c r="O81" s="67" t="n">
        <f aca="false">IF(AND(M81&gt;0,N80&gt;0,B81&gt;0),MIN(conv_cap,conv_beta*1*M81*MAX(0,LN(B81/(N80*P80)))),0)</f>
        <v>0.00797162096829096</v>
      </c>
      <c r="P81" s="68" t="n">
        <f aca="false">P80*(1+O81)</f>
        <v>1.16324356646127</v>
      </c>
      <c r="Q81" s="50" t="n">
        <f aca="false">L81*P81</f>
        <v>4848.45185667925</v>
      </c>
      <c r="R81" s="70" t="n">
        <f aca="false">IF(K81&gt;0,Q81*1000000/K81/Economy!Q81,0)</f>
        <v>0.787515894494278</v>
      </c>
      <c r="S81" s="65" t="n">
        <f aca="false">People!U81</f>
        <v>11058475</v>
      </c>
      <c r="T81" s="48" t="n">
        <v>954.491</v>
      </c>
      <c r="U81" s="71" t="n">
        <v>0.774</v>
      </c>
      <c r="V81" s="50" t="n">
        <f aca="false">IF(S81&gt;0,T81*1000000/S81,0)</f>
        <v>86.3130766222287</v>
      </c>
      <c r="W81" s="67" t="n">
        <f aca="false">IF(AND(U81&gt;0,V80&gt;0,B81&gt;0),MIN(conv_cap,conv_beta*1*U81*MAX(0,LN(B81/(V80*X80)))),0)</f>
        <v>0.0197384664531772</v>
      </c>
      <c r="X81" s="68" t="n">
        <f aca="false">X80*(1+W81)</f>
        <v>1.81840241050238</v>
      </c>
      <c r="Y81" s="50" t="n">
        <f aca="false">T81*X81</f>
        <v>1735.64873520283</v>
      </c>
      <c r="Z81" s="70" t="n">
        <f aca="false">IF(S81&gt;0,Y81*1000000/S81/Economy!Q81,0)</f>
        <v>0.243714140664189</v>
      </c>
      <c r="AA81" s="48" t="n">
        <v>10000000</v>
      </c>
      <c r="AB81" s="48" t="n">
        <v>1000</v>
      </c>
      <c r="AC81" s="71" t="n">
        <v>0.4</v>
      </c>
      <c r="AD81" s="50" t="n">
        <f aca="false">IF(AA81&gt;0,AB81*1000000/AA81,0)</f>
        <v>100</v>
      </c>
      <c r="AE81" s="67" t="n">
        <f aca="false">IF(AND(AC81&gt;0,AD80&gt;0,B81&gt;0),MIN(conv_cap,conv_beta*1*AC81*MAX(0,LN(B81/(AD80*AF80)))),0)</f>
        <v>0</v>
      </c>
      <c r="AF81" s="68" t="n">
        <f aca="false">AF80*(1+AE81)</f>
        <v>1</v>
      </c>
      <c r="AG81" s="50" t="n">
        <f aca="false">AB81*AF81</f>
        <v>1000</v>
      </c>
      <c r="AH81" s="70" t="n">
        <f aca="false">IF(AA81&gt;0,AG81*1000000/AA81/Economy!Q81,0)</f>
        <v>0.15527950310559</v>
      </c>
      <c r="AI81" s="48" t="n">
        <v>460000000</v>
      </c>
      <c r="AJ81" s="48" t="n">
        <v>6500</v>
      </c>
      <c r="AK81" s="71" t="n">
        <v>0.295</v>
      </c>
      <c r="AL81" s="50" t="n">
        <f aca="false">IF(AI81&gt;0,AJ81*1000000/AI81,0)</f>
        <v>14.1304347826087</v>
      </c>
      <c r="AM81" s="67" t="n">
        <f aca="false">IF(AND(AK81&gt;0,AL80&gt;0,B81&gt;0),MIN(conv_cap,conv_beta*1*AK81*MAX(0,LN(B81/(AL80*AN80)))),0)</f>
        <v>0.0134922130577123</v>
      </c>
      <c r="AN81" s="68" t="n">
        <f aca="false">AN80*(1+AM81)</f>
        <v>1.45434446730686</v>
      </c>
      <c r="AO81" s="50" t="n">
        <f aca="false">AJ81*AN81</f>
        <v>9453.23903749458</v>
      </c>
      <c r="AP81" s="70" t="n">
        <f aca="false">IF(AI81&gt;0,AO81*1000000/AI81/Economy!Q81,0)</f>
        <v>0.0319107447930549</v>
      </c>
      <c r="AQ81" s="48" t="n">
        <v>17500000</v>
      </c>
      <c r="AR81" s="48" t="n">
        <v>700</v>
      </c>
      <c r="AS81" s="71" t="n">
        <v>0.567</v>
      </c>
      <c r="AT81" s="50" t="n">
        <f aca="false">IF(AQ81&gt;0,AR81*1000000/AQ81,0)</f>
        <v>40</v>
      </c>
      <c r="AU81" s="67" t="n">
        <f aca="false">IF(AND(AS81&gt;0,AT80&gt;0,B81&gt;0),MIN(conv_cap,conv_beta*1*AS81*MAX(0,LN(B81/(AT80*AV80)))),0)</f>
        <v>0.0193247464201761</v>
      </c>
      <c r="AV81" s="68" t="n">
        <f aca="false">AV80*(1+AU81)</f>
        <v>1.68542792811084</v>
      </c>
      <c r="AW81" s="50" t="n">
        <f aca="false">AR81*AV81</f>
        <v>1179.79954967759</v>
      </c>
      <c r="AX81" s="70" t="n">
        <f aca="false">IF(AQ81&gt;0,AW81*1000000/AQ81/Economy!Q81,0)</f>
        <v>0.104684964478934</v>
      </c>
      <c r="AY81" s="48" t="n">
        <v>110000000</v>
      </c>
      <c r="AZ81" s="48" t="n">
        <v>4667</v>
      </c>
      <c r="BA81" s="71" t="n">
        <v>0.2</v>
      </c>
      <c r="BB81" s="50" t="n">
        <f aca="false">IF(AY81&gt;0,AZ81*1000000/AY81,0)</f>
        <v>42.4272727272727</v>
      </c>
      <c r="BC81" s="67" t="n">
        <f aca="false">IF(AND(BA81&gt;0,BB80&gt;0,B81&gt;0),MIN(conv_cap,conv_beta*1*BA81*MAX(0,LN(B81/(BB80*BD80)))),0)</f>
        <v>0.00739830673620166</v>
      </c>
      <c r="BD81" s="68" t="n">
        <f aca="false">BD80*(1+BC81)</f>
        <v>1.15200408636199</v>
      </c>
      <c r="BE81" s="50" t="n">
        <f aca="false">AZ81*BD81</f>
        <v>5376.40307105143</v>
      </c>
      <c r="BF81" s="70" t="n">
        <f aca="false">IF(AY81&gt;0,BE81*1000000/AY81/Economy!Q81,0)</f>
        <v>0.0758950179425667</v>
      </c>
      <c r="BG81" s="48" t="n">
        <v>41500000</v>
      </c>
      <c r="BH81" s="48" t="n">
        <v>5222</v>
      </c>
      <c r="BI81" s="71" t="n">
        <v>0.35</v>
      </c>
      <c r="BJ81" s="50" t="n">
        <f aca="false">IF(BG81&gt;0,BH81*1000000/BG81,0)</f>
        <v>125.831325301205</v>
      </c>
      <c r="BK81" s="67" t="n">
        <f aca="false">IF(AND(BI81&gt;0,BJ80&gt;0,B81&gt;0),MIN(conv_cap,conv_beta*1*BI81*MAX(0,LN(B81/(BJ80*BL80)))),0)</f>
        <v>0.00905240041164223</v>
      </c>
      <c r="BL81" s="68" t="n">
        <f aca="false">BL80*(1+BK81)</f>
        <v>1.19555412666302</v>
      </c>
      <c r="BM81" s="50" t="n">
        <f aca="false">BH81*BL81</f>
        <v>6243.18364943429</v>
      </c>
      <c r="BN81" s="70" t="n">
        <f aca="false">IF(BG81&gt;0,BM81*1000000/BG81/Economy!Q81,0)</f>
        <v>0.233599627682193</v>
      </c>
      <c r="BO81" s="48" t="n">
        <v>17500000</v>
      </c>
      <c r="BP81" s="48" t="n">
        <v>1450</v>
      </c>
      <c r="BQ81" s="71" t="n">
        <v>0.15</v>
      </c>
      <c r="BR81" s="50" t="n">
        <f aca="false">IF(BO81&gt;0,BP81*1000000/BO81,0)</f>
        <v>82.8571428571429</v>
      </c>
      <c r="BS81" s="67" t="n">
        <f aca="false">IF(AND(BQ81&gt;0,BR80&gt;0,B81&gt;0),MIN(conv_cap,conv_beta*1*BQ81*MAX(0,LN(B81/(BR80*BT80)))),0)</f>
        <v>0.00468668667031168</v>
      </c>
      <c r="BT81" s="68" t="n">
        <f aca="false">BT80*(1+BS81)</f>
        <v>1.04548588851729</v>
      </c>
      <c r="BU81" s="50" t="n">
        <f aca="false">BP81*BT81</f>
        <v>1515.95453835007</v>
      </c>
      <c r="BV81" s="70" t="n">
        <f aca="false">IF(BO81&gt;0,BU81*1000000/BO81/Economy!Q81,0)</f>
        <v>0.134512381397522</v>
      </c>
      <c r="BW81" s="68" t="n">
        <f aca="false">0.25*IF(D81&gt;0,H81,1)+0.15*IF(AJ81&gt;0,AN81,1)+0.03*IF(AR81&gt;0,AV81,1)+0.08*IF(AZ81&gt;0,BD81,1)+0.12*IF(BH81&gt;0,BL81,1)+0.1*IF(L81&gt;0,P81,1)+0.07*IF(T81&gt;0,X81,1)+0.05*IF(AB81&gt;0,AF81,1)+0.05*IF(BP81&gt;0,BT81,1)+0.1</f>
        <v>1.50457912109123</v>
      </c>
      <c r="BX81" s="66" t="n">
        <f aca="false">MIN(mkt_cap,mkt_elast*MAX(0,BW81-1))</f>
        <v>0.252289560545616</v>
      </c>
      <c r="BY81" s="50" t="n">
        <f aca="false">I81+Q81+Y81+AG81</f>
        <v>24059.4114570219</v>
      </c>
      <c r="BZ81" s="50" t="n">
        <f aca="false">D81+L81+T81+AB81</f>
        <v>13552.53628</v>
      </c>
      <c r="CA81" s="68" t="n">
        <f aca="false">IF(BZ81&gt;0,BY81/BZ81,0)</f>
        <v>1.77527002768679</v>
      </c>
    </row>
    <row r="82" customFormat="false" ht="14.25" hidden="false" customHeight="false" outlineLevel="0" collapsed="false">
      <c r="A82" s="64" t="n">
        <v>1922</v>
      </c>
      <c r="B82" s="50" t="n">
        <f aca="false">Economy!P81</f>
        <v>1527.3576937673</v>
      </c>
      <c r="C82" s="48" t="n">
        <v>57670000</v>
      </c>
      <c r="D82" s="65" t="n">
        <f aca="false">Japan!B82</f>
        <v>7700</v>
      </c>
      <c r="E82" s="71" t="n">
        <v>0.906</v>
      </c>
      <c r="F82" s="50" t="n">
        <f aca="false">IF(C82&gt;0,D82*1000000/C82,0)</f>
        <v>133.518293740246</v>
      </c>
      <c r="G82" s="67" t="n">
        <f aca="false">IF(AND(E82&gt;0,F81&gt;0,B82&gt;0),MIN(conv_cap,conv_beta*jp_uplift*E82*MAX(0,LN(B82/(F81*H81)))),0)</f>
        <v>0.0150553702988297</v>
      </c>
      <c r="H82" s="68" t="n">
        <f aca="false">H81*(1+G82)</f>
        <v>2.2507877215347</v>
      </c>
      <c r="I82" s="50" t="n">
        <f aca="false">D82*H82</f>
        <v>17331.0654558172</v>
      </c>
      <c r="J82" s="70" t="n">
        <f aca="false">IF(C82&gt;0,I82*1000000/C82/Economy!Q82,0)</f>
        <v>0.441943141398249</v>
      </c>
      <c r="K82" s="65" t="n">
        <f aca="false">Gulf!B82</f>
        <v>9710000</v>
      </c>
      <c r="L82" s="50" t="n">
        <f aca="false">Gulf!B82*Gulf!C82*Economy!Q82/1000000</f>
        <v>4443.6844</v>
      </c>
      <c r="M82" s="71" t="n">
        <v>0.772</v>
      </c>
      <c r="N82" s="50" t="n">
        <f aca="false">IF(K82&gt;0,L82*1000000/K82,0)</f>
        <v>457.64</v>
      </c>
      <c r="O82" s="67" t="n">
        <f aca="false">IF(AND(M82&gt;0,N81&gt;0,B82&gt;0),MIN(conv_cap,conv_beta*1*M82*MAX(0,LN(B82/(N81*P81)))),0)</f>
        <v>0.00851104927575539</v>
      </c>
      <c r="P82" s="68" t="n">
        <f aca="false">P81*(1+O82)</f>
        <v>1.17314398977512</v>
      </c>
      <c r="Q82" s="50" t="n">
        <f aca="false">L82*P82</f>
        <v>5213.08164631748</v>
      </c>
      <c r="R82" s="70" t="n">
        <f aca="false">IF(K82&gt;0,Q82*1000000/K82/Economy!Q82,0)</f>
        <v>0.789525905118659</v>
      </c>
      <c r="S82" s="65" t="n">
        <f aca="false">People!U82</f>
        <v>11253705</v>
      </c>
      <c r="T82" s="48" t="n">
        <v>994.14</v>
      </c>
      <c r="U82" s="71" t="n">
        <v>0.778</v>
      </c>
      <c r="V82" s="50" t="n">
        <f aca="false">IF(S82&gt;0,T82*1000000/S82,0)</f>
        <v>88.3389070532771</v>
      </c>
      <c r="W82" s="67" t="n">
        <f aca="false">IF(AND(U82&gt;0,V81&gt;0,B82&gt;0),MIN(conv_cap,conv_beta*1*U82*MAX(0,LN(B82/(V81*X81)))),0)</f>
        <v>0.0177022626228829</v>
      </c>
      <c r="X82" s="68" t="n">
        <f aca="false">X81*(1+W82)</f>
        <v>1.85059224752718</v>
      </c>
      <c r="Y82" s="50" t="n">
        <f aca="false">T82*X82</f>
        <v>1839.74777695667</v>
      </c>
      <c r="Z82" s="70" t="n">
        <f aca="false">IF(S82&gt;0,Y82*1000000/S82/Economy!Q82,0)</f>
        <v>0.240410730217381</v>
      </c>
      <c r="AA82" s="48" t="n">
        <v>10250000</v>
      </c>
      <c r="AB82" s="48" t="n">
        <v>1075</v>
      </c>
      <c r="AC82" s="71" t="n">
        <v>0.438</v>
      </c>
      <c r="AD82" s="50" t="n">
        <f aca="false">IF(AA82&gt;0,AB82*1000000/AA82,0)</f>
        <v>104.878048780488</v>
      </c>
      <c r="AE82" s="67" t="n">
        <f aca="false">IF(AND(AC82&gt;0,AD81&gt;0,B82&gt;0),MIN(conv_cap,conv_beta*1*AC82*MAX(0,LN(B82/(AD81*AF81)))),0)</f>
        <v>0.01194042459992</v>
      </c>
      <c r="AF82" s="68" t="n">
        <f aca="false">AF81*(1+AE82)</f>
        <v>1.01194042459992</v>
      </c>
      <c r="AG82" s="50" t="n">
        <f aca="false">AB82*AF82</f>
        <v>1087.83595644491</v>
      </c>
      <c r="AH82" s="70" t="n">
        <f aca="false">IF(AA82&gt;0,AG82*1000000/AA82/Economy!Q82,0)</f>
        <v>0.156074025314909</v>
      </c>
      <c r="AI82" s="48" t="n">
        <v>463800000</v>
      </c>
      <c r="AJ82" s="48" t="n">
        <v>6688</v>
      </c>
      <c r="AK82" s="71" t="n">
        <v>0.3</v>
      </c>
      <c r="AL82" s="50" t="n">
        <f aca="false">IF(AI82&gt;0,AJ82*1000000/AI82,0)</f>
        <v>14.4200086244071</v>
      </c>
      <c r="AM82" s="67" t="n">
        <f aca="false">IF(AND(AK82&gt;0,AL81&gt;0,B82&gt;0),MIN(conv_cap,conv_beta*1*AK82*MAX(0,LN(B82/(AL81*AN81)))),0)</f>
        <v>0.0129252248889044</v>
      </c>
      <c r="AN82" s="68" t="n">
        <f aca="false">AN81*(1+AM82)</f>
        <v>1.47314219661273</v>
      </c>
      <c r="AO82" s="50" t="n">
        <f aca="false">AJ82*AN82</f>
        <v>9852.37501094596</v>
      </c>
      <c r="AP82" s="70" t="n">
        <f aca="false">IF(AI82&gt;0,AO82*1000000/AI82/Economy!Q82,0)</f>
        <v>0.0312392987943141</v>
      </c>
      <c r="AQ82" s="48" t="n">
        <v>17810000</v>
      </c>
      <c r="AR82" s="48" t="n">
        <v>738</v>
      </c>
      <c r="AS82" s="71" t="n">
        <v>0.571</v>
      </c>
      <c r="AT82" s="50" t="n">
        <f aca="false">IF(AQ82&gt;0,AR82*1000000/AQ82,0)</f>
        <v>41.4373947220663</v>
      </c>
      <c r="AU82" s="67" t="n">
        <f aca="false">IF(AND(AS82&gt;0,AT81&gt;0,B82&gt;0),MIN(conv_cap,conv_beta*1*AS82*MAX(0,LN(B82/(AT81*AV81)))),0)</f>
        <v>0.0178174587328148</v>
      </c>
      <c r="AV82" s="68" t="n">
        <f aca="false">AV81*(1+AU82)</f>
        <v>1.71545797066708</v>
      </c>
      <c r="AW82" s="50" t="n">
        <f aca="false">AR82*AV82</f>
        <v>1266.00798235231</v>
      </c>
      <c r="AX82" s="70" t="n">
        <f aca="false">IF(AQ82&gt;0,AW82*1000000/AQ82/Economy!Q82,0)</f>
        <v>0.104535454499481</v>
      </c>
      <c r="AY82" s="48" t="n">
        <v>111900000</v>
      </c>
      <c r="AZ82" s="48" t="n">
        <v>4833</v>
      </c>
      <c r="BA82" s="71" t="n">
        <v>0.206</v>
      </c>
      <c r="BB82" s="50" t="n">
        <f aca="false">IF(AY82&gt;0,AZ82*1000000/AY82,0)</f>
        <v>43.1903485254692</v>
      </c>
      <c r="BC82" s="67" t="n">
        <f aca="false">IF(AND(BA82&gt;0,BB81&gt;0,B82&gt;0),MIN(conv_cap,conv_beta*1*BA82*MAX(0,LN(B82/(BB81*BD81)))),0)</f>
        <v>0.00709052007056596</v>
      </c>
      <c r="BD82" s="68" t="n">
        <f aca="false">BD81*(1+BC82)</f>
        <v>1.16017239445772</v>
      </c>
      <c r="BE82" s="50" t="n">
        <f aca="false">AZ82*BD82</f>
        <v>5607.11318241415</v>
      </c>
      <c r="BF82" s="70" t="n">
        <f aca="false">IF(AY82&gt;0,BE82*1000000/AY82/Economy!Q82,0)</f>
        <v>0.0736886030386131</v>
      </c>
      <c r="BG82" s="48" t="n">
        <v>42100000</v>
      </c>
      <c r="BH82" s="48" t="n">
        <v>5444</v>
      </c>
      <c r="BI82" s="71" t="n">
        <v>0.356</v>
      </c>
      <c r="BJ82" s="50" t="n">
        <f aca="false">IF(BG82&gt;0,BH82*1000000/BG82,0)</f>
        <v>129.311163895487</v>
      </c>
      <c r="BK82" s="67" t="n">
        <f aca="false">IF(AND(BI82&gt;0,BJ81&gt;0,B82&gt;0),MIN(conv_cap,conv_beta*1*BI82*MAX(0,LN(B82/(BJ81*BL81)))),0)</f>
        <v>0.00825116301384923</v>
      </c>
      <c r="BL82" s="68" t="n">
        <f aca="false">BL81*(1+BK82)</f>
        <v>1.205418838654</v>
      </c>
      <c r="BM82" s="50" t="n">
        <f aca="false">BH82*BL82</f>
        <v>6562.30015763236</v>
      </c>
      <c r="BN82" s="70" t="n">
        <f aca="false">IF(BG82&gt;0,BM82*1000000/BG82/Economy!Q82,0)</f>
        <v>0.229226636776316</v>
      </c>
      <c r="BO82" s="48" t="n">
        <v>17700000</v>
      </c>
      <c r="BP82" s="48" t="n">
        <v>1494</v>
      </c>
      <c r="BQ82" s="71" t="n">
        <v>0.156</v>
      </c>
      <c r="BR82" s="50" t="n">
        <f aca="false">IF(BO82&gt;0,BP82*1000000/BO82,0)</f>
        <v>84.406779661017</v>
      </c>
      <c r="BS82" s="67" t="n">
        <f aca="false">IF(AND(BQ82&gt;0,BR81&gt;0,B82&gt;0),MIN(conv_cap,conv_beta*1*BQ82*MAX(0,LN(B82/(BR81*BT81)))),0)</f>
        <v>0.00447672393002935</v>
      </c>
      <c r="BT82" s="68" t="n">
        <f aca="false">BT81*(1+BS82)</f>
        <v>1.05016624021292</v>
      </c>
      <c r="BU82" s="50" t="n">
        <f aca="false">BP82*BT82</f>
        <v>1568.94836287811</v>
      </c>
      <c r="BV82" s="70" t="n">
        <f aca="false">IF(BO82&gt;0,BU82*1000000/BO82/Economy!Q82,0)</f>
        <v>0.130354633007487</v>
      </c>
      <c r="BW82" s="68" t="n">
        <f aca="false">0.25*IF(D82&gt;0,H82,1)+0.15*IF(AJ82&gt;0,AN82,1)+0.03*IF(AR82&gt;0,AV82,1)+0.08*IF(AZ82&gt;0,BD82,1)+0.12*IF(BH82&gt;0,BL82,1)+0.1*IF(L82&gt;0,P82,1)+0.07*IF(T82&gt;0,X82,1)+0.05*IF(AB82&gt;0,AF82,1)+0.05*IF(BP82&gt;0,BT82,1)+0.1</f>
        <v>1.52255724073575</v>
      </c>
      <c r="BX82" s="66" t="n">
        <f aca="false">MIN(mkt_cap,mkt_elast*MAX(0,BW82-1))</f>
        <v>0.261278620367876</v>
      </c>
      <c r="BY82" s="50" t="n">
        <f aca="false">I82+Q82+Y82+AG82</f>
        <v>25471.7308355362</v>
      </c>
      <c r="BZ82" s="50" t="n">
        <f aca="false">D82+L82+T82+AB82</f>
        <v>14212.8244</v>
      </c>
      <c r="CA82" s="68" t="n">
        <f aca="false">IF(BZ82&gt;0,BY82/BZ82,0)</f>
        <v>1.79216530920738</v>
      </c>
    </row>
    <row r="83" customFormat="false" ht="14.25" hidden="false" customHeight="false" outlineLevel="0" collapsed="false">
      <c r="A83" s="61" t="n">
        <v>1923</v>
      </c>
      <c r="B83" s="50" t="n">
        <f aca="false">Economy!P82</f>
        <v>1528.24148553658</v>
      </c>
      <c r="C83" s="48" t="n">
        <v>58500000</v>
      </c>
      <c r="D83" s="65" t="n">
        <f aca="false">Japan!B83</f>
        <v>7430</v>
      </c>
      <c r="E83" s="71" t="n">
        <v>0.925</v>
      </c>
      <c r="F83" s="50" t="n">
        <f aca="false">IF(C83&gt;0,D83*1000000/C83,0)</f>
        <v>127.008547008547</v>
      </c>
      <c r="G83" s="67" t="n">
        <f aca="false">IF(AND(E83&gt;0,F82&gt;0,B83&gt;0),MIN(conv_cap,conv_beta*jp_uplift*E83*MAX(0,LN(B83/(F82*H82)))),0)</f>
        <v>0.015043776755997</v>
      </c>
      <c r="H83" s="68" t="n">
        <f aca="false">H82*(1+G83)</f>
        <v>2.2846480695426</v>
      </c>
      <c r="I83" s="50" t="n">
        <f aca="false">D83*H83</f>
        <v>16974.9351567016</v>
      </c>
      <c r="J83" s="70" t="n">
        <f aca="false">IF(C83&gt;0,I83*1000000/C83/Economy!Q83,0)</f>
        <v>0.376843937322712</v>
      </c>
      <c r="K83" s="65" t="n">
        <f aca="false">Gulf!B83</f>
        <v>9870000</v>
      </c>
      <c r="L83" s="50" t="n">
        <f aca="false">Gulf!B83*Gulf!C83*Economy!Q83/1000000</f>
        <v>5091.933</v>
      </c>
      <c r="M83" s="71" t="n">
        <v>0.783</v>
      </c>
      <c r="N83" s="50" t="n">
        <f aca="false">IF(K83&gt;0,L83*1000000/K83,0)</f>
        <v>515.9</v>
      </c>
      <c r="O83" s="67" t="n">
        <f aca="false">IF(AND(M83&gt;0,N82&gt;0,B83&gt;0),MIN(conv_cap,conv_beta*1*M83*MAX(0,LN(B83/(N82*P82)))),0)</f>
        <v>0.00819098518325186</v>
      </c>
      <c r="P83" s="68" t="n">
        <f aca="false">P82*(1+O83)</f>
        <v>1.18275319481319</v>
      </c>
      <c r="Q83" s="50" t="n">
        <f aca="false">L83*P83</f>
        <v>6022.50002352473</v>
      </c>
      <c r="R83" s="70" t="n">
        <f aca="false">IF(K83&gt;0,Q83*1000000/K83/Economy!Q83,0)</f>
        <v>0.79244464052484</v>
      </c>
      <c r="S83" s="65" t="n">
        <f aca="false">People!U83</f>
        <v>11449994</v>
      </c>
      <c r="T83" s="48" t="n">
        <v>1033.793</v>
      </c>
      <c r="U83" s="71" t="n">
        <v>0.782</v>
      </c>
      <c r="V83" s="50" t="n">
        <f aca="false">IF(S83&gt;0,T83*1000000/S83,0)</f>
        <v>90.2876455655785</v>
      </c>
      <c r="W83" s="67" t="n">
        <f aca="false">IF(AND(U83&gt;0,V82&gt;0,B83&gt;0),MIN(conv_cap,conv_beta*1*U83*MAX(0,LN(B83/(V82*X82)))),0)</f>
        <v>0.0174791595389652</v>
      </c>
      <c r="X83" s="68" t="n">
        <f aca="false">X82*(1+W83)</f>
        <v>1.88293904466328</v>
      </c>
      <c r="Y83" s="50" t="n">
        <f aca="false">T83*X83</f>
        <v>1946.56920379959</v>
      </c>
      <c r="Z83" s="70" t="n">
        <f aca="false">IF(S83&gt;0,Y83*1000000/S83/Economy!Q83,0)</f>
        <v>0.220787185826165</v>
      </c>
      <c r="AA83" s="48" t="n">
        <v>10500000</v>
      </c>
      <c r="AB83" s="48" t="n">
        <v>1150</v>
      </c>
      <c r="AC83" s="71" t="n">
        <v>0.475</v>
      </c>
      <c r="AD83" s="50" t="n">
        <f aca="false">IF(AA83&gt;0,AB83*1000000/AA83,0)</f>
        <v>109.52380952381</v>
      </c>
      <c r="AE83" s="67" t="n">
        <f aca="false">IF(AND(AC83&gt;0,AD82&gt;0,B83&gt;0),MIN(conv_cap,conv_beta*1*AC83*MAX(0,LN(B83/(AD82*AF82)))),0)</f>
        <v>0.0126692240462797</v>
      </c>
      <c r="AF83" s="68" t="n">
        <f aca="false">AF82*(1+AE83)</f>
        <v>1.02476092456066</v>
      </c>
      <c r="AG83" s="50" t="n">
        <f aca="false">AB83*AF83</f>
        <v>1178.47506324476</v>
      </c>
      <c r="AH83" s="70" t="n">
        <f aca="false">IF(AA83&gt;0,AG83*1000000/AA83/Economy!Q83,0)</f>
        <v>0.145760675726007</v>
      </c>
      <c r="AI83" s="48" t="n">
        <v>467500000</v>
      </c>
      <c r="AJ83" s="48" t="n">
        <v>6875</v>
      </c>
      <c r="AK83" s="71" t="n">
        <v>0.307</v>
      </c>
      <c r="AL83" s="50" t="n">
        <f aca="false">IF(AI83&gt;0,AJ83*1000000/AI83,0)</f>
        <v>14.7058823529412</v>
      </c>
      <c r="AM83" s="67" t="n">
        <f aca="false">IF(AND(AK83&gt;0,AL82&gt;0,B83&gt;0),MIN(conv_cap,conv_beta*1*AK83*MAX(0,LN(B83/(AL82*AN82)))),0)</f>
        <v>0.013126885900063</v>
      </c>
      <c r="AN83" s="68" t="n">
        <f aca="false">AN82*(1+AM83)</f>
        <v>1.49247996614224</v>
      </c>
      <c r="AO83" s="50" t="n">
        <f aca="false">AJ83*AN83</f>
        <v>10260.7997672279</v>
      </c>
      <c r="AP83" s="70" t="n">
        <f aca="false">IF(AI83&gt;0,AO83*1000000/AI83/Economy!Q83,0)</f>
        <v>0.0285042010340381</v>
      </c>
      <c r="AQ83" s="48" t="n">
        <v>18120000</v>
      </c>
      <c r="AR83" s="48" t="n">
        <v>775</v>
      </c>
      <c r="AS83" s="71" t="n">
        <v>0.575</v>
      </c>
      <c r="AT83" s="50" t="n">
        <f aca="false">IF(AQ83&gt;0,AR83*1000000/AQ83,0)</f>
        <v>42.7704194260486</v>
      </c>
      <c r="AU83" s="67" t="n">
        <f aca="false">IF(AND(AS83&gt;0,AT82&gt;0,B83&gt;0),MIN(conv_cap,conv_beta*1*AS83*MAX(0,LN(B83/(AT82*AV82)))),0)</f>
        <v>0.0176410528249842</v>
      </c>
      <c r="AV83" s="68" t="n">
        <f aca="false">AV82*(1+AU83)</f>
        <v>1.74572045534666</v>
      </c>
      <c r="AW83" s="50" t="n">
        <f aca="false">AR83*AV83</f>
        <v>1352.93335289366</v>
      </c>
      <c r="AX83" s="70" t="n">
        <f aca="false">IF(AQ83&gt;0,AW83*1000000/AQ83/Economy!Q83,0)</f>
        <v>0.0969677871114406</v>
      </c>
      <c r="AY83" s="48" t="n">
        <v>113800000</v>
      </c>
      <c r="AZ83" s="48" t="n">
        <v>5000</v>
      </c>
      <c r="BA83" s="71" t="n">
        <v>0.212</v>
      </c>
      <c r="BB83" s="50" t="n">
        <f aca="false">IF(AY83&gt;0,AZ83*1000000/AY83,0)</f>
        <v>43.9367311072056</v>
      </c>
      <c r="BC83" s="67" t="n">
        <f aca="false">IF(AND(BA83&gt;0,BB82&gt;0,B83&gt;0),MIN(conv_cap,conv_beta*1*BA83*MAX(0,LN(B83/(BB82*BD82)))),0)</f>
        <v>0.00724549714171362</v>
      </c>
      <c r="BD83" s="68" t="n">
        <f aca="false">BD82*(1+BC83)</f>
        <v>1.16857842022566</v>
      </c>
      <c r="BE83" s="50" t="n">
        <f aca="false">AZ83*BD83</f>
        <v>5842.89210112828</v>
      </c>
      <c r="BF83" s="70" t="n">
        <f aca="false">IF(AY83&gt;0,BE83*1000000/AY83/Economy!Q83,0)</f>
        <v>0.0666798906845945</v>
      </c>
      <c r="BG83" s="48" t="n">
        <v>42600000</v>
      </c>
      <c r="BH83" s="48" t="n">
        <v>5667</v>
      </c>
      <c r="BI83" s="71" t="n">
        <v>0.363</v>
      </c>
      <c r="BJ83" s="50" t="n">
        <f aca="false">IF(BG83&gt;0,BH83*1000000/BG83,0)</f>
        <v>133.028169014085</v>
      </c>
      <c r="BK83" s="67" t="n">
        <f aca="false">IF(AND(BI83&gt;0,BJ82&gt;0,B83&gt;0),MIN(conv_cap,conv_beta*1*BI83*MAX(0,LN(B83/(BJ82*BL82)))),0)</f>
        <v>0.00828665215068218</v>
      </c>
      <c r="BL83" s="68" t="n">
        <f aca="false">BL82*(1+BK83)</f>
        <v>1.2154077252658</v>
      </c>
      <c r="BM83" s="50" t="n">
        <f aca="false">BH83*BL83</f>
        <v>6887.7155790813</v>
      </c>
      <c r="BN83" s="70" t="n">
        <f aca="false">IF(BG83&gt;0,BM83*1000000/BG83/Economy!Q83,0)</f>
        <v>0.209978525061926</v>
      </c>
      <c r="BO83" s="48" t="n">
        <v>17900000</v>
      </c>
      <c r="BP83" s="48" t="n">
        <v>1538</v>
      </c>
      <c r="BQ83" s="71" t="n">
        <v>0.163</v>
      </c>
      <c r="BR83" s="50" t="n">
        <f aca="false">IF(BO83&gt;0,BP83*1000000/BO83,0)</f>
        <v>85.9217877094972</v>
      </c>
      <c r="BS83" s="67" t="n">
        <f aca="false">IF(AND(BQ83&gt;0,BR82&gt;0,B83&gt;0),MIN(conv_cap,conv_beta*1*BQ83*MAX(0,LN(B83/(BR82*BT82)))),0)</f>
        <v>0.00464106117707128</v>
      </c>
      <c r="BT83" s="68" t="n">
        <f aca="false">BT82*(1+BS83)</f>
        <v>1.05504012597985</v>
      </c>
      <c r="BU83" s="50" t="n">
        <f aca="false">BP83*BT83</f>
        <v>1622.65171375701</v>
      </c>
      <c r="BV83" s="70" t="n">
        <f aca="false">IF(BO83&gt;0,BU83*1000000/BO83/Economy!Q83,0)</f>
        <v>0.117728485362911</v>
      </c>
      <c r="BW83" s="68" t="n">
        <f aca="false">0.25*IF(D83&gt;0,H83,1)+0.15*IF(AJ83&gt;0,AN83,1)+0.03*IF(AR83&gt;0,AV83,1)+0.08*IF(AZ83&gt;0,BD83,1)+0.12*IF(BH83&gt;0,BL83,1)+0.1*IF(L83&gt;0,P83,1)+0.07*IF(T83&gt;0,X83,1)+0.05*IF(AB83&gt;0,AF83,1)+0.05*IF(BP83&gt;0,BT83,1)+0.1</f>
        <v>1.54081193175211</v>
      </c>
      <c r="BX83" s="66" t="n">
        <f aca="false">MIN(mkt_cap,mkt_elast*MAX(0,BW83-1))</f>
        <v>0.270405965876055</v>
      </c>
      <c r="BY83" s="50" t="n">
        <f aca="false">I83+Q83+Y83+AG83</f>
        <v>26122.4794472706</v>
      </c>
      <c r="BZ83" s="50" t="n">
        <f aca="false">D83+L83+T83+AB83</f>
        <v>14705.726</v>
      </c>
      <c r="CA83" s="68" t="n">
        <f aca="false">IF(BZ83&gt;0,BY83/BZ83,0)</f>
        <v>1.7763474885409</v>
      </c>
    </row>
    <row r="84" customFormat="false" ht="14.25" hidden="false" customHeight="false" outlineLevel="0" collapsed="false">
      <c r="A84" s="61" t="n">
        <v>1924</v>
      </c>
      <c r="B84" s="50" t="n">
        <f aca="false">Economy!P83</f>
        <v>1662.81320370493</v>
      </c>
      <c r="C84" s="48" t="n">
        <v>59330000</v>
      </c>
      <c r="D84" s="65" t="n">
        <f aca="false">Japan!B84</f>
        <v>7900</v>
      </c>
      <c r="E84" s="71" t="n">
        <v>0.944</v>
      </c>
      <c r="F84" s="50" t="n">
        <f aca="false">IF(C84&gt;0,D84*1000000/C84,0)</f>
        <v>133.153547952132</v>
      </c>
      <c r="G84" s="67" t="n">
        <f aca="false">IF(AND(E84&gt;0,F83&gt;0,B84&gt;0),MIN(conv_cap,conv_beta*jp_uplift*E84*MAX(0,LN(B84/(F83*H83)))),0)</f>
        <v>0.0164803498263422</v>
      </c>
      <c r="H84" s="68" t="n">
        <f aca="false">H83*(1+G84)</f>
        <v>2.32229986895874</v>
      </c>
      <c r="I84" s="50" t="n">
        <f aca="false">D84*H84</f>
        <v>18346.1689647741</v>
      </c>
      <c r="J84" s="70" t="n">
        <f aca="false">IF(C84&gt;0,I84*1000000/C84/Economy!Q84,0)</f>
        <v>0.406871667053458</v>
      </c>
      <c r="K84" s="65" t="n">
        <f aca="false">Gulf!B84</f>
        <v>10020000</v>
      </c>
      <c r="L84" s="50" t="n">
        <f aca="false">Gulf!B84*Gulf!C84*Economy!Q84/1000000</f>
        <v>5079.3384</v>
      </c>
      <c r="M84" s="71" t="n">
        <v>0.794</v>
      </c>
      <c r="N84" s="50" t="n">
        <f aca="false">IF(K84&gt;0,L84*1000000/K84,0)</f>
        <v>506.92</v>
      </c>
      <c r="O84" s="67" t="n">
        <f aca="false">IF(AND(M84&gt;0,N83&gt;0,B84&gt;0),MIN(conv_cap,conv_beta*1*M84*MAX(0,LN(B84/(N83*P83)))),0)</f>
        <v>0.00795991560855695</v>
      </c>
      <c r="P84" s="68" t="n">
        <f aca="false">P83*(1+O84)</f>
        <v>1.19216781042966</v>
      </c>
      <c r="Q84" s="50" t="n">
        <f aca="false">L84*P84</f>
        <v>6055.42373875928</v>
      </c>
      <c r="R84" s="70" t="n">
        <f aca="false">IF(K84&gt;0,Q84*1000000/K84/Economy!Q84,0)</f>
        <v>0.795175929556582</v>
      </c>
      <c r="S84" s="65" t="n">
        <f aca="false">People!U84</f>
        <v>11646342</v>
      </c>
      <c r="T84" s="48" t="n">
        <v>1073.452</v>
      </c>
      <c r="U84" s="71" t="n">
        <v>0.787</v>
      </c>
      <c r="V84" s="50" t="n">
        <f aca="false">IF(S84&gt;0,T84*1000000/S84,0)</f>
        <v>92.1707433973689</v>
      </c>
      <c r="W84" s="67" t="n">
        <f aca="false">IF(AND(U84&gt;0,V83&gt;0,B84&gt;0),MIN(conv_cap,conv_beta*1*U84*MAX(0,LN(B84/(V83*X83)))),0)</f>
        <v>0.017946996964423</v>
      </c>
      <c r="X84" s="68" t="n">
        <f aca="false">X83*(1+W84)</f>
        <v>1.91673214598205</v>
      </c>
      <c r="Y84" s="50" t="n">
        <f aca="false">T84*X84</f>
        <v>2057.51995556872</v>
      </c>
      <c r="Z84" s="70" t="n">
        <f aca="false">IF(S84&gt;0,Y84*1000000/S84/Economy!Q84,0)</f>
        <v>0.232456087879999</v>
      </c>
      <c r="AA84" s="48" t="n">
        <v>10750000</v>
      </c>
      <c r="AB84" s="48" t="n">
        <v>1225</v>
      </c>
      <c r="AC84" s="71" t="n">
        <v>0.513</v>
      </c>
      <c r="AD84" s="50" t="n">
        <f aca="false">IF(AA84&gt;0,AB84*1000000/AA84,0)</f>
        <v>113.953488372093</v>
      </c>
      <c r="AE84" s="67" t="n">
        <f aca="false">IF(AND(AC84&gt;0,AD83&gt;0,B84&gt;0),MIN(conv_cap,conv_beta*1*AC84*MAX(0,LN(B84/(AD83*AF83)))),0)</f>
        <v>0.0138287606432807</v>
      </c>
      <c r="AF84" s="68" t="n">
        <f aca="false">AF83*(1+AE84)</f>
        <v>1.038932098103</v>
      </c>
      <c r="AG84" s="50" t="n">
        <f aca="false">AB84*AF84</f>
        <v>1272.69182017618</v>
      </c>
      <c r="AH84" s="70" t="n">
        <f aca="false">IF(AA84&gt;0,AG84*1000000/AA84/Economy!Q84,0)</f>
        <v>0.155776232579703</v>
      </c>
      <c r="AI84" s="48" t="n">
        <v>471200000</v>
      </c>
      <c r="AJ84" s="48" t="n">
        <v>7062</v>
      </c>
      <c r="AK84" s="71" t="n">
        <v>0.314</v>
      </c>
      <c r="AL84" s="50" t="n">
        <f aca="false">IF(AI84&gt;0,AJ84*1000000/AI84,0)</f>
        <v>14.9872665534805</v>
      </c>
      <c r="AM84" s="67" t="n">
        <f aca="false">IF(AND(AK84&gt;0,AL83&gt;0,B84&gt;0),MIN(conv_cap,conv_beta*1*AK84*MAX(0,LN(B84/(AL83*AN83)))),0)</f>
        <v>0.0135885994133775</v>
      </c>
      <c r="AN84" s="68" t="n">
        <f aca="false">AN83*(1+AM84)</f>
        <v>1.51276067853464</v>
      </c>
      <c r="AO84" s="50" t="n">
        <f aca="false">AJ84*AN84</f>
        <v>10683.1159118116</v>
      </c>
      <c r="AP84" s="70" t="n">
        <f aca="false">IF(AI84&gt;0,AO84*1000000/AI84/Economy!Q84,0)</f>
        <v>0.0298317730537139</v>
      </c>
      <c r="AQ84" s="48" t="n">
        <v>18440000</v>
      </c>
      <c r="AR84" s="48" t="n">
        <v>812</v>
      </c>
      <c r="AS84" s="71" t="n">
        <v>0.579</v>
      </c>
      <c r="AT84" s="50" t="n">
        <f aca="false">IF(AQ84&gt;0,AR84*1000000/AQ84,0)</f>
        <v>44.0347071583514</v>
      </c>
      <c r="AU84" s="67" t="n">
        <f aca="false">IF(AND(AS84&gt;0,AT83&gt;0,B84&gt;0),MIN(conv_cap,conv_beta*1*AS84*MAX(0,LN(B84/(AT83*AV83)))),0)</f>
        <v>0.0179678295455884</v>
      </c>
      <c r="AV84" s="68" t="n">
        <f aca="false">AV83*(1+AU84)</f>
        <v>1.77708726292258</v>
      </c>
      <c r="AW84" s="50" t="n">
        <f aca="false">AR84*AV84</f>
        <v>1442.99485749313</v>
      </c>
      <c r="AX84" s="70" t="n">
        <f aca="false">IF(AQ84&gt;0,AW84*1000000/AQ84/Economy!Q84,0)</f>
        <v>0.102965154233726</v>
      </c>
      <c r="AY84" s="48" t="n">
        <v>115600000</v>
      </c>
      <c r="AZ84" s="48" t="n">
        <v>5167</v>
      </c>
      <c r="BA84" s="71" t="n">
        <v>0.219</v>
      </c>
      <c r="BB84" s="50" t="n">
        <f aca="false">IF(AY84&gt;0,AZ84*1000000/AY84,0)</f>
        <v>44.69723183391</v>
      </c>
      <c r="BC84" s="67" t="n">
        <f aca="false">IF(AND(BA84&gt;0,BB83&gt;0,B84&gt;0),MIN(conv_cap,conv_beta*1*BA84*MAX(0,LN(B84/(BB83*BD83)))),0)</f>
        <v>0.00761622321109038</v>
      </c>
      <c r="BD84" s="68" t="n">
        <f aca="false">BD83*(1+BC84)</f>
        <v>1.17747857431376</v>
      </c>
      <c r="BE84" s="50" t="n">
        <f aca="false">AZ84*BD84</f>
        <v>6084.03179347919</v>
      </c>
      <c r="BF84" s="70" t="n">
        <f aca="false">IF(AY84&gt;0,BE84*1000000/AY84/Economy!Q84,0)</f>
        <v>0.0692500431783736</v>
      </c>
      <c r="BG84" s="48" t="n">
        <v>43200000</v>
      </c>
      <c r="BH84" s="48" t="n">
        <v>5889</v>
      </c>
      <c r="BI84" s="71" t="n">
        <v>0.369</v>
      </c>
      <c r="BJ84" s="50" t="n">
        <f aca="false">IF(BG84&gt;0,BH84*1000000/BG84,0)</f>
        <v>136.319444444444</v>
      </c>
      <c r="BK84" s="67" t="n">
        <f aca="false">IF(AND(BI84&gt;0,BJ83&gt;0,B84&gt;0),MIN(conv_cap,conv_beta*1*BI84*MAX(0,LN(B84/(BJ83*BL83)))),0)</f>
        <v>0.0086000086420355</v>
      </c>
      <c r="BL84" s="68" t="n">
        <f aca="false">BL83*(1+BK84)</f>
        <v>1.22586024220668</v>
      </c>
      <c r="BM84" s="50" t="n">
        <f aca="false">BH84*BL84</f>
        <v>7219.09096635517</v>
      </c>
      <c r="BN84" s="70" t="n">
        <f aca="false">IF(BG84&gt;0,BM84*1000000/BG84/Economy!Q84,0)</f>
        <v>0.219879719979141</v>
      </c>
      <c r="BO84" s="48" t="n">
        <v>18100000</v>
      </c>
      <c r="BP84" s="48" t="n">
        <v>1581</v>
      </c>
      <c r="BQ84" s="71" t="n">
        <v>0.169</v>
      </c>
      <c r="BR84" s="50" t="n">
        <f aca="false">IF(BO84&gt;0,BP84*1000000/BO84,0)</f>
        <v>87.3480662983425</v>
      </c>
      <c r="BS84" s="67" t="n">
        <f aca="false">IF(AND(BQ84&gt;0,BR83&gt;0,B84&gt;0),MIN(conv_cap,conv_beta*1*BQ84*MAX(0,LN(B84/(BR83*BT83)))),0)</f>
        <v>0.00491663234868494</v>
      </c>
      <c r="BT84" s="68" t="n">
        <f aca="false">BT83*(1+BS84)</f>
        <v>1.0602273703924</v>
      </c>
      <c r="BU84" s="50" t="n">
        <f aca="false">BP84*BT84</f>
        <v>1676.21947259039</v>
      </c>
      <c r="BV84" s="70" t="n">
        <f aca="false">IF(BO84&gt;0,BU84*1000000/BO84/Economy!Q84,0)</f>
        <v>0.121853698210991</v>
      </c>
      <c r="BW84" s="68" t="n">
        <f aca="false">0.25*IF(D84&gt;0,H84,1)+0.15*IF(AJ84&gt;0,AN84,1)+0.03*IF(AR84&gt;0,AV84,1)+0.08*IF(AZ84&gt;0,BD84,1)+0.12*IF(BH84&gt;0,BL84,1)+0.1*IF(L84&gt;0,P84,1)+0.07*IF(T84&gt;0,X84,1)+0.05*IF(AB84&gt;0,AF84,1)+0.05*IF(BP84&gt;0,BT84,1)+0.1</f>
        <v>1.56044920660394</v>
      </c>
      <c r="BX84" s="66" t="n">
        <f aca="false">MIN(mkt_cap,mkt_elast*MAX(0,BW84-1))</f>
        <v>0.28022460330197</v>
      </c>
      <c r="BY84" s="50" t="n">
        <f aca="false">I84+Q84+Y84+AG84</f>
        <v>27731.8044792783</v>
      </c>
      <c r="BZ84" s="50" t="n">
        <f aca="false">D84+L84+T84+AB84</f>
        <v>15277.7904</v>
      </c>
      <c r="CA84" s="68" t="n">
        <f aca="false">IF(BZ84&gt;0,BY84/BZ84,0)</f>
        <v>1.81517115716408</v>
      </c>
    </row>
    <row r="85" customFormat="false" ht="14.25" hidden="false" customHeight="false" outlineLevel="0" collapsed="false">
      <c r="A85" s="61" t="n">
        <v>1925</v>
      </c>
      <c r="B85" s="50" t="n">
        <f aca="false">Economy!P84</f>
        <v>1712.46764945499</v>
      </c>
      <c r="C85" s="48" t="n">
        <v>60170000</v>
      </c>
      <c r="D85" s="65" t="n">
        <f aca="false">Japan!B85</f>
        <v>8130</v>
      </c>
      <c r="E85" s="71" t="n">
        <v>0.963</v>
      </c>
      <c r="F85" s="50" t="n">
        <f aca="false">IF(C85&gt;0,D85*1000000/C85,0)</f>
        <v>135.117168023932</v>
      </c>
      <c r="G85" s="67" t="n">
        <f aca="false">IF(AND(E85&gt;0,F84&gt;0,B85&gt;0),MIN(conv_cap,conv_beta*jp_uplift*E85*MAX(0,LN(B85/(F84*H84)))),0)</f>
        <v>0.0164829940444633</v>
      </c>
      <c r="H85" s="68" t="n">
        <f aca="false">H84*(1+G85)</f>
        <v>2.36057832386825</v>
      </c>
      <c r="I85" s="50" t="n">
        <f aca="false">D85*H85</f>
        <v>19191.5017730489</v>
      </c>
      <c r="J85" s="70" t="n">
        <f aca="false">IF(C85&gt;0,I85*1000000/C85/Economy!Q85,0)</f>
        <v>0.405279108030189</v>
      </c>
      <c r="K85" s="65" t="n">
        <f aca="false">Gulf!B85</f>
        <v>10180000</v>
      </c>
      <c r="L85" s="50" t="n">
        <f aca="false">Gulf!B85*Gulf!C85*Economy!Q85/1000000</f>
        <v>5311.73058</v>
      </c>
      <c r="M85" s="71" t="n">
        <v>0.806</v>
      </c>
      <c r="N85" s="50" t="n">
        <f aca="false">IF(K85&gt;0,L85*1000000/K85,0)</f>
        <v>521.781</v>
      </c>
      <c r="O85" s="67" t="n">
        <f aca="false">IF(AND(M85&gt;0,N84&gt;0,B85&gt;0),MIN(conv_cap,conv_beta*1*M85*MAX(0,LN(B85/(N84*P84)))),0)</f>
        <v>0.00839500696532577</v>
      </c>
      <c r="P85" s="68" t="n">
        <f aca="false">P84*(1+O85)</f>
        <v>1.20217606750205</v>
      </c>
      <c r="Q85" s="50" t="n">
        <f aca="false">L85*P85</f>
        <v>6385.6353802948</v>
      </c>
      <c r="R85" s="70" t="n">
        <f aca="false">IF(K85&gt;0,Q85*1000000/K85/Economy!Q85,0)</f>
        <v>0.797042732753861</v>
      </c>
      <c r="S85" s="65" t="n">
        <f aca="false">People!U85</f>
        <v>11842750</v>
      </c>
      <c r="T85" s="48" t="n">
        <v>1112.1</v>
      </c>
      <c r="U85" s="71" t="n">
        <v>0.791</v>
      </c>
      <c r="V85" s="50" t="n">
        <f aca="false">IF(S85&gt;0,T85*1000000/S85,0)</f>
        <v>93.9055540309472</v>
      </c>
      <c r="W85" s="67" t="n">
        <f aca="false">IF(AND(U85&gt;0,V84&gt;0,B85&gt;0),MIN(conv_cap,conv_beta*1*U85*MAX(0,LN(B85/(V84*X84)))),0)</f>
        <v>0.0179669811389682</v>
      </c>
      <c r="X85" s="68" t="n">
        <f aca="false">X84*(1+W85)</f>
        <v>1.95117003629736</v>
      </c>
      <c r="Y85" s="50" t="n">
        <f aca="false">T85*X85</f>
        <v>2169.89619736629</v>
      </c>
      <c r="Z85" s="70" t="n">
        <f aca="false">IF(S85&gt;0,Y85*1000000/S85/Economy!Q85,0)</f>
        <v>0.232815378992486</v>
      </c>
      <c r="AA85" s="48" t="n">
        <v>11000000</v>
      </c>
      <c r="AB85" s="48" t="n">
        <v>1300</v>
      </c>
      <c r="AC85" s="71" t="n">
        <v>0.55</v>
      </c>
      <c r="AD85" s="50" t="n">
        <f aca="false">IF(AA85&gt;0,AB85*1000000/AA85,0)</f>
        <v>118.181818181818</v>
      </c>
      <c r="AE85" s="67" t="n">
        <f aca="false">IF(AND(AC85&gt;0,AD84&gt;0,B85&gt;0),MIN(conv_cap,conv_beta*1*AC85*MAX(0,LN(B85/(AD84*AF84)))),0)</f>
        <v>0.0146943882462697</v>
      </c>
      <c r="AF85" s="68" t="n">
        <f aca="false">AF84*(1+AE85)</f>
        <v>1.05419856971404</v>
      </c>
      <c r="AG85" s="50" t="n">
        <f aca="false">AB85*AF85</f>
        <v>1370.45814062825</v>
      </c>
      <c r="AH85" s="70" t="n">
        <f aca="false">IF(AA85&gt;0,AG85*1000000/AA85/Economy!Q85,0)</f>
        <v>0.158306357933262</v>
      </c>
      <c r="AI85" s="48" t="n">
        <v>475000000</v>
      </c>
      <c r="AJ85" s="48" t="n">
        <v>7250</v>
      </c>
      <c r="AK85" s="71" t="n">
        <v>0.321</v>
      </c>
      <c r="AL85" s="50" t="n">
        <f aca="false">IF(AI85&gt;0,AJ85*1000000/AI85,0)</f>
        <v>15.2631578947368</v>
      </c>
      <c r="AM85" s="67" t="n">
        <f aca="false">IF(AND(AK85&gt;0,AL84&gt;0,B85&gt;0),MIN(conv_cap,conv_beta*1*AK85*MAX(0,LN(B85/(AL84*AN84)))),0)</f>
        <v>0.0138818167011698</v>
      </c>
      <c r="AN85" s="68" t="n">
        <f aca="false">AN84*(1+AM85)</f>
        <v>1.53376054498679</v>
      </c>
      <c r="AO85" s="50" t="n">
        <f aca="false">AJ85*AN85</f>
        <v>11119.7639511542</v>
      </c>
      <c r="AP85" s="70" t="n">
        <f aca="false">IF(AI85&gt;0,AO85*1000000/AI85/Economy!Q85,0)</f>
        <v>0.0297459077139149</v>
      </c>
      <c r="AQ85" s="48" t="n">
        <v>18750000</v>
      </c>
      <c r="AR85" s="48" t="n">
        <v>850</v>
      </c>
      <c r="AS85" s="71" t="n">
        <v>0.583</v>
      </c>
      <c r="AT85" s="50" t="n">
        <f aca="false">IF(AQ85&gt;0,AR85*1000000/AQ85,0)</f>
        <v>45.3333333333333</v>
      </c>
      <c r="AU85" s="67" t="n">
        <f aca="false">IF(AND(AS85&gt;0,AT84&gt;0,B85&gt;0),MIN(conv_cap,conv_beta*1*AS85*MAX(0,LN(B85/(AT84*AV84)))),0)</f>
        <v>0.0179898461401204</v>
      </c>
      <c r="AV85" s="68" t="n">
        <f aca="false">AV84*(1+AU85)</f>
        <v>1.80905678936012</v>
      </c>
      <c r="AW85" s="50" t="n">
        <f aca="false">AR85*AV85</f>
        <v>1537.69827095611</v>
      </c>
      <c r="AX85" s="70" t="n">
        <f aca="false">IF(AQ85&gt;0,AW85*1000000/AQ85/Economy!Q85,0)</f>
        <v>0.104206574905962</v>
      </c>
      <c r="AY85" s="48" t="n">
        <v>117500000</v>
      </c>
      <c r="AZ85" s="48" t="n">
        <v>5333</v>
      </c>
      <c r="BA85" s="71" t="n">
        <v>0.225</v>
      </c>
      <c r="BB85" s="50" t="n">
        <f aca="false">IF(AY85&gt;0,AZ85*1000000/AY85,0)</f>
        <v>45.3872340425532</v>
      </c>
      <c r="BC85" s="67" t="n">
        <f aca="false">IF(AND(BA85&gt;0,BB84&gt;0,B85&gt;0),MIN(conv_cap,conv_beta*1*BA85*MAX(0,LN(B85/(BB84*BD84)))),0)</f>
        <v>0.00783540845155987</v>
      </c>
      <c r="BD85" s="68" t="n">
        <f aca="false">BD84*(1+BC85)</f>
        <v>1.18670459988647</v>
      </c>
      <c r="BE85" s="50" t="n">
        <f aca="false">AZ85*BD85</f>
        <v>6328.69563119453</v>
      </c>
      <c r="BF85" s="70" t="n">
        <f aca="false">IF(AY85&gt;0,BE85*1000000/AY85/Economy!Q85,0)</f>
        <v>0.0684386777819841</v>
      </c>
      <c r="BG85" s="48" t="n">
        <v>43800000</v>
      </c>
      <c r="BH85" s="48" t="n">
        <v>6111</v>
      </c>
      <c r="BI85" s="71" t="n">
        <v>0.375</v>
      </c>
      <c r="BJ85" s="50" t="n">
        <f aca="false">IF(BG85&gt;0,BH85*1000000/BG85,0)</f>
        <v>139.520547945206</v>
      </c>
      <c r="BK85" s="67" t="n">
        <f aca="false">IF(AND(BI85&gt;0,BJ84&gt;0,B85&gt;0),MIN(conv_cap,conv_beta*1*BI85*MAX(0,LN(B85/(BJ84*BL84)))),0)</f>
        <v>0.00872642570758344</v>
      </c>
      <c r="BL85" s="68" t="n">
        <f aca="false">BL84*(1+BK85)</f>
        <v>1.23655762053818</v>
      </c>
      <c r="BM85" s="50" t="n">
        <f aca="false">BH85*BL85</f>
        <v>7556.60361910883</v>
      </c>
      <c r="BN85" s="70" t="n">
        <f aca="false">IF(BG85&gt;0,BM85*1000000/BG85/Economy!Q85,0)</f>
        <v>0.219218801503566</v>
      </c>
      <c r="BO85" s="48" t="n">
        <v>18200000</v>
      </c>
      <c r="BP85" s="48" t="n">
        <v>1625</v>
      </c>
      <c r="BQ85" s="71" t="n">
        <v>0.175</v>
      </c>
      <c r="BR85" s="50" t="n">
        <f aca="false">IF(BO85&gt;0,BP85*1000000/BO85,0)</f>
        <v>89.2857142857143</v>
      </c>
      <c r="BS85" s="67" t="n">
        <f aca="false">IF(AND(BQ85&gt;0,BR84&gt;0,B85&gt;0),MIN(conv_cap,conv_beta*1*BQ85*MAX(0,LN(B85/(BR84*BT84)))),0)</f>
        <v>0.0051052861907229</v>
      </c>
      <c r="BT85" s="68" t="n">
        <f aca="false">BT84*(1+BS85)</f>
        <v>1.06564013454549</v>
      </c>
      <c r="BU85" s="50" t="n">
        <f aca="false">BP85*BT85</f>
        <v>1731.66521863642</v>
      </c>
      <c r="BV85" s="70" t="n">
        <f aca="false">IF(BO85&gt;0,BU85*1000000/BO85/Economy!Q85,0)</f>
        <v>0.120897637337254</v>
      </c>
      <c r="BW85" s="68" t="n">
        <f aca="false">0.25*IF(D85&gt;0,H85,1)+0.15*IF(AJ85&gt;0,AN85,1)+0.03*IF(AR85&gt;0,AV85,1)+0.08*IF(AZ85&gt;0,BD85,1)+0.12*IF(BH85&gt;0,BL85,1)+0.1*IF(L85&gt;0,P85,1)+0.07*IF(T85&gt;0,X85,1)+0.05*IF(AB85&gt;0,AF85,1)+0.05*IF(BP85&gt;0,BT85,1)+0.1</f>
        <v>1.58059509335538</v>
      </c>
      <c r="BX85" s="66" t="n">
        <f aca="false">MIN(mkt_cap,mkt_elast*MAX(0,BW85-1))</f>
        <v>0.29029754667769</v>
      </c>
      <c r="BY85" s="50" t="n">
        <f aca="false">I85+Q85+Y85+AG85</f>
        <v>29117.4914913382</v>
      </c>
      <c r="BZ85" s="50" t="n">
        <f aca="false">D85+L85+T85+AB85</f>
        <v>15853.83058</v>
      </c>
      <c r="CA85" s="68" t="n">
        <f aca="false">IF(BZ85&gt;0,BY85/BZ85,0)</f>
        <v>1.83662184002841</v>
      </c>
    </row>
    <row r="86" customFormat="false" ht="14.25" hidden="false" customHeight="false" outlineLevel="0" collapsed="false">
      <c r="A86" s="61" t="n">
        <v>1926</v>
      </c>
      <c r="B86" s="50" t="n">
        <f aca="false">Economy!P85</f>
        <v>1787.89116654859</v>
      </c>
      <c r="C86" s="48" t="n">
        <v>61000000</v>
      </c>
      <c r="D86" s="65" t="n">
        <f aca="false">Japan!B86</f>
        <v>7980</v>
      </c>
      <c r="E86" s="71" t="n">
        <v>0.981</v>
      </c>
      <c r="F86" s="50" t="n">
        <f aca="false">IF(C86&gt;0,D86*1000000/C86,0)</f>
        <v>130.819672131148</v>
      </c>
      <c r="G86" s="67" t="n">
        <f aca="false">IF(AND(E86&gt;0,F85&gt;0,B86&gt;0),MIN(conv_cap,conv_beta*jp_uplift*E86*MAX(0,LN(B86/(F85*H85)))),0)</f>
        <v>0.0169099201077228</v>
      </c>
      <c r="H86" s="68" t="n">
        <f aca="false">H85*(1+G86)</f>
        <v>2.40049551473288</v>
      </c>
      <c r="I86" s="50" t="n">
        <f aca="false">D86*H86</f>
        <v>19155.9542075684</v>
      </c>
      <c r="J86" s="70" t="n">
        <f aca="false">IF(C86&gt;0,I86*1000000/C86/Economy!Q86,0)</f>
        <v>0.382965897792251</v>
      </c>
      <c r="K86" s="65" t="n">
        <f aca="false">Gulf!B86</f>
        <v>10330000</v>
      </c>
      <c r="L86" s="50" t="n">
        <f aca="false">Gulf!B86*Gulf!C86*Economy!Q86/1000000</f>
        <v>5590.596</v>
      </c>
      <c r="M86" s="71" t="n">
        <v>0.817</v>
      </c>
      <c r="N86" s="50" t="n">
        <f aca="false">IF(K86&gt;0,L86*1000000/K86,0)</f>
        <v>541.2</v>
      </c>
      <c r="O86" s="67" t="n">
        <f aca="false">IF(AND(M86&gt;0,N85&gt;0,B86&gt;0),MIN(conv_cap,conv_beta*1*M86*MAX(0,LN(B86/(N85*P85)))),0)</f>
        <v>0.00855734640974274</v>
      </c>
      <c r="P86" s="68" t="n">
        <f aca="false">P85*(1+O86)</f>
        <v>1.21246350455717</v>
      </c>
      <c r="Q86" s="50" t="n">
        <f aca="false">L86*P86</f>
        <v>6778.39361872329</v>
      </c>
      <c r="R86" s="70" t="n">
        <f aca="false">IF(K86&gt;0,Q86*1000000/K86/Economy!Q86,0)</f>
        <v>0.800225913007732</v>
      </c>
      <c r="S86" s="65" t="n">
        <f aca="false">People!U86</f>
        <v>12039219</v>
      </c>
      <c r="T86" s="48" t="n">
        <v>1151.772</v>
      </c>
      <c r="U86" s="71" t="n">
        <v>0.795</v>
      </c>
      <c r="V86" s="50" t="n">
        <f aca="false">IF(S86&gt;0,T86*1000000/S86,0)</f>
        <v>95.6683319740259</v>
      </c>
      <c r="W86" s="67" t="n">
        <f aca="false">IF(AND(U86&gt;0,V85&gt;0,B86&gt;0),MIN(conv_cap,conv_beta*1*U86*MAX(0,LN(B86/(V85*X85)))),0)</f>
        <v>0.0181106830608329</v>
      </c>
      <c r="X86" s="68" t="n">
        <f aca="false">X85*(1+W86)</f>
        <v>1.98650705842253</v>
      </c>
      <c r="Y86" s="50" t="n">
        <f aca="false">T86*X86</f>
        <v>2288.00320769344</v>
      </c>
      <c r="Z86" s="70" t="n">
        <f aca="false">IF(S86&gt;0,Y86*1000000/S86/Economy!Q86,0)</f>
        <v>0.231763191138918</v>
      </c>
      <c r="AA86" s="48" t="n">
        <v>11250000</v>
      </c>
      <c r="AB86" s="48" t="n">
        <v>1350</v>
      </c>
      <c r="AC86" s="71" t="n">
        <v>0.564</v>
      </c>
      <c r="AD86" s="50" t="n">
        <f aca="false">IF(AA86&gt;0,AB86*1000000/AA86,0)</f>
        <v>120</v>
      </c>
      <c r="AE86" s="67" t="n">
        <f aca="false">IF(AND(AC86&gt;0,AD85&gt;0,B86&gt;0),MIN(conv_cap,conv_beta*1*AC86*MAX(0,LN(B86/(AD85*AF85)))),0)</f>
        <v>0.0150237585994663</v>
      </c>
      <c r="AF86" s="68" t="n">
        <f aca="false">AF85*(1+AE86)</f>
        <v>1.07003659454132</v>
      </c>
      <c r="AG86" s="50" t="n">
        <f aca="false">AB86*AF86</f>
        <v>1444.54940263079</v>
      </c>
      <c r="AH86" s="70" t="n">
        <f aca="false">IF(AA86&gt;0,AG86*1000000/AA86/Economy!Q86,0)</f>
        <v>0.156590721152389</v>
      </c>
      <c r="AI86" s="48" t="n">
        <v>478800000</v>
      </c>
      <c r="AJ86" s="48" t="n">
        <v>7438</v>
      </c>
      <c r="AK86" s="71" t="n">
        <v>0.329</v>
      </c>
      <c r="AL86" s="50" t="n">
        <f aca="false">IF(AI86&gt;0,AJ86*1000000/AI86,0)</f>
        <v>15.5346700083542</v>
      </c>
      <c r="AM86" s="67" t="n">
        <f aca="false">IF(AND(AK86&gt;0,AL85&gt;0,B86&gt;0),MIN(conv_cap,conv_beta*1*AK86*MAX(0,LN(B86/(AL85*AN85)))),0)</f>
        <v>0.0142642146359789</v>
      </c>
      <c r="AN86" s="68" t="n">
        <f aca="false">AN85*(1+AM86)</f>
        <v>1.55563843460068</v>
      </c>
      <c r="AO86" s="50" t="n">
        <f aca="false">AJ86*AN86</f>
        <v>11570.8386765598</v>
      </c>
      <c r="AP86" s="70" t="n">
        <f aca="false">IF(AI86&gt;0,AO86*1000000/AI86/Economy!Q86,0)</f>
        <v>0.0294711338217491</v>
      </c>
      <c r="AQ86" s="48" t="n">
        <v>19060000</v>
      </c>
      <c r="AR86" s="48" t="n">
        <v>888</v>
      </c>
      <c r="AS86" s="71" t="n">
        <v>0.588</v>
      </c>
      <c r="AT86" s="50" t="n">
        <f aca="false">IF(AQ86&gt;0,AR86*1000000/AQ86,0)</f>
        <v>46.5897166841553</v>
      </c>
      <c r="AU86" s="67" t="n">
        <f aca="false">IF(AND(AS86&gt;0,AT85&gt;0,B86&gt;0),MIN(conv_cap,conv_beta*1*AS86*MAX(0,LN(B86/(AT85*AV85)))),0)</f>
        <v>0.0181218300696174</v>
      </c>
      <c r="AV86" s="68" t="n">
        <f aca="false">AV85*(1+AU86)</f>
        <v>1.8418402090832</v>
      </c>
      <c r="AW86" s="50" t="n">
        <f aca="false">AR86*AV86</f>
        <v>1635.55410566588</v>
      </c>
      <c r="AX86" s="70" t="n">
        <f aca="false">IF(AQ86&gt;0,AW86*1000000/AQ86/Economy!Q86,0)</f>
        <v>0.104647333559355</v>
      </c>
      <c r="AY86" s="48" t="n">
        <v>119400000</v>
      </c>
      <c r="AZ86" s="48" t="n">
        <v>5500</v>
      </c>
      <c r="BA86" s="71" t="n">
        <v>0.231</v>
      </c>
      <c r="BB86" s="50" t="n">
        <f aca="false">IF(AY86&gt;0,AZ86*1000000/AY86,0)</f>
        <v>46.0636515912898</v>
      </c>
      <c r="BC86" s="67" t="n">
        <f aca="false">IF(AND(BA86&gt;0,BB85&gt;0,B86&gt;0),MIN(conv_cap,conv_beta*1*BA86*MAX(0,LN(B86/(BB85*BD85)))),0)</f>
        <v>0.00809050007803517</v>
      </c>
      <c r="BD86" s="68" t="n">
        <f aca="false">BD85*(1+BC86)</f>
        <v>1.19630563354445</v>
      </c>
      <c r="BE86" s="50" t="n">
        <f aca="false">AZ86*BD86</f>
        <v>6579.68098449449</v>
      </c>
      <c r="BF86" s="70" t="n">
        <f aca="false">IF(AY86&gt;0,BE86*1000000/AY86/Economy!Q86,0)</f>
        <v>0.0672026901223035</v>
      </c>
      <c r="BG86" s="48" t="n">
        <v>44300000</v>
      </c>
      <c r="BH86" s="48" t="n">
        <v>6333</v>
      </c>
      <c r="BI86" s="71" t="n">
        <v>0.381</v>
      </c>
      <c r="BJ86" s="50" t="n">
        <f aca="false">IF(BG86&gt;0,BH86*1000000/BG86,0)</f>
        <v>142.957110609481</v>
      </c>
      <c r="BK86" s="67" t="n">
        <f aca="false">IF(AND(BI86&gt;0,BJ85&gt;0,B86&gt;0),MIN(conv_cap,conv_beta*1*BI86*MAX(0,LN(B86/(BJ85*BL85)))),0)</f>
        <v>0.00890872789350685</v>
      </c>
      <c r="BL86" s="68" t="n">
        <f aca="false">BL85*(1+BK86)</f>
        <v>1.2475737759042</v>
      </c>
      <c r="BM86" s="50" t="n">
        <f aca="false">BH86*BL86</f>
        <v>7900.88472280129</v>
      </c>
      <c r="BN86" s="70" t="n">
        <f aca="false">IF(BG86&gt;0,BM86*1000000/BG86/Economy!Q86,0)</f>
        <v>0.217499441799298</v>
      </c>
      <c r="BO86" s="48" t="n">
        <v>18400000</v>
      </c>
      <c r="BP86" s="48" t="n">
        <v>1669</v>
      </c>
      <c r="BQ86" s="71" t="n">
        <v>0.181</v>
      </c>
      <c r="BR86" s="50" t="n">
        <f aca="false">IF(BO86&gt;0,BP86*1000000/BO86,0)</f>
        <v>90.7065217391304</v>
      </c>
      <c r="BS86" s="67" t="n">
        <f aca="false">IF(AND(BQ86&gt;0,BR85&gt;0,B86&gt;0),MIN(conv_cap,conv_beta*1*BQ86*MAX(0,LN(B86/(BR85*BT85)))),0)</f>
        <v>0.00530940856987635</v>
      </c>
      <c r="BT86" s="68" t="n">
        <f aca="false">BT85*(1+BS86)</f>
        <v>1.07129805340825</v>
      </c>
      <c r="BU86" s="50" t="n">
        <f aca="false">BP86*BT86</f>
        <v>1787.99645113837</v>
      </c>
      <c r="BV86" s="70" t="n">
        <f aca="false">IF(BO86&gt;0,BU86*1000000/BO86/Economy!Q86,0)</f>
        <v>0.11850453679337</v>
      </c>
      <c r="BW86" s="68" t="n">
        <f aca="false">0.25*IF(D86&gt;0,H86,1)+0.15*IF(AJ86&gt;0,AN86,1)+0.03*IF(AR86&gt;0,AV86,1)+0.08*IF(AZ86&gt;0,BD86,1)+0.12*IF(BH86&gt;0,BL86,1)+0.1*IF(L86&gt;0,P86,1)+0.07*IF(T86&gt;0,X86,1)+0.05*IF(AB86&gt;0,AF86,1)+0.05*IF(BP86&gt;0,BT86,1)+0.1</f>
        <v>1.60150673088065</v>
      </c>
      <c r="BX86" s="66" t="n">
        <f aca="false">MIN(mkt_cap,mkt_elast*MAX(0,BW86-1))</f>
        <v>0.300753365440326</v>
      </c>
      <c r="BY86" s="50" t="n">
        <f aca="false">I86+Q86+Y86+AG86</f>
        <v>29666.9004366159</v>
      </c>
      <c r="BZ86" s="50" t="n">
        <f aca="false">D86+L86+T86+AB86</f>
        <v>16072.368</v>
      </c>
      <c r="CA86" s="68" t="n">
        <f aca="false">IF(BZ86&gt;0,BY86/BZ86,0)</f>
        <v>1.84583257654478</v>
      </c>
    </row>
    <row r="87" customFormat="false" ht="14.25" hidden="false" customHeight="false" outlineLevel="0" collapsed="false">
      <c r="A87" s="61" t="n">
        <v>1927</v>
      </c>
      <c r="B87" s="50" t="n">
        <f aca="false">Economy!P86</f>
        <v>1804.52010893482</v>
      </c>
      <c r="C87" s="48" t="n">
        <v>61830000</v>
      </c>
      <c r="D87" s="65" t="n">
        <f aca="false">Japan!B87</f>
        <v>8130</v>
      </c>
      <c r="E87" s="71" t="n">
        <v>1</v>
      </c>
      <c r="F87" s="50" t="n">
        <f aca="false">IF(C87&gt;0,D87*1000000/C87,0)</f>
        <v>131.489568170791</v>
      </c>
      <c r="G87" s="67" t="n">
        <f aca="false">IF(AND(E87&gt;0,F86&gt;0,B87&gt;0),MIN(conv_cap,conv_beta*jp_uplift*E87*MAX(0,LN(B87/(F86*H86)))),0)</f>
        <v>0.0174855496100616</v>
      </c>
      <c r="H87" s="68" t="n">
        <f aca="false">H86*(1+G87)</f>
        <v>2.44246949814448</v>
      </c>
      <c r="I87" s="50" t="n">
        <f aca="false">D87*H87</f>
        <v>19857.2770199146</v>
      </c>
      <c r="J87" s="70" t="n">
        <f aca="false">IF(C87&gt;0,I87*1000000/C87/Economy!Q87,0)</f>
        <v>0.398955601964404</v>
      </c>
      <c r="K87" s="65" t="n">
        <f aca="false">Gulf!B87</f>
        <v>10490000</v>
      </c>
      <c r="L87" s="50" t="n">
        <f aca="false">Gulf!B87*Gulf!C87*Economy!Q87/1000000</f>
        <v>5548.00365</v>
      </c>
      <c r="M87" s="71" t="n">
        <v>0.828</v>
      </c>
      <c r="N87" s="50" t="n">
        <f aca="false">IF(K87&gt;0,L87*1000000/K87,0)</f>
        <v>528.885</v>
      </c>
      <c r="O87" s="67" t="n">
        <f aca="false">IF(AND(M87&gt;0,N86&gt;0,B87&gt;0),MIN(conv_cap,conv_beta*1*M87*MAX(0,LN(B87/(N86*P86)))),0)</f>
        <v>0.00837610453131029</v>
      </c>
      <c r="P87" s="68" t="n">
        <f aca="false">P86*(1+O87)</f>
        <v>1.22261922561174</v>
      </c>
      <c r="Q87" s="50" t="n">
        <f aca="false">L87*P87</f>
        <v>6783.0959262541</v>
      </c>
      <c r="R87" s="70" t="n">
        <f aca="false">IF(K87&gt;0,Q87*1000000/K87/Economy!Q87,0)</f>
        <v>0.803260831226912</v>
      </c>
      <c r="S87" s="65" t="n">
        <f aca="false">People!U87</f>
        <v>12235751</v>
      </c>
      <c r="T87" s="48" t="n">
        <v>1191.451</v>
      </c>
      <c r="U87" s="71" t="n">
        <v>0.799</v>
      </c>
      <c r="V87" s="50" t="n">
        <f aca="false">IF(S87&gt;0,T87*1000000/S87,0)</f>
        <v>97.3745706332206</v>
      </c>
      <c r="W87" s="67" t="n">
        <f aca="false">IF(AND(U87&gt;0,V86&gt;0,B87&gt;0),MIN(conv_cap,conv_beta*1*U87*MAX(0,LN(B87/(V86*X86)))),0)</f>
        <v>0.0179837704241299</v>
      </c>
      <c r="X87" s="68" t="n">
        <f aca="false">X86*(1+W87)</f>
        <v>2.02223194530712</v>
      </c>
      <c r="Y87" s="50" t="n">
        <f aca="false">T87*X87</f>
        <v>2409.39027346811</v>
      </c>
      <c r="Z87" s="70" t="n">
        <f aca="false">IF(S87&gt;0,Y87*1000000/S87/Economy!Q87,0)</f>
        <v>0.244613624093246</v>
      </c>
      <c r="AA87" s="48" t="n">
        <v>11500000</v>
      </c>
      <c r="AB87" s="48" t="n">
        <v>1400</v>
      </c>
      <c r="AC87" s="71" t="n">
        <v>0.579</v>
      </c>
      <c r="AD87" s="50" t="n">
        <f aca="false">IF(AA87&gt;0,AB87*1000000/AA87,0)</f>
        <v>121.739130434783</v>
      </c>
      <c r="AE87" s="67" t="n">
        <f aca="false">IF(AND(AC87&gt;0,AD86&gt;0,B87&gt;0),MIN(conv_cap,conv_beta*1*AC87*MAX(0,LN(B87/(AD86*AF86)))),0)</f>
        <v>0.0153021905305999</v>
      </c>
      <c r="AF87" s="68" t="n">
        <f aca="false">AF86*(1+AE87)</f>
        <v>1.08641049838571</v>
      </c>
      <c r="AG87" s="50" t="n">
        <f aca="false">AB87*AF87</f>
        <v>1520.97469773999</v>
      </c>
      <c r="AH87" s="70" t="n">
        <f aca="false">IF(AA87&gt;0,AG87*1000000/AA87/Economy!Q87,0)</f>
        <v>0.16429648368782</v>
      </c>
      <c r="AI87" s="48" t="n">
        <v>482500000</v>
      </c>
      <c r="AJ87" s="48" t="n">
        <v>7625</v>
      </c>
      <c r="AK87" s="71" t="n">
        <v>0.336</v>
      </c>
      <c r="AL87" s="50" t="n">
        <f aca="false">IF(AI87&gt;0,AJ87*1000000/AI87,0)</f>
        <v>15.8031088082902</v>
      </c>
      <c r="AM87" s="67" t="n">
        <f aca="false">IF(AND(AK87&gt;0,AL86&gt;0,B87&gt;0),MIN(conv_cap,conv_beta*1*AK87*MAX(0,LN(B87/(AL86*AN86)))),0)</f>
        <v>0.0144919811794622</v>
      </c>
      <c r="AN87" s="68" t="n">
        <f aca="false">AN86*(1+AM87)</f>
        <v>1.57818271751696</v>
      </c>
      <c r="AO87" s="50" t="n">
        <f aca="false">AJ87*AN87</f>
        <v>12033.6432210668</v>
      </c>
      <c r="AP87" s="70" t="n">
        <f aca="false">IF(AI87&gt;0,AO87*1000000/AI87/Economy!Q87,0)</f>
        <v>0.0309816064649485</v>
      </c>
      <c r="AQ87" s="48" t="n">
        <v>19380000</v>
      </c>
      <c r="AR87" s="48" t="n">
        <v>925</v>
      </c>
      <c r="AS87" s="71" t="n">
        <v>0.592</v>
      </c>
      <c r="AT87" s="50" t="n">
        <f aca="false">IF(AQ87&gt;0,AR87*1000000/AQ87,0)</f>
        <v>47.7296181630547</v>
      </c>
      <c r="AU87" s="67" t="n">
        <f aca="false">IF(AND(AS87&gt;0,AT86&gt;0,B87&gt;0),MIN(conv_cap,conv_beta*1*AS87*MAX(0,LN(B87/(AT86*AV86)))),0)</f>
        <v>0.018031757230314</v>
      </c>
      <c r="AV87" s="68" t="n">
        <f aca="false">AV86*(1+AU87)</f>
        <v>1.87505182459041</v>
      </c>
      <c r="AW87" s="50" t="n">
        <f aca="false">AR87*AV87</f>
        <v>1734.42293774613</v>
      </c>
      <c r="AX87" s="70" t="n">
        <f aca="false">IF(AQ87&gt;0,AW87*1000000/AQ87/Economy!Q87,0)</f>
        <v>0.11117454363185</v>
      </c>
      <c r="AY87" s="48" t="n">
        <v>121200000</v>
      </c>
      <c r="AZ87" s="48" t="n">
        <v>5667</v>
      </c>
      <c r="BA87" s="71" t="n">
        <v>0.237</v>
      </c>
      <c r="BB87" s="50" t="n">
        <f aca="false">IF(AY87&gt;0,AZ87*1000000/AY87,0)</f>
        <v>46.7574257425743</v>
      </c>
      <c r="BC87" s="67" t="n">
        <f aca="false">IF(AND(BA87&gt;0,BB86&gt;0,B87&gt;0),MIN(conv_cap,conv_beta*1*BA87*MAX(0,LN(B87/(BB86*BD86)))),0)</f>
        <v>0.00826842667884789</v>
      </c>
      <c r="BD87" s="68" t="n">
        <f aca="false">BD86*(1+BC87)</f>
        <v>1.20619719896091</v>
      </c>
      <c r="BE87" s="50" t="n">
        <f aca="false">AZ87*BD87</f>
        <v>6835.51952651147</v>
      </c>
      <c r="BF87" s="70" t="n">
        <f aca="false">IF(AY87&gt;0,BE87*1000000/AY87/Economy!Q87,0)</f>
        <v>0.0700604670326903</v>
      </c>
      <c r="BG87" s="48" t="n">
        <v>44900000</v>
      </c>
      <c r="BH87" s="48" t="n">
        <v>6556</v>
      </c>
      <c r="BI87" s="71" t="n">
        <v>0.388</v>
      </c>
      <c r="BJ87" s="50" t="n">
        <f aca="false">IF(BG87&gt;0,BH87*1000000/BG87,0)</f>
        <v>146.013363028953</v>
      </c>
      <c r="BK87" s="67" t="n">
        <f aca="false">IF(AND(BI87&gt;0,BJ86&gt;0,B87&gt;0),MIN(conv_cap,conv_beta*1*BI87*MAX(0,LN(B87/(BJ86*BL86)))),0)</f>
        <v>0.00897950193502912</v>
      </c>
      <c r="BL87" s="68" t="n">
        <f aca="false">BL86*(1+BK87)</f>
        <v>1.25877636703902</v>
      </c>
      <c r="BM87" s="50" t="n">
        <f aca="false">BH87*BL87</f>
        <v>8252.53786230783</v>
      </c>
      <c r="BN87" s="70" t="n">
        <f aca="false">IF(BG87&gt;0,BM87*1000000/BG87/Economy!Q87,0)</f>
        <v>0.228320708885386</v>
      </c>
      <c r="BO87" s="48" t="n">
        <v>18600000</v>
      </c>
      <c r="BP87" s="48" t="n">
        <v>1712</v>
      </c>
      <c r="BQ87" s="71" t="n">
        <v>0.188</v>
      </c>
      <c r="BR87" s="50" t="n">
        <f aca="false">IF(BO87&gt;0,BP87*1000000/BO87,0)</f>
        <v>92.0430107526882</v>
      </c>
      <c r="BS87" s="67" t="n">
        <f aca="false">IF(AND(BQ87&gt;0,BR86&gt;0,B87&gt;0),MIN(conv_cap,conv_beta*1*BQ87*MAX(0,LN(B87/(BR86*BT86)))),0)</f>
        <v>0.00549251336361468</v>
      </c>
      <c r="BT87" s="68" t="n">
        <f aca="false">BT86*(1+BS87)</f>
        <v>1.07718217228301</v>
      </c>
      <c r="BU87" s="50" t="n">
        <f aca="false">BP87*BT87</f>
        <v>1844.13587894852</v>
      </c>
      <c r="BV87" s="70" t="n">
        <f aca="false">IF(BO87&gt;0,BU87*1000000/BO87/Economy!Q87,0)</f>
        <v>0.123164087287018</v>
      </c>
      <c r="BW87" s="68" t="n">
        <f aca="false">0.25*IF(D87&gt;0,H87,1)+0.15*IF(AJ87&gt;0,AN87,1)+0.03*IF(AR87&gt;0,AV87,1)+0.08*IF(AZ87&gt;0,BD87,1)+0.12*IF(BH87&gt;0,BL87,1)+0.1*IF(L87&gt;0,P87,1)+0.07*IF(T87&gt;0,X87,1)+0.05*IF(AB87&gt;0,AF87,1)+0.05*IF(BP87&gt;0,BT87,1)+0.1</f>
        <v>1.62314306912904</v>
      </c>
      <c r="BX87" s="66" t="n">
        <f aca="false">MIN(mkt_cap,mkt_elast*MAX(0,BW87-1))</f>
        <v>0.311571534564519</v>
      </c>
      <c r="BY87" s="50" t="n">
        <f aca="false">I87+Q87+Y87+AG87</f>
        <v>30570.7379173768</v>
      </c>
      <c r="BZ87" s="50" t="n">
        <f aca="false">D87+L87+T87+AB87</f>
        <v>16269.45465</v>
      </c>
      <c r="CA87" s="68" t="n">
        <f aca="false">IF(BZ87&gt;0,BY87/BZ87,0)</f>
        <v>1.87902659155061</v>
      </c>
    </row>
    <row r="88" customFormat="false" ht="14.25" hidden="false" customHeight="false" outlineLevel="0" collapsed="false">
      <c r="A88" s="61" t="n">
        <v>1928</v>
      </c>
      <c r="B88" s="50" t="n">
        <f aca="false">Economy!P87</f>
        <v>1811.19031425309</v>
      </c>
      <c r="C88" s="48" t="n">
        <v>62670000</v>
      </c>
      <c r="D88" s="65" t="n">
        <f aca="false">Japan!B88</f>
        <v>8180</v>
      </c>
      <c r="E88" s="71" t="n">
        <v>1</v>
      </c>
      <c r="F88" s="50" t="n">
        <f aca="false">IF(C88&gt;0,D88*1000000/C88,0)</f>
        <v>130.524972075953</v>
      </c>
      <c r="G88" s="67" t="n">
        <f aca="false">IF(AND(E88&gt;0,F87&gt;0,B88&gt;0),MIN(conv_cap,conv_beta*jp_uplift*E88*MAX(0,LN(B88/(F87*H87)))),0)</f>
        <v>0.0172980240443582</v>
      </c>
      <c r="H88" s="68" t="n">
        <f aca="false">H87*(1+G88)</f>
        <v>2.48471939425099</v>
      </c>
      <c r="I88" s="50" t="n">
        <f aca="false">D88*H88</f>
        <v>20325.0046449731</v>
      </c>
      <c r="J88" s="70" t="n">
        <f aca="false">IF(C88&gt;0,I88*1000000/C88/Economy!Q88,0)</f>
        <v>0.397936109878761</v>
      </c>
      <c r="K88" s="65" t="n">
        <f aca="false">Gulf!B88</f>
        <v>10640000</v>
      </c>
      <c r="L88" s="50" t="n">
        <f aca="false">Gulf!B88*Gulf!C88*Economy!Q88/1000000</f>
        <v>5662.5548</v>
      </c>
      <c r="M88" s="71" t="n">
        <v>0.839</v>
      </c>
      <c r="N88" s="50" t="n">
        <f aca="false">IF(K88&gt;0,L88*1000000/K88,0)</f>
        <v>532.195</v>
      </c>
      <c r="O88" s="67" t="n">
        <f aca="false">IF(AND(M88&gt;0,N87&gt;0,B88&gt;0),MIN(conv_cap,conv_beta*1*M88*MAX(0,LN(B88/(N87*P87)))),0)</f>
        <v>0.00864147397091042</v>
      </c>
      <c r="P88" s="68" t="n">
        <f aca="false">P87*(1+O88)</f>
        <v>1.2331844578262</v>
      </c>
      <c r="Q88" s="50" t="n">
        <f aca="false">L88*P88</f>
        <v>6982.97457094913</v>
      </c>
      <c r="R88" s="70" t="n">
        <f aca="false">IF(K88&gt;0,Q88*1000000/K88/Economy!Q88,0)</f>
        <v>0.805269450960507</v>
      </c>
      <c r="S88" s="65" t="n">
        <f aca="false">People!U88</f>
        <v>12432347</v>
      </c>
      <c r="T88" s="48" t="n">
        <v>1231.137</v>
      </c>
      <c r="U88" s="71" t="n">
        <v>0.803</v>
      </c>
      <c r="V88" s="50" t="n">
        <f aca="false">IF(S88&gt;0,T88*1000000/S88,0)</f>
        <v>99.0269174436653</v>
      </c>
      <c r="W88" s="67" t="n">
        <f aca="false">IF(AND(U88&gt;0,V87&gt;0,B88&gt;0),MIN(conv_cap,conv_beta*1*U88*MAX(0,LN(B88/(V87*X87)))),0)</f>
        <v>0.0178183501440482</v>
      </c>
      <c r="X88" s="68" t="n">
        <f aca="false">X87*(1+W88)</f>
        <v>2.05826478218108</v>
      </c>
      <c r="Y88" s="50" t="n">
        <f aca="false">T88*X88</f>
        <v>2534.00592914007</v>
      </c>
      <c r="Z88" s="70" t="n">
        <f aca="false">IF(S88&gt;0,Y88*1000000/S88/Economy!Q88,0)</f>
        <v>0.250090327192944</v>
      </c>
      <c r="AA88" s="48" t="n">
        <v>11750000</v>
      </c>
      <c r="AB88" s="48" t="n">
        <v>1450</v>
      </c>
      <c r="AC88" s="71" t="n">
        <v>0.593</v>
      </c>
      <c r="AD88" s="50" t="n">
        <f aca="false">IF(AA88&gt;0,AB88*1000000/AA88,0)</f>
        <v>123.404255319149</v>
      </c>
      <c r="AE88" s="67" t="n">
        <f aca="false">IF(AND(AC88&gt;0,AD87&gt;0,B88&gt;0),MIN(conv_cap,conv_beta*1*AC88*MAX(0,LN(B88/(AD87*AF87)))),0)</f>
        <v>0.0155186909186401</v>
      </c>
      <c r="AF88" s="68" t="n">
        <f aca="false">AF87*(1+AE88)</f>
        <v>1.10327016712092</v>
      </c>
      <c r="AG88" s="50" t="n">
        <f aca="false">AB88*AF88</f>
        <v>1599.74174232534</v>
      </c>
      <c r="AH88" s="70" t="n">
        <f aca="false">IF(AA88&gt;0,AG88*1000000/AA88/Economy!Q88,0)</f>
        <v>0.167053047103547</v>
      </c>
      <c r="AI88" s="48" t="n">
        <v>486200000</v>
      </c>
      <c r="AJ88" s="48" t="n">
        <v>7812</v>
      </c>
      <c r="AK88" s="71" t="n">
        <v>0.343</v>
      </c>
      <c r="AL88" s="50" t="n">
        <f aca="false">IF(AI88&gt;0,AJ88*1000000/AI88,0)</f>
        <v>16.0674619498149</v>
      </c>
      <c r="AM88" s="67" t="n">
        <f aca="false">IF(AND(AK88&gt;0,AL87&gt;0,B88&gt;0),MIN(conv_cap,conv_beta*1*AK88*MAX(0,LN(B88/(AL87*AN87)))),0)</f>
        <v>0.0146984378668641</v>
      </c>
      <c r="AN88" s="68" t="n">
        <f aca="false">AN87*(1+AM88)</f>
        <v>1.60137953813294</v>
      </c>
      <c r="AO88" s="50" t="n">
        <f aca="false">AJ88*AN88</f>
        <v>12509.9769518945</v>
      </c>
      <c r="AP88" s="70" t="n">
        <f aca="false">IF(AI88&gt;0,AO88*1000000/AI88/Economy!Q88,0)</f>
        <v>0.0315706807314886</v>
      </c>
      <c r="AQ88" s="48" t="n">
        <v>19690000</v>
      </c>
      <c r="AR88" s="48" t="n">
        <v>962</v>
      </c>
      <c r="AS88" s="71" t="n">
        <v>0.596</v>
      </c>
      <c r="AT88" s="50" t="n">
        <f aca="false">IF(AQ88&gt;0,AR88*1000000/AQ88,0)</f>
        <v>48.8572879634332</v>
      </c>
      <c r="AU88" s="67" t="n">
        <f aca="false">IF(AND(AS88&gt;0,AT87&gt;0,B88&gt;0),MIN(conv_cap,conv_beta*1*AS88*MAX(0,LN(B88/(AT87*AV87)))),0)</f>
        <v>0.017925004618144</v>
      </c>
      <c r="AV88" s="68" t="n">
        <f aca="false">AV87*(1+AU88)</f>
        <v>1.90866213720546</v>
      </c>
      <c r="AW88" s="50" t="n">
        <f aca="false">AR88*AV88</f>
        <v>1836.13297599165</v>
      </c>
      <c r="AX88" s="70" t="n">
        <f aca="false">IF(AQ88&gt;0,AW88*1000000/AQ88/Economy!Q88,0)</f>
        <v>0.114419700199201</v>
      </c>
      <c r="AY88" s="48" t="n">
        <v>123100000</v>
      </c>
      <c r="AZ88" s="48" t="n">
        <v>5833</v>
      </c>
      <c r="BA88" s="71" t="n">
        <v>0.244</v>
      </c>
      <c r="BB88" s="50" t="n">
        <f aca="false">IF(AY88&gt;0,AZ88*1000000/AY88,0)</f>
        <v>47.3842404549147</v>
      </c>
      <c r="BC88" s="67" t="n">
        <f aca="false">IF(AND(BA88&gt;0,BB87&gt;0,B88&gt;0),MIN(conv_cap,conv_beta*1*BA88*MAX(0,LN(B88/(BB87*BD87)))),0)</f>
        <v>0.00846507701335739</v>
      </c>
      <c r="BD88" s="68" t="n">
        <f aca="false">BD87*(1+BC88)</f>
        <v>1.21640775114341</v>
      </c>
      <c r="BE88" s="50" t="n">
        <f aca="false">AZ88*BD88</f>
        <v>7095.3064124195</v>
      </c>
      <c r="BF88" s="70" t="n">
        <f aca="false">IF(AY88&gt;0,BE88*1000000/AY88/Economy!Q88,0)</f>
        <v>0.070722156283928</v>
      </c>
      <c r="BG88" s="48" t="n">
        <v>45400000</v>
      </c>
      <c r="BH88" s="48" t="n">
        <v>6778</v>
      </c>
      <c r="BI88" s="71" t="n">
        <v>0.394</v>
      </c>
      <c r="BJ88" s="50" t="n">
        <f aca="false">IF(BG88&gt;0,BH88*1000000/BG88,0)</f>
        <v>149.295154185022</v>
      </c>
      <c r="BK88" s="67" t="n">
        <f aca="false">IF(AND(BI88&gt;0,BJ87&gt;0,B88&gt;0),MIN(conv_cap,conv_beta*1*BI88*MAX(0,LN(B88/(BJ87*BL87)))),0)</f>
        <v>0.00901433105639761</v>
      </c>
      <c r="BL88" s="68" t="n">
        <f aca="false">BL87*(1+BK88)</f>
        <v>1.27012339393748</v>
      </c>
      <c r="BM88" s="50" t="n">
        <f aca="false">BH88*BL88</f>
        <v>8608.89636410825</v>
      </c>
      <c r="BN88" s="70" t="n">
        <f aca="false">IF(BG88&gt;0,BM88*1000000/BG88/Economy!Q88,0)</f>
        <v>0.232666586419509</v>
      </c>
      <c r="BO88" s="48" t="n">
        <v>18800000</v>
      </c>
      <c r="BP88" s="48" t="n">
        <v>1756</v>
      </c>
      <c r="BQ88" s="71" t="n">
        <v>0.194</v>
      </c>
      <c r="BR88" s="50" t="n">
        <f aca="false">IF(BO88&gt;0,BP88*1000000/BO88,0)</f>
        <v>93.4042553191489</v>
      </c>
      <c r="BS88" s="67" t="n">
        <f aca="false">IF(AND(BQ88&gt;0,BR87&gt;0,B88&gt;0),MIN(conv_cap,conv_beta*1*BQ88*MAX(0,LN(B88/(BR87*BT87)))),0)</f>
        <v>0.00563596196314822</v>
      </c>
      <c r="BT88" s="68" t="n">
        <f aca="false">BT87*(1+BS88)</f>
        <v>1.08325313003338</v>
      </c>
      <c r="BU88" s="50" t="n">
        <f aca="false">BP88*BT88</f>
        <v>1902.19249633861</v>
      </c>
      <c r="BV88" s="70" t="n">
        <f aca="false">IF(BO88&gt;0,BU88*1000000/BO88/Economy!Q88,0)</f>
        <v>0.124147793782706</v>
      </c>
      <c r="BW88" s="68" t="n">
        <f aca="false">0.25*IF(D88&gt;0,H88,1)+0.15*IF(AJ88&gt;0,AN88,1)+0.03*IF(AR88&gt;0,AV88,1)+0.08*IF(AZ88&gt;0,BD88,1)+0.12*IF(BH88&gt;0,BL88,1)+0.1*IF(L88&gt;0,P88,1)+0.07*IF(T88&gt;0,X88,1)+0.05*IF(AB88&gt;0,AF88,1)+0.05*IF(BP88&gt;0,BT88,1)+0.1</f>
        <v>1.64509721615583</v>
      </c>
      <c r="BX88" s="66" t="n">
        <f aca="false">MIN(mkt_cap,mkt_elast*MAX(0,BW88-1))</f>
        <v>0.322548608077917</v>
      </c>
      <c r="BY88" s="50" t="n">
        <f aca="false">I88+Q88+Y88+AG88</f>
        <v>31441.7268873876</v>
      </c>
      <c r="BZ88" s="50" t="n">
        <f aca="false">D88+L88+T88+AB88</f>
        <v>16523.6918</v>
      </c>
      <c r="CA88" s="68" t="n">
        <f aca="false">IF(BZ88&gt;0,BY88/BZ88,0)</f>
        <v>1.9028269994353</v>
      </c>
    </row>
    <row r="89" customFormat="false" ht="14.25" hidden="false" customHeight="false" outlineLevel="0" collapsed="false">
      <c r="A89" s="61" t="n">
        <v>1929</v>
      </c>
      <c r="B89" s="50" t="n">
        <f aca="false">Economy!P88</f>
        <v>1880.37743404352</v>
      </c>
      <c r="C89" s="48" t="n">
        <v>63500000</v>
      </c>
      <c r="D89" s="65" t="n">
        <f aca="false">Japan!B89</f>
        <v>8130</v>
      </c>
      <c r="E89" s="71" t="n">
        <v>1</v>
      </c>
      <c r="F89" s="50" t="n">
        <f aca="false">IF(C89&gt;0,D89*1000000/C89,0)</f>
        <v>128.031496062992</v>
      </c>
      <c r="G89" s="67" t="n">
        <f aca="false">IF(AND(E89&gt;0,F88&gt;0,B89&gt;0),MIN(conv_cap,conv_beta*jp_uplift*E89*MAX(0,LN(B89/(F88*H88)))),0)</f>
        <v>0.0175750349974859</v>
      </c>
      <c r="H89" s="68" t="n">
        <f aca="false">H88*(1+G89)</f>
        <v>2.52838842456388</v>
      </c>
      <c r="I89" s="50" t="n">
        <f aca="false">D89*H89</f>
        <v>20555.7978917044</v>
      </c>
      <c r="J89" s="70" t="n">
        <f aca="false">IF(C89&gt;0,I89*1000000/C89/Economy!Q89,0)</f>
        <v>0.376849071740705</v>
      </c>
      <c r="K89" s="65" t="n">
        <f aca="false">Gulf!B89</f>
        <v>10800000</v>
      </c>
      <c r="L89" s="50" t="n">
        <f aca="false">Gulf!B89*Gulf!C89*Economy!Q89/1000000</f>
        <v>6030.18</v>
      </c>
      <c r="M89" s="71" t="n">
        <v>0.85</v>
      </c>
      <c r="N89" s="50" t="n">
        <f aca="false">IF(K89&gt;0,L89*1000000/K89,0)</f>
        <v>558.35</v>
      </c>
      <c r="O89" s="67" t="n">
        <f aca="false">IF(AND(M89&gt;0,N88&gt;0,B89&gt;0),MIN(conv_cap,conv_beta*1*M89*MAX(0,LN(B89/(N88*P88)))),0)</f>
        <v>0.00894725317937039</v>
      </c>
      <c r="P89" s="68" t="n">
        <f aca="false">P88*(1+O89)</f>
        <v>1.24421807138723</v>
      </c>
      <c r="Q89" s="50" t="n">
        <f aca="false">L89*P89</f>
        <v>7502.85892971787</v>
      </c>
      <c r="R89" s="70" t="n">
        <f aca="false">IF(K89&gt;0,Q89*1000000/K89/Economy!Q89,0)</f>
        <v>0.808741746401701</v>
      </c>
      <c r="S89" s="65" t="n">
        <f aca="false">People!U89</f>
        <v>12628007</v>
      </c>
      <c r="T89" s="48" t="n">
        <v>1270.832</v>
      </c>
      <c r="U89" s="71" t="n">
        <v>0.808</v>
      </c>
      <c r="V89" s="50" t="n">
        <f aca="false">IF(S89&gt;0,T89*1000000/S89,0)</f>
        <v>100.635991095032</v>
      </c>
      <c r="W89" s="67" t="n">
        <f aca="false">IF(AND(U89&gt;0,V88&gt;0,B89&gt;0),MIN(conv_cap,conv_beta*1*U89*MAX(0,LN(B89/(V88*X88)))),0)</f>
        <v>0.0179535402468381</v>
      </c>
      <c r="X89" s="68" t="n">
        <f aca="false">X88*(1+W89)</f>
        <v>2.09521792178662</v>
      </c>
      <c r="Y89" s="50" t="n">
        <f aca="false">T89*X89</f>
        <v>2662.66998197993</v>
      </c>
      <c r="Z89" s="70" t="n">
        <f aca="false">IF(S89&gt;0,Y89*1000000/S89/Economy!Q89,0)</f>
        <v>0.245464880231745</v>
      </c>
      <c r="AA89" s="48" t="n">
        <v>12000000</v>
      </c>
      <c r="AB89" s="48" t="n">
        <v>1500</v>
      </c>
      <c r="AC89" s="71" t="n">
        <v>0.607</v>
      </c>
      <c r="AD89" s="50" t="n">
        <f aca="false">IF(AA89&gt;0,AB89*1000000/AA89,0)</f>
        <v>125</v>
      </c>
      <c r="AE89" s="67" t="n">
        <f aca="false">IF(AND(AC89&gt;0,AD88&gt;0,B89&gt;0),MIN(conv_cap,conv_beta*1*AC89*MAX(0,LN(B89/(AD88*AF88)))),0)</f>
        <v>0.0159366851782435</v>
      </c>
      <c r="AF89" s="68" t="n">
        <f aca="false">AF88*(1+AE89)</f>
        <v>1.12085263644088</v>
      </c>
      <c r="AG89" s="50" t="n">
        <f aca="false">AB89*AF89</f>
        <v>1681.27895466132</v>
      </c>
      <c r="AH89" s="70" t="n">
        <f aca="false">IF(AA89&gt;0,AG89*1000000/AA89/Economy!Q89,0)</f>
        <v>0.163104283533306</v>
      </c>
      <c r="AI89" s="48" t="n">
        <v>490000000</v>
      </c>
      <c r="AJ89" s="48" t="n">
        <v>8000</v>
      </c>
      <c r="AK89" s="71" t="n">
        <v>0.35</v>
      </c>
      <c r="AL89" s="50" t="n">
        <f aca="false">IF(AI89&gt;0,AJ89*1000000/AI89,0)</f>
        <v>16.3265306122449</v>
      </c>
      <c r="AM89" s="67" t="n">
        <f aca="false">IF(AND(AK89&gt;0,AL88&gt;0,B89&gt;0),MIN(conv_cap,conv_beta*1*AK89*MAX(0,LN(B89/(AL88*AN88)))),0)</f>
        <v>0.0150204813474109</v>
      </c>
      <c r="AN89" s="68" t="n">
        <f aca="false">AN88*(1+AM89)</f>
        <v>1.62543302961559</v>
      </c>
      <c r="AO89" s="50" t="n">
        <f aca="false">AJ89*AN89</f>
        <v>13003.4642369247</v>
      </c>
      <c r="AP89" s="70" t="n">
        <f aca="false">IF(AI89&gt;0,AO89*1000000/AI89/Economy!Q89,0)</f>
        <v>0.0308936928011326</v>
      </c>
      <c r="AQ89" s="48" t="n">
        <v>20000000</v>
      </c>
      <c r="AR89" s="48" t="n">
        <v>1000</v>
      </c>
      <c r="AS89" s="71" t="n">
        <v>0.6</v>
      </c>
      <c r="AT89" s="50" t="n">
        <f aca="false">IF(AQ89&gt;0,AR89*1000000/AQ89,0)</f>
        <v>50</v>
      </c>
      <c r="AU89" s="67" t="n">
        <f aca="false">IF(AND(AS89&gt;0,AT88&gt;0,B89&gt;0),MIN(conv_cap,conv_beta*1*AS89*MAX(0,LN(B89/(AT88*AV88)))),0)</f>
        <v>0.0180235301732733</v>
      </c>
      <c r="AV89" s="68" t="n">
        <f aca="false">AV88*(1+AU89)</f>
        <v>1.94306296682596</v>
      </c>
      <c r="AW89" s="50" t="n">
        <f aca="false">AR89*AV89</f>
        <v>1943.06296682596</v>
      </c>
      <c r="AX89" s="70" t="n">
        <f aca="false">IF(AQ89&gt;0,AW89*1000000/AQ89/Economy!Q89,0)</f>
        <v>0.11310028910512</v>
      </c>
      <c r="AY89" s="48" t="n">
        <v>125000000</v>
      </c>
      <c r="AZ89" s="48" t="n">
        <v>6000</v>
      </c>
      <c r="BA89" s="71" t="n">
        <v>0.25</v>
      </c>
      <c r="BB89" s="50" t="n">
        <f aca="false">IF(AY89&gt;0,AZ89*1000000/AY89,0)</f>
        <v>48</v>
      </c>
      <c r="BC89" s="67" t="n">
        <f aca="false">IF(AND(BA89&gt;0,BB88&gt;0,B89&gt;0),MIN(conv_cap,conv_beta*1*BA89*MAX(0,LN(B89/(BB88*BD88)))),0)</f>
        <v>0.00871259013974876</v>
      </c>
      <c r="BD89" s="68" t="n">
        <f aca="false">BD88*(1+BC89)</f>
        <v>1.22700581332193</v>
      </c>
      <c r="BE89" s="50" t="n">
        <f aca="false">AZ89*BD89</f>
        <v>7362.0348799316</v>
      </c>
      <c r="BF89" s="70" t="n">
        <f aca="false">IF(AY89&gt;0,BE89*1000000/AY89/Economy!Q89,0)</f>
        <v>0.0685637707094911</v>
      </c>
      <c r="BG89" s="48" t="n">
        <v>46000000</v>
      </c>
      <c r="BH89" s="48" t="n">
        <v>7000</v>
      </c>
      <c r="BI89" s="71" t="n">
        <v>0.4</v>
      </c>
      <c r="BJ89" s="50" t="n">
        <f aca="false">IF(BG89&gt;0,BH89*1000000/BG89,0)</f>
        <v>152.173913043478</v>
      </c>
      <c r="BK89" s="67" t="n">
        <f aca="false">IF(AND(BI89&gt;0,BJ88&gt;0,B89&gt;0),MIN(conv_cap,conv_beta*1*BI89*MAX(0,LN(B89/(BJ88*BL88)))),0)</f>
        <v>0.00917675398004739</v>
      </c>
      <c r="BL89" s="68" t="n">
        <f aca="false">BL88*(1+BK89)</f>
        <v>1.28177900384795</v>
      </c>
      <c r="BM89" s="50" t="n">
        <f aca="false">BH89*BL89</f>
        <v>8972.45302693564</v>
      </c>
      <c r="BN89" s="70" t="n">
        <f aca="false">IF(BG89&gt;0,BM89*1000000/BG89/Economy!Q89,0)</f>
        <v>0.227070228955197</v>
      </c>
      <c r="BO89" s="48" t="n">
        <v>19000000</v>
      </c>
      <c r="BP89" s="48" t="n">
        <v>1800</v>
      </c>
      <c r="BQ89" s="71" t="n">
        <v>0.2</v>
      </c>
      <c r="BR89" s="50" t="n">
        <f aca="false">IF(BO89&gt;0,BP89*1000000/BO89,0)</f>
        <v>94.7368421052632</v>
      </c>
      <c r="BS89" s="67" t="n">
        <f aca="false">IF(AND(BQ89&gt;0,BR88&gt;0,B89&gt;0),MIN(conv_cap,conv_beta*1*BQ89*MAX(0,LN(B89/(BR88*BT88)))),0)</f>
        <v>0.00584464444597247</v>
      </c>
      <c r="BT89" s="68" t="n">
        <f aca="false">BT88*(1+BS89)</f>
        <v>1.08958435942341</v>
      </c>
      <c r="BU89" s="50" t="n">
        <f aca="false">BP89*BT89</f>
        <v>1961.25184696214</v>
      </c>
      <c r="BV89" s="70" t="n">
        <f aca="false">IF(BO89&gt;0,BU89*1000000/BO89/Economy!Q89,0)</f>
        <v>0.120167382327194</v>
      </c>
      <c r="BW89" s="68" t="n">
        <f aca="false">0.25*IF(D89&gt;0,H89,1)+0.15*IF(AJ89&gt;0,AN89,1)+0.03*IF(AR89&gt;0,AV89,1)+0.08*IF(AZ89&gt;0,BD89,1)+0.12*IF(BH89&gt;0,BL89,1)+0.1*IF(L89&gt;0,P89,1)+0.07*IF(T89&gt;0,X89,1)+0.05*IF(AB89&gt;0,AF89,1)+0.05*IF(BP89&gt;0,BT89,1)+0.1</f>
        <v>1.6677868065726</v>
      </c>
      <c r="BX89" s="66" t="n">
        <f aca="false">MIN(mkt_cap,mkt_elast*MAX(0,BW89-1))</f>
        <v>0.333893403286299</v>
      </c>
      <c r="BY89" s="50" t="n">
        <f aca="false">I89+Q89+Y89+AG89</f>
        <v>32402.6057580635</v>
      </c>
      <c r="BZ89" s="50" t="n">
        <f aca="false">D89+L89+T89+AB89</f>
        <v>16931.012</v>
      </c>
      <c r="CA89" s="68" t="n">
        <f aca="false">IF(BZ89&gt;0,BY89/BZ89,0)</f>
        <v>1.91380206676739</v>
      </c>
    </row>
    <row r="90" customFormat="false" ht="14.25" hidden="false" customHeight="false" outlineLevel="0" collapsed="false">
      <c r="A90" s="61" t="n">
        <v>1930</v>
      </c>
      <c r="B90" s="50" t="n">
        <f aca="false">Economy!P89</f>
        <v>1931.12237275492</v>
      </c>
      <c r="C90" s="48" t="n">
        <v>64470000</v>
      </c>
      <c r="D90" s="65" t="n">
        <f aca="false">Japan!B90</f>
        <v>7330</v>
      </c>
      <c r="E90" s="71" t="n">
        <v>1</v>
      </c>
      <c r="F90" s="50" t="n">
        <f aca="false">IF(C90&gt;0,D90*1000000/C90,0)</f>
        <v>113.696292849387</v>
      </c>
      <c r="G90" s="67" t="n">
        <f aca="false">IF(AND(E90&gt;0,F89&gt;0,B90&gt;0),MIN(conv_cap,conv_beta*jp_uplift*E90*MAX(0,LN(B90/(F89*H89)))),0)</f>
        <v>0.0178599824307517</v>
      </c>
      <c r="H90" s="68" t="n">
        <f aca="false">H89*(1+G90)</f>
        <v>2.57354539740471</v>
      </c>
      <c r="I90" s="50" t="n">
        <f aca="false">D90*H90</f>
        <v>18864.0877629765</v>
      </c>
      <c r="J90" s="70" t="n">
        <f aca="false">IF(C90&gt;0,I90*1000000/C90/Economy!Q90,0)</f>
        <v>0.391179907973955</v>
      </c>
      <c r="K90" s="65" t="n">
        <f aca="false">Gulf!B90</f>
        <v>10930000</v>
      </c>
      <c r="L90" s="50" t="n">
        <f aca="false">Gulf!B90*Gulf!C90*Economy!Q90/1000000</f>
        <v>5232.4096</v>
      </c>
      <c r="M90" s="71" t="n">
        <v>0.85</v>
      </c>
      <c r="N90" s="50" t="n">
        <f aca="false">IF(K90&gt;0,L90*1000000/K90,0)</f>
        <v>478.72</v>
      </c>
      <c r="O90" s="67" t="n">
        <f aca="false">IF(AND(M90&gt;0,N89&gt;0,B90&gt;0),MIN(conv_cap,conv_beta*1*M90*MAX(0,LN(B90/(N89*P89)))),0)</f>
        <v>0.00869008864303518</v>
      </c>
      <c r="P90" s="68" t="n">
        <f aca="false">P89*(1+O90)</f>
        <v>1.25503043671885</v>
      </c>
      <c r="Q90" s="50" t="n">
        <f aca="false">L90*P90</f>
        <v>6566.83330537993</v>
      </c>
      <c r="R90" s="70" t="n">
        <f aca="false">IF(K90&gt;0,Q90*1000000/K90/Economy!Q90,0)</f>
        <v>0.803219479500067</v>
      </c>
      <c r="S90" s="65" t="n">
        <f aca="false">People!U90</f>
        <v>12824733</v>
      </c>
      <c r="T90" s="48" t="n">
        <v>1159.045</v>
      </c>
      <c r="U90" s="71" t="n">
        <v>0.812</v>
      </c>
      <c r="V90" s="50" t="n">
        <f aca="false">IF(S90&gt;0,T90*1000000/S90,0)</f>
        <v>90.375760649364</v>
      </c>
      <c r="W90" s="67" t="n">
        <f aca="false">IF(AND(U90&gt;0,V89&gt;0,B90&gt;0),MIN(conv_cap,conv_beta*1*U90*MAX(0,LN(B90/(V89*X89)))),0)</f>
        <v>0.0179832757128623</v>
      </c>
      <c r="X90" s="68" t="n">
        <f aca="false">X89*(1+W90)</f>
        <v>2.13289680335264</v>
      </c>
      <c r="Y90" s="50" t="n">
        <f aca="false">T90*X90</f>
        <v>2472.12337544186</v>
      </c>
      <c r="Z90" s="70" t="n">
        <f aca="false">IF(S90&gt;0,Y90*1000000/S90/Economy!Q90,0)</f>
        <v>0.25770343715186</v>
      </c>
      <c r="AA90" s="48" t="n">
        <v>12170000</v>
      </c>
      <c r="AB90" s="48" t="n">
        <v>1400</v>
      </c>
      <c r="AC90" s="71" t="n">
        <v>0.621</v>
      </c>
      <c r="AD90" s="50" t="n">
        <f aca="false">IF(AA90&gt;0,AB90*1000000/AA90,0)</f>
        <v>115.036976170912</v>
      </c>
      <c r="AE90" s="67" t="n">
        <f aca="false">IF(AND(AC90&gt;0,AD89&gt;0,B90&gt;0),MIN(conv_cap,conv_beta*1*AC90*MAX(0,LN(B90/(AD89*AF89)))),0)</f>
        <v>0.0162916446057456</v>
      </c>
      <c r="AF90" s="68" t="n">
        <f aca="false">AF89*(1+AE90)</f>
        <v>1.13911316924919</v>
      </c>
      <c r="AG90" s="50" t="n">
        <f aca="false">AB90*AF90</f>
        <v>1594.75843694886</v>
      </c>
      <c r="AH90" s="70" t="n">
        <f aca="false">IF(AA90&gt;0,AG90*1000000/AA90/Economy!Q90,0)</f>
        <v>0.175187345597447</v>
      </c>
      <c r="AI90" s="48" t="n">
        <v>493300000</v>
      </c>
      <c r="AJ90" s="48" t="n">
        <v>7667</v>
      </c>
      <c r="AK90" s="71" t="n">
        <v>0.35</v>
      </c>
      <c r="AL90" s="50" t="n">
        <f aca="false">IF(AI90&gt;0,AJ90*1000000/AI90,0)</f>
        <v>15.5422663693493</v>
      </c>
      <c r="AM90" s="67" t="n">
        <f aca="false">IF(AND(AK90&gt;0,AL89&gt;0,B90&gt;0),MIN(conv_cap,conv_beta*1*AK90*MAX(0,LN(B90/(AL89*AN89)))),0)</f>
        <v>0.0150055183724404</v>
      </c>
      <c r="AN90" s="68" t="n">
        <f aca="false">AN89*(1+AM90)</f>
        <v>1.64982349480466</v>
      </c>
      <c r="AO90" s="50" t="n">
        <f aca="false">AJ90*AN90</f>
        <v>12649.1967346673</v>
      </c>
      <c r="AP90" s="70" t="n">
        <f aca="false">IF(AI90&gt;0,AO90*1000000/AI90/Economy!Q90,0)</f>
        <v>0.0342807436078406</v>
      </c>
      <c r="AQ90" s="48" t="n">
        <v>20330000</v>
      </c>
      <c r="AR90" s="48" t="n">
        <v>933</v>
      </c>
      <c r="AS90" s="71" t="n">
        <v>0.6</v>
      </c>
      <c r="AT90" s="50" t="n">
        <f aca="false">IF(AQ90&gt;0,AR90*1000000/AQ90,0)</f>
        <v>45.8927693064437</v>
      </c>
      <c r="AU90" s="67" t="n">
        <f aca="false">IF(AND(AS90&gt;0,AT89&gt;0,B90&gt;0),MIN(conv_cap,conv_beta*1*AS90*MAX(0,LN(B90/(AT89*AV89)))),0)</f>
        <v>0.0179374084250774</v>
      </c>
      <c r="AV90" s="68" t="n">
        <f aca="false">AV89*(1+AU90)</f>
        <v>1.97791648085756</v>
      </c>
      <c r="AW90" s="50" t="n">
        <f aca="false">AR90*AV90</f>
        <v>1845.39607664011</v>
      </c>
      <c r="AX90" s="70" t="n">
        <f aca="false">IF(AQ90&gt;0,AW90*1000000/AQ90/Economy!Q90,0)</f>
        <v>0.121353027758568</v>
      </c>
      <c r="AY90" s="48" t="n">
        <v>126700000</v>
      </c>
      <c r="AZ90" s="48" t="n">
        <v>5167</v>
      </c>
      <c r="BA90" s="71" t="n">
        <v>0.25</v>
      </c>
      <c r="BB90" s="50" t="n">
        <f aca="false">IF(AY90&gt;0,AZ90*1000000/AY90,0)</f>
        <v>40.7813733228098</v>
      </c>
      <c r="BC90" s="67" t="n">
        <f aca="false">IF(AND(BA90&gt;0,BB89&gt;0,B90&gt;0),MIN(conv_cap,conv_beta*1*BA90*MAX(0,LN(B90/(BB89*BD89)))),0)</f>
        <v>0.00872519684674576</v>
      </c>
      <c r="BD90" s="68" t="n">
        <f aca="false">BD89*(1+BC90)</f>
        <v>1.23771168057527</v>
      </c>
      <c r="BE90" s="50" t="n">
        <f aca="false">AZ90*BD90</f>
        <v>6395.25625353242</v>
      </c>
      <c r="BF90" s="70" t="n">
        <f aca="false">IF(AY90&gt;0,BE90*1000000/AY90/Economy!Q90,0)</f>
        <v>0.0674807247480513</v>
      </c>
      <c r="BG90" s="48" t="n">
        <v>46700000</v>
      </c>
      <c r="BH90" s="48" t="n">
        <v>6000</v>
      </c>
      <c r="BI90" s="71" t="n">
        <v>0.4</v>
      </c>
      <c r="BJ90" s="50" t="n">
        <f aca="false">IF(BG90&gt;0,BH90*1000000/BG90,0)</f>
        <v>128.47965738758</v>
      </c>
      <c r="BK90" s="67" t="n">
        <f aca="false">IF(AND(BI90&gt;0,BJ89&gt;0,B90&gt;0),MIN(conv_cap,conv_beta*1*BI90*MAX(0,LN(B90/(BJ89*BL89)))),0)</f>
        <v>0.00917033464745746</v>
      </c>
      <c r="BL90" s="68" t="n">
        <f aca="false">BL89*(1+BK90)</f>
        <v>1.29353334625732</v>
      </c>
      <c r="BM90" s="50" t="n">
        <f aca="false">BH90*BL90</f>
        <v>7761.20007754391</v>
      </c>
      <c r="BN90" s="70" t="n">
        <f aca="false">IF(BG90&gt;0,BM90*1000000/BG90/Economy!Q90,0)</f>
        <v>0.222182782281485</v>
      </c>
      <c r="BO90" s="48" t="n">
        <v>19300000</v>
      </c>
      <c r="BP90" s="48" t="n">
        <v>1667</v>
      </c>
      <c r="BQ90" s="71" t="n">
        <v>0.217</v>
      </c>
      <c r="BR90" s="50" t="n">
        <f aca="false">IF(BO90&gt;0,BP90*1000000/BO90,0)</f>
        <v>86.3730569948187</v>
      </c>
      <c r="BS90" s="67" t="n">
        <f aca="false">IF(AND(BQ90&gt;0,BR89&gt;0,B90&gt;0),MIN(conv_cap,conv_beta*1*BQ90*MAX(0,LN(B90/(BR89*BT89)))),0)</f>
        <v>0.00635583752881359</v>
      </c>
      <c r="BT90" s="68" t="n">
        <f aca="false">BT89*(1+BS90)</f>
        <v>1.09650958058584</v>
      </c>
      <c r="BU90" s="50" t="n">
        <f aca="false">BP90*BT90</f>
        <v>1827.8814708366</v>
      </c>
      <c r="BV90" s="70" t="n">
        <f aca="false">IF(BO90&gt;0,BU90*1000000/BO90/Economy!Q90,0)</f>
        <v>0.126616155747735</v>
      </c>
      <c r="BW90" s="68" t="n">
        <f aca="false">0.25*IF(D90&gt;0,H90,1)+0.15*IF(AJ90&gt;0,AN90,1)+0.03*IF(AR90&gt;0,AV90,1)+0.08*IF(AZ90&gt;0,BD90,1)+0.12*IF(BH90&gt;0,BL90,1)+0.1*IF(L90&gt;0,P90,1)+0.07*IF(T90&gt;0,X90,1)+0.05*IF(AB90&gt;0,AF90,1)+0.05*IF(BP90&gt;0,BT90,1)+0.1</f>
        <v>1.69102526139282</v>
      </c>
      <c r="BX90" s="66" t="n">
        <f aca="false">MIN(mkt_cap,mkt_elast*MAX(0,BW90-1))</f>
        <v>0.345512630696412</v>
      </c>
      <c r="BY90" s="50" t="n">
        <f aca="false">I90+Q90+Y90+AG90</f>
        <v>29497.8028807472</v>
      </c>
      <c r="BZ90" s="50" t="n">
        <f aca="false">D90+L90+T90+AB90</f>
        <v>15121.4546</v>
      </c>
      <c r="CA90" s="68" t="n">
        <f aca="false">IF(BZ90&gt;0,BY90/BZ90,0)</f>
        <v>1.95072522194704</v>
      </c>
    </row>
    <row r="91" customFormat="false" ht="14.25" hidden="false" customHeight="false" outlineLevel="0" collapsed="false">
      <c r="A91" s="61" t="n">
        <v>1931</v>
      </c>
      <c r="B91" s="50" t="n">
        <f aca="false">Economy!P90</f>
        <v>1767.41791499487</v>
      </c>
      <c r="C91" s="48" t="n">
        <v>65430000</v>
      </c>
      <c r="D91" s="65" t="n">
        <f aca="false">Japan!B91</f>
        <v>6630</v>
      </c>
      <c r="E91" s="71" t="n">
        <v>1</v>
      </c>
      <c r="F91" s="50" t="n">
        <f aca="false">IF(C91&gt;0,D91*1000000/C91,0)</f>
        <v>101.329665291151</v>
      </c>
      <c r="G91" s="67" t="n">
        <f aca="false">IF(AND(E91&gt;0,F90&gt;0,B91&gt;0),MIN(conv_cap,conv_beta*jp_uplift*E91*MAX(0,LN(B91/(F90*H90)))),0)</f>
        <v>0.0179845967953886</v>
      </c>
      <c r="H91" s="68" t="n">
        <f aca="false">H90*(1+G91)</f>
        <v>2.61982957371166</v>
      </c>
      <c r="I91" s="50" t="n">
        <f aca="false">D91*H91</f>
        <v>17369.4700737083</v>
      </c>
      <c r="J91" s="70" t="n">
        <f aca="false">IF(C91&gt;0,I91*1000000/C91/Economy!Q91,0)</f>
        <v>0.425427009333431</v>
      </c>
      <c r="K91" s="65" t="n">
        <f aca="false">Gulf!B91</f>
        <v>11070000</v>
      </c>
      <c r="L91" s="50" t="n">
        <f aca="false">Gulf!B91*Gulf!C91*Economy!Q91/1000000</f>
        <v>4351.8384</v>
      </c>
      <c r="M91" s="71" t="n">
        <v>0.85</v>
      </c>
      <c r="N91" s="50" t="n">
        <f aca="false">IF(K91&gt;0,L91*1000000/K91,0)</f>
        <v>393.12</v>
      </c>
      <c r="O91" s="67" t="n">
        <f aca="false">IF(AND(M91&gt;0,N90&gt;0,B91&gt;0),MIN(conv_cap,conv_beta*1*M91*MAX(0,LN(B91/(N90*P90)))),0)</f>
        <v>0.00917149367078761</v>
      </c>
      <c r="P91" s="68" t="n">
        <f aca="false">P90*(1+O91)</f>
        <v>1.26654094042587</v>
      </c>
      <c r="Q91" s="50" t="n">
        <f aca="false">L91*P91</f>
        <v>5511.7814997174</v>
      </c>
      <c r="R91" s="70" t="n">
        <f aca="false">IF(K91&gt;0,Q91*1000000/K91/Economy!Q91,0)</f>
        <v>0.797920792468296</v>
      </c>
      <c r="S91" s="65" t="n">
        <f aca="false">People!U91</f>
        <v>13021526</v>
      </c>
      <c r="T91" s="48" t="n">
        <v>1047.253</v>
      </c>
      <c r="U91" s="71" t="n">
        <v>0.816</v>
      </c>
      <c r="V91" s="50" t="n">
        <f aca="false">IF(S91&gt;0,T91*1000000/S91,0)</f>
        <v>80.4247520605496</v>
      </c>
      <c r="W91" s="67" t="n">
        <f aca="false">IF(AND(U91&gt;0,V90&gt;0,B91&gt;0),MIN(conv_cap,conv_beta*1*U91*MAX(0,LN(B91/(V90*X90)))),0)</f>
        <v>0.0180810732563502</v>
      </c>
      <c r="X91" s="68" t="n">
        <f aca="false">X90*(1+W91)</f>
        <v>2.17146186670229</v>
      </c>
      <c r="Y91" s="50" t="n">
        <f aca="false">T91*X91</f>
        <v>2274.06995428957</v>
      </c>
      <c r="Z91" s="70" t="n">
        <f aca="false">IF(S91&gt;0,Y91*1000000/S91/Economy!Q91,0)</f>
        <v>0.279870644612933</v>
      </c>
      <c r="AA91" s="48" t="n">
        <v>12330000</v>
      </c>
      <c r="AB91" s="48" t="n">
        <v>1300</v>
      </c>
      <c r="AC91" s="71" t="n">
        <v>0.636</v>
      </c>
      <c r="AD91" s="50" t="n">
        <f aca="false">IF(AA91&gt;0,AB91*1000000/AA91,0)</f>
        <v>105.433901054339</v>
      </c>
      <c r="AE91" s="67" t="n">
        <f aca="false">IF(AND(AC91&gt;0,AD90&gt;0,B91&gt;0),MIN(conv_cap,conv_beta*1*AC91*MAX(0,LN(B91/(AD90*AF90)))),0)</f>
        <v>0.0165472655241407</v>
      </c>
      <c r="AF91" s="68" t="n">
        <f aca="false">AF90*(1+AE91)</f>
        <v>1.1579623773228</v>
      </c>
      <c r="AG91" s="50" t="n">
        <f aca="false">AB91*AF91</f>
        <v>1505.35109051964</v>
      </c>
      <c r="AH91" s="70" t="n">
        <f aca="false">IF(AA91&gt;0,AG91*1000000/AA91/Economy!Q91,0)</f>
        <v>0.195654632556569</v>
      </c>
      <c r="AI91" s="48" t="n">
        <v>496700000</v>
      </c>
      <c r="AJ91" s="48" t="n">
        <v>7333</v>
      </c>
      <c r="AK91" s="71" t="n">
        <v>0.35</v>
      </c>
      <c r="AL91" s="50" t="n">
        <f aca="false">IF(AI91&gt;0,AJ91*1000000/AI91,0)</f>
        <v>14.7634386953896</v>
      </c>
      <c r="AM91" s="67" t="n">
        <f aca="false">IF(AND(AK91&gt;0,AL90&gt;0,B91&gt;0),MIN(conv_cap,conv_beta*1*AK91*MAX(0,LN(B91/(AL90*AN90)))),0)</f>
        <v>0.0148156521475343</v>
      </c>
      <c r="AN91" s="68" t="n">
        <f aca="false">AN90*(1+AM91)</f>
        <v>1.67426670580852</v>
      </c>
      <c r="AO91" s="50" t="n">
        <f aca="false">AJ91*AN91</f>
        <v>12277.3977536938</v>
      </c>
      <c r="AP91" s="70" t="n">
        <f aca="false">IF(AI91&gt;0,AO91*1000000/AI91/Economy!Q91,0)</f>
        <v>0.0396120735111152</v>
      </c>
      <c r="AQ91" s="48" t="n">
        <v>20670000</v>
      </c>
      <c r="AR91" s="48" t="n">
        <v>867</v>
      </c>
      <c r="AS91" s="71" t="n">
        <v>0.6</v>
      </c>
      <c r="AT91" s="50" t="n">
        <f aca="false">IF(AQ91&gt;0,AR91*1000000/AQ91,0)</f>
        <v>41.944847605225</v>
      </c>
      <c r="AU91" s="67" t="n">
        <f aca="false">IF(AND(AS91&gt;0,AT90&gt;0,B91&gt;0),MIN(conv_cap,conv_beta*1*AS91*MAX(0,LN(B91/(AT90*AV90)))),0)</f>
        <v>0.0178135402434455</v>
      </c>
      <c r="AV91" s="68" t="n">
        <f aca="false">AV90*(1+AU91)</f>
        <v>2.01315017568749</v>
      </c>
      <c r="AW91" s="50" t="n">
        <f aca="false">AR91*AV91</f>
        <v>1745.40120232106</v>
      </c>
      <c r="AX91" s="70" t="n">
        <f aca="false">IF(AQ91&gt;0,AW91*1000000/AQ91/Economy!Q91,0)</f>
        <v>0.135322559816737</v>
      </c>
      <c r="AY91" s="48" t="n">
        <v>128300000</v>
      </c>
      <c r="AZ91" s="48" t="n">
        <v>4333</v>
      </c>
      <c r="BA91" s="71" t="n">
        <v>0.25</v>
      </c>
      <c r="BB91" s="50" t="n">
        <f aca="false">IF(AY91&gt;0,AZ91*1000000/AY91,0)</f>
        <v>33.7724084177709</v>
      </c>
      <c r="BC91" s="67" t="n">
        <f aca="false">IF(AND(BA91&gt;0,BB90&gt;0,B91&gt;0),MIN(conv_cap,conv_beta*1*BA91*MAX(0,LN(B91/(BB90*BD90)))),0)</f>
        <v>0.00888946314646311</v>
      </c>
      <c r="BD91" s="68" t="n">
        <f aca="false">BD90*(1+BC91)</f>
        <v>1.24871427294569</v>
      </c>
      <c r="BE91" s="50" t="n">
        <f aca="false">AZ91*BD91</f>
        <v>5410.67894467367</v>
      </c>
      <c r="BF91" s="70" t="n">
        <f aca="false">IF(AY91&gt;0,BE91*1000000/AY91/Economy!Q91,0)</f>
        <v>0.0675834750368936</v>
      </c>
      <c r="BG91" s="48" t="n">
        <v>47300000</v>
      </c>
      <c r="BH91" s="48" t="n">
        <v>5000</v>
      </c>
      <c r="BI91" s="71" t="n">
        <v>0.4</v>
      </c>
      <c r="BJ91" s="50" t="n">
        <f aca="false">IF(BG91&gt;0,BH91*1000000/BG91,0)</f>
        <v>105.708245243129</v>
      </c>
      <c r="BK91" s="67" t="n">
        <f aca="false">IF(AND(BI91&gt;0,BJ90&gt;0,B91&gt;0),MIN(conv_cap,conv_beta*1*BI91*MAX(0,LN(B91/(BJ90*BL90)))),0)</f>
        <v>0.00945650747869851</v>
      </c>
      <c r="BL91" s="68" t="n">
        <f aca="false">BL90*(1+BK91)</f>
        <v>1.30576565402015</v>
      </c>
      <c r="BM91" s="50" t="n">
        <f aca="false">BH91*BL91</f>
        <v>6528.82827010074</v>
      </c>
      <c r="BN91" s="70" t="n">
        <f aca="false">IF(BG91&gt;0,BM91*1000000/BG91/Economy!Q91,0)</f>
        <v>0.221202237155795</v>
      </c>
      <c r="BO91" s="48" t="n">
        <v>19700000</v>
      </c>
      <c r="BP91" s="48" t="n">
        <v>1533</v>
      </c>
      <c r="BQ91" s="71" t="n">
        <v>0.233</v>
      </c>
      <c r="BR91" s="50" t="n">
        <f aca="false">IF(BO91&gt;0,BP91*1000000/BO91,0)</f>
        <v>77.8172588832487</v>
      </c>
      <c r="BS91" s="67" t="n">
        <f aca="false">IF(AND(BQ91&gt;0,BR90&gt;0,B91&gt;0),MIN(conv_cap,conv_beta*1*BQ91*MAX(0,LN(B91/(BR90*BT90)))),0)</f>
        <v>0.00681866844152671</v>
      </c>
      <c r="BT91" s="68" t="n">
        <f aca="false">BT90*(1+BS91)</f>
        <v>1.10398631585882</v>
      </c>
      <c r="BU91" s="50" t="n">
        <f aca="false">BP91*BT91</f>
        <v>1692.41102221156</v>
      </c>
      <c r="BV91" s="70" t="n">
        <f aca="false">IF(BO91&gt;0,BU91*1000000/BO91/Economy!Q91,0)</f>
        <v>0.137674982283252</v>
      </c>
      <c r="BW91" s="68" t="n">
        <f aca="false">0.25*IF(D91&gt;0,H91,1)+0.15*IF(AJ91&gt;0,AN91,1)+0.03*IF(AR91&gt;0,AV91,1)+0.08*IF(AZ91&gt;0,BD91,1)+0.12*IF(BH91&gt;0,BL91,1)+0.1*IF(L91&gt;0,P91,1)+0.07*IF(T91&gt;0,X91,1)+0.05*IF(AB91&gt;0,AF91,1)+0.05*IF(BP91&gt;0,BT91,1)+0.1</f>
        <v>1.71483478425872</v>
      </c>
      <c r="BX91" s="66" t="n">
        <f aca="false">MIN(mkt_cap,mkt_elast*MAX(0,BW91-1))</f>
        <v>0.357417392129359</v>
      </c>
      <c r="BY91" s="50" t="n">
        <f aca="false">I91+Q91+Y91+AG91</f>
        <v>26660.6726182349</v>
      </c>
      <c r="BZ91" s="50" t="n">
        <f aca="false">D91+L91+T91+AB91</f>
        <v>13329.0914</v>
      </c>
      <c r="CA91" s="68" t="n">
        <f aca="false">IF(BZ91&gt;0,BY91/BZ91,0)</f>
        <v>2.00018679579577</v>
      </c>
    </row>
    <row r="92" customFormat="false" ht="14.25" hidden="false" customHeight="false" outlineLevel="0" collapsed="false">
      <c r="A92" s="61" t="n">
        <v>1932</v>
      </c>
      <c r="B92" s="50" t="n">
        <f aca="false">Economy!P91</f>
        <v>1567.64337638761</v>
      </c>
      <c r="C92" s="48" t="n">
        <v>66400000</v>
      </c>
      <c r="D92" s="65" t="n">
        <f aca="false">Japan!B92</f>
        <v>6480</v>
      </c>
      <c r="E92" s="71" t="n">
        <v>1</v>
      </c>
      <c r="F92" s="50" t="n">
        <f aca="false">IF(C92&gt;0,D92*1000000/C92,0)</f>
        <v>97.5903614457831</v>
      </c>
      <c r="G92" s="67" t="n">
        <f aca="false">IF(AND(E92&gt;0,F91&gt;0,B92&gt;0),MIN(conv_cap,conv_beta*jp_uplift*E92*MAX(0,LN(B92/(F91*H91)))),0)</f>
        <v>0.017758402547601</v>
      </c>
      <c r="H92" s="68" t="n">
        <f aca="false">H91*(1+G92)</f>
        <v>2.66635356188774</v>
      </c>
      <c r="I92" s="50" t="n">
        <f aca="false">D92*H92</f>
        <v>17277.9710810326</v>
      </c>
      <c r="J92" s="70" t="n">
        <f aca="false">IF(C92&gt;0,I92*1000000/C92/Economy!Q92,0)</f>
        <v>0.546660520686715</v>
      </c>
      <c r="K92" s="65" t="n">
        <f aca="false">Gulf!B92</f>
        <v>11200000</v>
      </c>
      <c r="L92" s="50" t="n">
        <f aca="false">Gulf!B92*Gulf!C92*Economy!Q92/1000000</f>
        <v>3305.344</v>
      </c>
      <c r="M92" s="71" t="n">
        <v>0.85</v>
      </c>
      <c r="N92" s="50" t="n">
        <f aca="false">IF(K92&gt;0,L92*1000000/K92,0)</f>
        <v>295.12</v>
      </c>
      <c r="O92" s="67" t="n">
        <f aca="false">IF(AND(M92&gt;0,N91&gt;0,B92&gt;0),MIN(conv_cap,conv_beta*1*M92*MAX(0,LN(B92/(N91*P91)))),0)</f>
        <v>0.009748856653375</v>
      </c>
      <c r="P92" s="68" t="n">
        <f aca="false">P91*(1+O92)</f>
        <v>1.27888826649971</v>
      </c>
      <c r="Q92" s="50" t="n">
        <f aca="false">L92*P92</f>
        <v>4227.16565834522</v>
      </c>
      <c r="R92" s="70" t="n">
        <f aca="false">IF(K92&gt;0,Q92*1000000/K92/Economy!Q92,0)</f>
        <v>0.79291072522982</v>
      </c>
      <c r="S92" s="65" t="n">
        <f aca="false">People!U92</f>
        <v>13218388</v>
      </c>
      <c r="T92" s="48" t="n">
        <v>935.455</v>
      </c>
      <c r="U92" s="71" t="n">
        <v>0.82</v>
      </c>
      <c r="V92" s="50" t="n">
        <f aca="false">IF(S92&gt;0,T92*1000000/S92,0)</f>
        <v>70.7692193632083</v>
      </c>
      <c r="W92" s="67" t="n">
        <f aca="false">IF(AND(U92&gt;0,V91&gt;0,B92&gt;0),MIN(conv_cap,conv_beta*1*U92*MAX(0,LN(B92/(V91*X91)))),0)</f>
        <v>0.0179957703006856</v>
      </c>
      <c r="X92" s="68" t="n">
        <f aca="false">X91*(1+W92)</f>
        <v>2.21053899567216</v>
      </c>
      <c r="Y92" s="50" t="n">
        <f aca="false">T92*X92</f>
        <v>2067.8597561965</v>
      </c>
      <c r="Z92" s="70" t="n">
        <f aca="false">IF(S92&gt;0,Y92*1000000/S92/Economy!Q92,0)</f>
        <v>0.328651510705146</v>
      </c>
      <c r="AA92" s="48" t="n">
        <v>12500000</v>
      </c>
      <c r="AB92" s="48" t="n">
        <v>1200</v>
      </c>
      <c r="AC92" s="71" t="n">
        <v>0.65</v>
      </c>
      <c r="AD92" s="50" t="n">
        <f aca="false">IF(AA92&gt;0,AB92*1000000/AA92,0)</f>
        <v>96</v>
      </c>
      <c r="AE92" s="67" t="n">
        <f aca="false">IF(AND(AC92&gt;0,AD91&gt;0,B92&gt;0),MIN(conv_cap,conv_beta*1*AC92*MAX(0,LN(B92/(AD91*AF91)))),0)</f>
        <v>0.0165917870363449</v>
      </c>
      <c r="AF92" s="68" t="n">
        <f aca="false">AF91*(1+AE92)</f>
        <v>1.17717504248344</v>
      </c>
      <c r="AG92" s="50" t="n">
        <f aca="false">AB92*AF92</f>
        <v>1412.61005098012</v>
      </c>
      <c r="AH92" s="70" t="n">
        <f aca="false">IF(AA92&gt;0,AG92*1000000/AA92/Economy!Q92,0)</f>
        <v>0.237413453946239</v>
      </c>
      <c r="AI92" s="48" t="n">
        <v>500000000</v>
      </c>
      <c r="AJ92" s="48" t="n">
        <v>7000</v>
      </c>
      <c r="AK92" s="71" t="n">
        <v>0.35</v>
      </c>
      <c r="AL92" s="50" t="n">
        <f aca="false">IF(AI92&gt;0,AJ92*1000000/AI92,0)</f>
        <v>14</v>
      </c>
      <c r="AM92" s="67" t="n">
        <f aca="false">IF(AND(AK92&gt;0,AL91&gt;0,B92&gt;0),MIN(conv_cap,conv_beta*1*AK92*MAX(0,LN(B92/(AL91*AN91)))),0)</f>
        <v>0.0145242989104165</v>
      </c>
      <c r="AN92" s="68" t="n">
        <f aca="false">AN91*(1+AM92)</f>
        <v>1.69858425589944</v>
      </c>
      <c r="AO92" s="50" t="n">
        <f aca="false">AJ92*AN92</f>
        <v>11890.0897912961</v>
      </c>
      <c r="AP92" s="70" t="n">
        <f aca="false">IF(AI92&gt;0,AO92*1000000/AI92/Economy!Q92,0)</f>
        <v>0.0499583604676305</v>
      </c>
      <c r="AQ92" s="48" t="n">
        <v>21000000</v>
      </c>
      <c r="AR92" s="48" t="n">
        <v>800</v>
      </c>
      <c r="AS92" s="71" t="n">
        <v>0.6</v>
      </c>
      <c r="AT92" s="50" t="n">
        <f aca="false">IF(AQ92&gt;0,AR92*1000000/AQ92,0)</f>
        <v>38.0952380952381</v>
      </c>
      <c r="AU92" s="67" t="n">
        <f aca="false">IF(AND(AS92&gt;0,AT91&gt;0,B92&gt;0),MIN(conv_cap,conv_beta*1*AS92*MAX(0,LN(B92/(AT91*AV91)))),0)</f>
        <v>0.0175276343197643</v>
      </c>
      <c r="AV92" s="68" t="n">
        <f aca="false">AV91*(1+AU92)</f>
        <v>2.04843593579771</v>
      </c>
      <c r="AW92" s="50" t="n">
        <f aca="false">AR92*AV92</f>
        <v>1638.74874863817</v>
      </c>
      <c r="AX92" s="70" t="n">
        <f aca="false">IF(AQ92&gt;0,AW92*1000000/AQ92/Economy!Q92,0)</f>
        <v>0.163940451044235</v>
      </c>
      <c r="AY92" s="48" t="n">
        <v>130000000</v>
      </c>
      <c r="AZ92" s="48" t="n">
        <v>3500</v>
      </c>
      <c r="BA92" s="71" t="n">
        <v>0.25</v>
      </c>
      <c r="BB92" s="50" t="n">
        <f aca="false">IF(AY92&gt;0,AZ92*1000000/AY92,0)</f>
        <v>26.9230769230769</v>
      </c>
      <c r="BC92" s="67" t="n">
        <f aca="false">IF(AND(BA92&gt;0,BB91&gt;0,B92&gt;0),MIN(conv_cap,conv_beta*1*BA92*MAX(0,LN(B92/(BB91*BD91)))),0)</f>
        <v>0.00903892536519505</v>
      </c>
      <c r="BD92" s="68" t="n">
        <f aca="false">BD91*(1+BC92)</f>
        <v>1.2600013080613</v>
      </c>
      <c r="BE92" s="50" t="n">
        <f aca="false">AZ92*BD92</f>
        <v>4410.00457821455</v>
      </c>
      <c r="BF92" s="70" t="n">
        <f aca="false">IF(AY92&gt;0,BE92*1000000/AY92/Economy!Q92,0)</f>
        <v>0.0712670423111595</v>
      </c>
      <c r="BG92" s="48" t="n">
        <v>48000000</v>
      </c>
      <c r="BH92" s="48" t="n">
        <v>4000</v>
      </c>
      <c r="BI92" s="71" t="n">
        <v>0.4</v>
      </c>
      <c r="BJ92" s="50" t="n">
        <f aca="false">IF(BG92&gt;0,BH92*1000000/BG92,0)</f>
        <v>83.3333333333333</v>
      </c>
      <c r="BK92" s="67" t="n">
        <f aca="false">IF(AND(BI92&gt;0,BJ91&gt;0,B92&gt;0),MIN(conv_cap,conv_beta*1*BI92*MAX(0,LN(B92/(BJ91*BL91)))),0)</f>
        <v>0.00971942505522177</v>
      </c>
      <c r="BL92" s="68" t="n">
        <f aca="false">BL91*(1+BK92)</f>
        <v>1.31845694543408</v>
      </c>
      <c r="BM92" s="50" t="n">
        <f aca="false">BH92*BL92</f>
        <v>5273.82778173631</v>
      </c>
      <c r="BN92" s="70" t="n">
        <f aca="false">IF(BG92&gt;0,BM92*1000000/BG92/Economy!Q92,0)</f>
        <v>0.230822294368711</v>
      </c>
      <c r="BO92" s="48" t="n">
        <v>20000000</v>
      </c>
      <c r="BP92" s="48" t="n">
        <v>1400</v>
      </c>
      <c r="BQ92" s="71" t="n">
        <v>0.25</v>
      </c>
      <c r="BR92" s="50" t="n">
        <f aca="false">IF(BO92&gt;0,BP92*1000000/BO92,0)</f>
        <v>70</v>
      </c>
      <c r="BS92" s="67" t="n">
        <f aca="false">IF(AND(BQ92&gt;0,BR91&gt;0,B92&gt;0),MIN(conv_cap,conv_beta*1*BQ92*MAX(0,LN(B92/(BR91*BT91)))),0)</f>
        <v>0.00726009485165861</v>
      </c>
      <c r="BT92" s="68" t="n">
        <f aca="false">BT91*(1+BS92)</f>
        <v>1.11200136122688</v>
      </c>
      <c r="BU92" s="50" t="n">
        <f aca="false">BP92*BT92</f>
        <v>1556.80190571764</v>
      </c>
      <c r="BV92" s="70" t="n">
        <f aca="false">IF(BO92&gt;0,BU92*1000000/BO92/Economy!Q92,0)</f>
        <v>0.16352961194513</v>
      </c>
      <c r="BW92" s="68" t="n">
        <f aca="false">0.25*IF(D92&gt;0,H92,1)+0.15*IF(AJ92&gt;0,AN92,1)+0.03*IF(AR92&gt;0,AV92,1)+0.08*IF(AZ92&gt;0,BD92,1)+0.12*IF(BH92&gt;0,BL92,1)+0.1*IF(L92&gt;0,P92,1)+0.07*IF(T92&gt;0,X92,1)+0.05*IF(AB92&gt;0,AF92,1)+0.05*IF(BP92&gt;0,BT92,1)+0.1</f>
        <v>1.73892942156031</v>
      </c>
      <c r="BX92" s="66" t="n">
        <f aca="false">MIN(mkt_cap,mkt_elast*MAX(0,BW92-1))</f>
        <v>0.369464710780157</v>
      </c>
      <c r="BY92" s="50" t="n">
        <f aca="false">I92+Q92+Y92+AG92</f>
        <v>24985.6065465544</v>
      </c>
      <c r="BZ92" s="50" t="n">
        <f aca="false">D92+L92+T92+AB92</f>
        <v>11920.799</v>
      </c>
      <c r="CA92" s="68" t="n">
        <f aca="false">IF(BZ92&gt;0,BY92/BZ92,0)</f>
        <v>2.0959674386385</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55" hidden="false" customHeight="false" outlineLevel="0" collapsed="false">
      <c r="A1" s="19" t="s">
        <v>1905</v>
      </c>
    </row>
    <row r="2" customFormat="false" ht="14.25" hidden="false" customHeight="false" outlineLevel="0" collapsed="false">
      <c r="A2" s="3" t="s">
        <v>1906</v>
      </c>
    </row>
    <row r="3" customFormat="false" ht="14.25" hidden="false" customHeight="false" outlineLevel="0" collapsed="false">
      <c r="A3" s="20" t="s">
        <v>1166</v>
      </c>
    </row>
    <row r="4" customFormat="false" ht="14.25" hidden="false" customHeight="false" outlineLevel="0" collapsed="false">
      <c r="B4" s="58" t="s">
        <v>65</v>
      </c>
      <c r="C4" s="58"/>
      <c r="D4" s="58"/>
      <c r="E4" s="58"/>
      <c r="F4" s="58" t="s">
        <v>1907</v>
      </c>
      <c r="G4" s="58"/>
      <c r="H4" s="58"/>
      <c r="I4" s="58"/>
      <c r="J4" s="58"/>
      <c r="K4" s="58"/>
      <c r="L4" s="58"/>
      <c r="M4" s="58"/>
      <c r="N4" s="58"/>
      <c r="O4" s="58"/>
      <c r="P4" s="58"/>
      <c r="Q4" s="58"/>
      <c r="R4" s="58"/>
      <c r="S4" s="58"/>
      <c r="T4" s="58"/>
      <c r="U4" s="58" t="s">
        <v>1908</v>
      </c>
      <c r="V4" s="58"/>
      <c r="W4" s="58"/>
      <c r="X4" s="58"/>
      <c r="Y4" s="58"/>
      <c r="Z4" s="58"/>
      <c r="AA4" s="58"/>
      <c r="AB4" s="58"/>
      <c r="AC4" s="58"/>
      <c r="AD4" s="58"/>
      <c r="AE4" s="58"/>
      <c r="AF4" s="58"/>
    </row>
    <row r="5" customFormat="false" ht="54" hidden="false" customHeight="true" outlineLevel="0" collapsed="false">
      <c r="A5" s="60" t="s">
        <v>103</v>
      </c>
      <c r="B5" s="7" t="s">
        <v>1203</v>
      </c>
      <c r="C5" s="7" t="s">
        <v>1909</v>
      </c>
      <c r="D5" s="7" t="s">
        <v>1910</v>
      </c>
      <c r="E5" s="7" t="s">
        <v>1911</v>
      </c>
      <c r="F5" s="7" t="s">
        <v>1912</v>
      </c>
      <c r="G5" s="7" t="s">
        <v>1913</v>
      </c>
      <c r="H5" s="7" t="s">
        <v>1914</v>
      </c>
      <c r="I5" s="7" t="s">
        <v>1915</v>
      </c>
      <c r="J5" s="7" t="s">
        <v>1916</v>
      </c>
      <c r="K5" s="7" t="s">
        <v>1917</v>
      </c>
      <c r="L5" s="7" t="s">
        <v>1918</v>
      </c>
      <c r="M5" s="7" t="s">
        <v>1919</v>
      </c>
      <c r="N5" s="7" t="s">
        <v>1920</v>
      </c>
      <c r="O5" s="7" t="s">
        <v>1921</v>
      </c>
      <c r="P5" s="7" t="s">
        <v>1922</v>
      </c>
      <c r="Q5" s="7" t="s">
        <v>1923</v>
      </c>
      <c r="R5" s="7" t="s">
        <v>1924</v>
      </c>
      <c r="S5" s="7" t="s">
        <v>1925</v>
      </c>
      <c r="T5" s="7" t="s">
        <v>1926</v>
      </c>
      <c r="U5" s="7" t="s">
        <v>1927</v>
      </c>
      <c r="V5" s="7" t="s">
        <v>1928</v>
      </c>
      <c r="W5" s="7" t="s">
        <v>1929</v>
      </c>
      <c r="X5" s="7" t="s">
        <v>1930</v>
      </c>
      <c r="Y5" s="7" t="s">
        <v>1931</v>
      </c>
      <c r="Z5" s="7" t="s">
        <v>1932</v>
      </c>
      <c r="AA5" s="7" t="s">
        <v>1933</v>
      </c>
      <c r="AB5" s="7" t="s">
        <v>1934</v>
      </c>
      <c r="AC5" s="7" t="s">
        <v>1935</v>
      </c>
      <c r="AD5" s="7" t="s">
        <v>1936</v>
      </c>
      <c r="AE5" s="7" t="s">
        <v>1937</v>
      </c>
      <c r="AF5" s="7" t="s">
        <v>1938</v>
      </c>
    </row>
    <row r="6" customFormat="false" ht="14.25" hidden="false" customHeight="false" outlineLevel="0" collapsed="false">
      <c r="A6" s="61" t="n">
        <v>1846</v>
      </c>
      <c r="B6" s="48" t="n">
        <v>0</v>
      </c>
      <c r="C6" s="71" t="n">
        <v>0</v>
      </c>
      <c r="D6" s="50" t="n">
        <f aca="false">Partners!Q6*(1-IF(AND(OR(oil_compact=0,$A6&lt;compact_year),OR($A6=1931,$A6=1932)),gulf_glut_gdp,0))</f>
        <v>0</v>
      </c>
      <c r="E6" s="50" t="n">
        <f aca="false">IF(AND(gulf_on=1,$A6&gt;=gulf_year),1,0)</f>
        <v>0</v>
      </c>
      <c r="F6" s="48" t="n">
        <v>0</v>
      </c>
      <c r="G6" s="48"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50" t="n">
        <f aca="false">IF($A6&lt;1900,0,IF(F6&lt;=G6,1,0))</f>
        <v>0</v>
      </c>
      <c r="V6" s="50" t="n">
        <f aca="false">IF($A6&lt;1900,0,IF(H6&gt;=I6,1,0))</f>
        <v>0</v>
      </c>
      <c r="W6" s="50" t="n">
        <f aca="false">IF($A6&lt;1900,0,IF(T6&gt;=K6,1,0))</f>
        <v>0</v>
      </c>
      <c r="X6" s="50" t="n">
        <f aca="false">IF($A6&lt;1900,0,IF(L6&lt;=M6,1,0))</f>
        <v>0</v>
      </c>
      <c r="Y6" s="50" t="n">
        <f aca="false">IF($A6&lt;1900,0,IF(N6&lt;=O6,1,0))</f>
        <v>0</v>
      </c>
      <c r="Z6" s="50" t="n">
        <f aca="false">IF($A6&lt;1900,0,IF(P6&lt;=Q6,1,0))</f>
        <v>0</v>
      </c>
      <c r="AA6" s="50" t="n">
        <f aca="false">IF($A6&lt;1900,0,IF(R6&gt;=S6,1,0))</f>
        <v>0</v>
      </c>
      <c r="AB6" s="50" t="n">
        <f aca="false">IF(SUM(U6:Y6)=5,1,0)</f>
        <v>0</v>
      </c>
      <c r="AC6" s="50" t="n">
        <f aca="false">IF(Z6+AA6=2,1,0)</f>
        <v>0</v>
      </c>
      <c r="AD6" s="50" t="n">
        <f aca="false">IF(AND(AB6=1,AC6=1),1,0)</f>
        <v>0</v>
      </c>
      <c r="AE6" s="50" t="n">
        <f aca="false">0</f>
        <v>0</v>
      </c>
      <c r="AF6" s="50" t="n">
        <f aca="false">0</f>
        <v>0</v>
      </c>
    </row>
    <row r="7" customFormat="false" ht="14.25" hidden="false" customHeight="false" outlineLevel="0" collapsed="false">
      <c r="A7" s="61" t="n">
        <v>1847</v>
      </c>
      <c r="B7" s="48" t="n">
        <v>0</v>
      </c>
      <c r="C7" s="71" t="n">
        <v>0</v>
      </c>
      <c r="D7" s="50" t="n">
        <f aca="false">Partners!Q7*(1-IF(AND(OR(oil_compact=0,$A7&lt;compact_year),OR($A7=1931,$A7=1932)),gulf_glut_gdp,0))</f>
        <v>0</v>
      </c>
      <c r="E7" s="50" t="n">
        <f aca="false">IF(AND(gulf_on=1,$A7&gt;=gulf_year),1,0)</f>
        <v>0</v>
      </c>
      <c r="F7" s="48" t="n">
        <v>0</v>
      </c>
      <c r="G7" s="48"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50" t="n">
        <f aca="false">IF($A7&lt;1900,0,IF(F7&lt;=G7,1,0))</f>
        <v>0</v>
      </c>
      <c r="V7" s="50" t="n">
        <f aca="false">IF($A7&lt;1900,0,IF(H7&gt;=I7,1,0))</f>
        <v>0</v>
      </c>
      <c r="W7" s="50" t="n">
        <f aca="false">IF($A7&lt;1900,0,IF(T7&gt;=K7,1,0))</f>
        <v>0</v>
      </c>
      <c r="X7" s="50" t="n">
        <f aca="false">IF($A7&lt;1900,0,IF(L7&lt;=M7,1,0))</f>
        <v>0</v>
      </c>
      <c r="Y7" s="50" t="n">
        <f aca="false">IF($A7&lt;1900,0,IF(N7&lt;=O7,1,0))</f>
        <v>0</v>
      </c>
      <c r="Z7" s="50" t="n">
        <f aca="false">IF($A7&lt;1900,0,IF(P7&lt;=Q7,1,0))</f>
        <v>0</v>
      </c>
      <c r="AA7" s="50" t="n">
        <f aca="false">IF($A7&lt;1900,0,IF(R7&gt;=S7,1,0))</f>
        <v>0</v>
      </c>
      <c r="AB7" s="50" t="n">
        <f aca="false">IF(SUM(U7:Y7)=5,1,0)</f>
        <v>0</v>
      </c>
      <c r="AC7" s="50" t="n">
        <f aca="false">IF(Z7+AA7=2,1,0)</f>
        <v>0</v>
      </c>
      <c r="AD7" s="50" t="n">
        <f aca="false">IF(AND(AB7=1,AC7=1),1,0)</f>
        <v>0</v>
      </c>
      <c r="AE7" s="50" t="n">
        <f aca="false">IF(AD7=1,AE6+1,0)</f>
        <v>0</v>
      </c>
      <c r="AF7" s="50" t="n">
        <f aca="false">IF(AE6&gt;=gulf_years_req,1,0)</f>
        <v>0</v>
      </c>
    </row>
    <row r="8" customFormat="false" ht="14.25" hidden="false" customHeight="false" outlineLevel="0" collapsed="false">
      <c r="A8" s="61" t="n">
        <v>1848</v>
      </c>
      <c r="B8" s="48" t="n">
        <v>0</v>
      </c>
      <c r="C8" s="71" t="n">
        <v>0</v>
      </c>
      <c r="D8" s="50" t="n">
        <f aca="false">Partners!Q8*(1-IF(AND(OR(oil_compact=0,$A8&lt;compact_year),OR($A8=1931,$A8=1932)),gulf_glut_gdp,0))</f>
        <v>0</v>
      </c>
      <c r="E8" s="50" t="n">
        <f aca="false">IF(AND(gulf_on=1,$A8&gt;=gulf_year),1,0)</f>
        <v>0</v>
      </c>
      <c r="F8" s="48" t="n">
        <v>0</v>
      </c>
      <c r="G8" s="48"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50" t="n">
        <f aca="false">IF($A8&lt;1900,0,IF(F8&lt;=G8,1,0))</f>
        <v>0</v>
      </c>
      <c r="V8" s="50" t="n">
        <f aca="false">IF($A8&lt;1900,0,IF(H8&gt;=I8,1,0))</f>
        <v>0</v>
      </c>
      <c r="W8" s="50" t="n">
        <f aca="false">IF($A8&lt;1900,0,IF(T8&gt;=K8,1,0))</f>
        <v>0</v>
      </c>
      <c r="X8" s="50" t="n">
        <f aca="false">IF($A8&lt;1900,0,IF(L8&lt;=M8,1,0))</f>
        <v>0</v>
      </c>
      <c r="Y8" s="50" t="n">
        <f aca="false">IF($A8&lt;1900,0,IF(N8&lt;=O8,1,0))</f>
        <v>0</v>
      </c>
      <c r="Z8" s="50" t="n">
        <f aca="false">IF($A8&lt;1900,0,IF(P8&lt;=Q8,1,0))</f>
        <v>0</v>
      </c>
      <c r="AA8" s="50" t="n">
        <f aca="false">IF($A8&lt;1900,0,IF(R8&gt;=S8,1,0))</f>
        <v>0</v>
      </c>
      <c r="AB8" s="50" t="n">
        <f aca="false">IF(SUM(U8:Y8)=5,1,0)</f>
        <v>0</v>
      </c>
      <c r="AC8" s="50" t="n">
        <f aca="false">IF(Z8+AA8=2,1,0)</f>
        <v>0</v>
      </c>
      <c r="AD8" s="50" t="n">
        <f aca="false">IF(AND(AB8=1,AC8=1),1,0)</f>
        <v>0</v>
      </c>
      <c r="AE8" s="50" t="n">
        <f aca="false">IF(AD8=1,AE7+1,0)</f>
        <v>0</v>
      </c>
      <c r="AF8" s="50" t="n">
        <f aca="false">IF(AE7&gt;=gulf_years_req,1,0)</f>
        <v>0</v>
      </c>
    </row>
    <row r="9" customFormat="false" ht="14.25" hidden="false" customHeight="false" outlineLevel="0" collapsed="false">
      <c r="A9" s="61" t="n">
        <v>1849</v>
      </c>
      <c r="B9" s="48" t="n">
        <v>0</v>
      </c>
      <c r="C9" s="71" t="n">
        <v>0</v>
      </c>
      <c r="D9" s="50" t="n">
        <f aca="false">Partners!Q9*(1-IF(AND(OR(oil_compact=0,$A9&lt;compact_year),OR($A9=1931,$A9=1932)),gulf_glut_gdp,0))</f>
        <v>0</v>
      </c>
      <c r="E9" s="50" t="n">
        <f aca="false">IF(AND(gulf_on=1,$A9&gt;=gulf_year),1,0)</f>
        <v>0</v>
      </c>
      <c r="F9" s="48" t="n">
        <v>0</v>
      </c>
      <c r="G9" s="48"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50" t="n">
        <f aca="false">IF($A9&lt;1900,0,IF(F9&lt;=G9,1,0))</f>
        <v>0</v>
      </c>
      <c r="V9" s="50" t="n">
        <f aca="false">IF($A9&lt;1900,0,IF(H9&gt;=I9,1,0))</f>
        <v>0</v>
      </c>
      <c r="W9" s="50" t="n">
        <f aca="false">IF($A9&lt;1900,0,IF(T9&gt;=K9,1,0))</f>
        <v>0</v>
      </c>
      <c r="X9" s="50" t="n">
        <f aca="false">IF($A9&lt;1900,0,IF(L9&lt;=M9,1,0))</f>
        <v>0</v>
      </c>
      <c r="Y9" s="50" t="n">
        <f aca="false">IF($A9&lt;1900,0,IF(N9&lt;=O9,1,0))</f>
        <v>0</v>
      </c>
      <c r="Z9" s="50" t="n">
        <f aca="false">IF($A9&lt;1900,0,IF(P9&lt;=Q9,1,0))</f>
        <v>0</v>
      </c>
      <c r="AA9" s="50" t="n">
        <f aca="false">IF($A9&lt;1900,0,IF(R9&gt;=S9,1,0))</f>
        <v>0</v>
      </c>
      <c r="AB9" s="50" t="n">
        <f aca="false">IF(SUM(U9:Y9)=5,1,0)</f>
        <v>0</v>
      </c>
      <c r="AC9" s="50" t="n">
        <f aca="false">IF(Z9+AA9=2,1,0)</f>
        <v>0</v>
      </c>
      <c r="AD9" s="50" t="n">
        <f aca="false">IF(AND(AB9=1,AC9=1),1,0)</f>
        <v>0</v>
      </c>
      <c r="AE9" s="50" t="n">
        <f aca="false">IF(AD9=1,AE8+1,0)</f>
        <v>0</v>
      </c>
      <c r="AF9" s="50" t="n">
        <f aca="false">IF(AE8&gt;=gulf_years_req,1,0)</f>
        <v>0</v>
      </c>
    </row>
    <row r="10" customFormat="false" ht="14.25" hidden="false" customHeight="false" outlineLevel="0" collapsed="false">
      <c r="A10" s="61" t="n">
        <v>1850</v>
      </c>
      <c r="B10" s="48" t="n">
        <v>0</v>
      </c>
      <c r="C10" s="71" t="n">
        <v>0</v>
      </c>
      <c r="D10" s="50" t="n">
        <f aca="false">Partners!Q10*(1-IF(AND(OR(oil_compact=0,$A10&lt;compact_year),OR($A10=1931,$A10=1932)),gulf_glut_gdp,0))</f>
        <v>0</v>
      </c>
      <c r="E10" s="50" t="n">
        <f aca="false">IF(AND(gulf_on=1,$A10&gt;=gulf_year),1,0)</f>
        <v>0</v>
      </c>
      <c r="F10" s="48" t="n">
        <v>0</v>
      </c>
      <c r="G10" s="48"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50" t="n">
        <f aca="false">IF($A10&lt;1900,0,IF(F10&lt;=G10,1,0))</f>
        <v>0</v>
      </c>
      <c r="V10" s="50" t="n">
        <f aca="false">IF($A10&lt;1900,0,IF(H10&gt;=I10,1,0))</f>
        <v>0</v>
      </c>
      <c r="W10" s="50" t="n">
        <f aca="false">IF($A10&lt;1900,0,IF(T10&gt;=K10,1,0))</f>
        <v>0</v>
      </c>
      <c r="X10" s="50" t="n">
        <f aca="false">IF($A10&lt;1900,0,IF(L10&lt;=M10,1,0))</f>
        <v>0</v>
      </c>
      <c r="Y10" s="50" t="n">
        <f aca="false">IF($A10&lt;1900,0,IF(N10&lt;=O10,1,0))</f>
        <v>0</v>
      </c>
      <c r="Z10" s="50" t="n">
        <f aca="false">IF($A10&lt;1900,0,IF(P10&lt;=Q10,1,0))</f>
        <v>0</v>
      </c>
      <c r="AA10" s="50" t="n">
        <f aca="false">IF($A10&lt;1900,0,IF(R10&gt;=S10,1,0))</f>
        <v>0</v>
      </c>
      <c r="AB10" s="50" t="n">
        <f aca="false">IF(SUM(U10:Y10)=5,1,0)</f>
        <v>0</v>
      </c>
      <c r="AC10" s="50" t="n">
        <f aca="false">IF(Z10+AA10=2,1,0)</f>
        <v>0</v>
      </c>
      <c r="AD10" s="50" t="n">
        <f aca="false">IF(AND(AB10=1,AC10=1),1,0)</f>
        <v>0</v>
      </c>
      <c r="AE10" s="50" t="n">
        <f aca="false">IF(AD10=1,AE9+1,0)</f>
        <v>0</v>
      </c>
      <c r="AF10" s="50" t="n">
        <f aca="false">IF(AE9&gt;=gulf_years_req,1,0)</f>
        <v>0</v>
      </c>
    </row>
    <row r="11" customFormat="false" ht="14.25" hidden="false" customHeight="false" outlineLevel="0" collapsed="false">
      <c r="A11" s="61" t="n">
        <v>1851</v>
      </c>
      <c r="B11" s="48" t="n">
        <v>0</v>
      </c>
      <c r="C11" s="71" t="n">
        <v>0</v>
      </c>
      <c r="D11" s="50" t="n">
        <f aca="false">Partners!Q11*(1-IF(AND(OR(oil_compact=0,$A11&lt;compact_year),OR($A11=1931,$A11=1932)),gulf_glut_gdp,0))</f>
        <v>0</v>
      </c>
      <c r="E11" s="50" t="n">
        <f aca="false">IF(AND(gulf_on=1,$A11&gt;=gulf_year),1,0)</f>
        <v>0</v>
      </c>
      <c r="F11" s="48" t="n">
        <v>0</v>
      </c>
      <c r="G11" s="48"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50" t="n">
        <f aca="false">IF($A11&lt;1900,0,IF(F11&lt;=G11,1,0))</f>
        <v>0</v>
      </c>
      <c r="V11" s="50" t="n">
        <f aca="false">IF($A11&lt;1900,0,IF(H11&gt;=I11,1,0))</f>
        <v>0</v>
      </c>
      <c r="W11" s="50" t="n">
        <f aca="false">IF($A11&lt;1900,0,IF(T11&gt;=K11,1,0))</f>
        <v>0</v>
      </c>
      <c r="X11" s="50" t="n">
        <f aca="false">IF($A11&lt;1900,0,IF(L11&lt;=M11,1,0))</f>
        <v>0</v>
      </c>
      <c r="Y11" s="50" t="n">
        <f aca="false">IF($A11&lt;1900,0,IF(N11&lt;=O11,1,0))</f>
        <v>0</v>
      </c>
      <c r="Z11" s="50" t="n">
        <f aca="false">IF($A11&lt;1900,0,IF(P11&lt;=Q11,1,0))</f>
        <v>0</v>
      </c>
      <c r="AA11" s="50" t="n">
        <f aca="false">IF($A11&lt;1900,0,IF(R11&gt;=S11,1,0))</f>
        <v>0</v>
      </c>
      <c r="AB11" s="50" t="n">
        <f aca="false">IF(SUM(U11:Y11)=5,1,0)</f>
        <v>0</v>
      </c>
      <c r="AC11" s="50" t="n">
        <f aca="false">IF(Z11+AA11=2,1,0)</f>
        <v>0</v>
      </c>
      <c r="AD11" s="50" t="n">
        <f aca="false">IF(AND(AB11=1,AC11=1),1,0)</f>
        <v>0</v>
      </c>
      <c r="AE11" s="50" t="n">
        <f aca="false">IF(AD11=1,AE10+1,0)</f>
        <v>0</v>
      </c>
      <c r="AF11" s="50" t="n">
        <f aca="false">IF(AE10&gt;=gulf_years_req,1,0)</f>
        <v>0</v>
      </c>
    </row>
    <row r="12" customFormat="false" ht="14.25" hidden="false" customHeight="false" outlineLevel="0" collapsed="false">
      <c r="A12" s="61" t="n">
        <v>1852</v>
      </c>
      <c r="B12" s="48" t="n">
        <v>0</v>
      </c>
      <c r="C12" s="71" t="n">
        <v>0</v>
      </c>
      <c r="D12" s="50" t="n">
        <f aca="false">Partners!Q12*(1-IF(AND(OR(oil_compact=0,$A12&lt;compact_year),OR($A12=1931,$A12=1932)),gulf_glut_gdp,0))</f>
        <v>0</v>
      </c>
      <c r="E12" s="50" t="n">
        <f aca="false">IF(AND(gulf_on=1,$A12&gt;=gulf_year),1,0)</f>
        <v>0</v>
      </c>
      <c r="F12" s="48" t="n">
        <v>0</v>
      </c>
      <c r="G12" s="48"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50" t="n">
        <f aca="false">IF($A12&lt;1900,0,IF(F12&lt;=G12,1,0))</f>
        <v>0</v>
      </c>
      <c r="V12" s="50" t="n">
        <f aca="false">IF($A12&lt;1900,0,IF(H12&gt;=I12,1,0))</f>
        <v>0</v>
      </c>
      <c r="W12" s="50" t="n">
        <f aca="false">IF($A12&lt;1900,0,IF(T12&gt;=K12,1,0))</f>
        <v>0</v>
      </c>
      <c r="X12" s="50" t="n">
        <f aca="false">IF($A12&lt;1900,0,IF(L12&lt;=M12,1,0))</f>
        <v>0</v>
      </c>
      <c r="Y12" s="50" t="n">
        <f aca="false">IF($A12&lt;1900,0,IF(N12&lt;=O12,1,0))</f>
        <v>0</v>
      </c>
      <c r="Z12" s="50" t="n">
        <f aca="false">IF($A12&lt;1900,0,IF(P12&lt;=Q12,1,0))</f>
        <v>0</v>
      </c>
      <c r="AA12" s="50" t="n">
        <f aca="false">IF($A12&lt;1900,0,IF(R12&gt;=S12,1,0))</f>
        <v>0</v>
      </c>
      <c r="AB12" s="50" t="n">
        <f aca="false">IF(SUM(U12:Y12)=5,1,0)</f>
        <v>0</v>
      </c>
      <c r="AC12" s="50" t="n">
        <f aca="false">IF(Z12+AA12=2,1,0)</f>
        <v>0</v>
      </c>
      <c r="AD12" s="50" t="n">
        <f aca="false">IF(AND(AB12=1,AC12=1),1,0)</f>
        <v>0</v>
      </c>
      <c r="AE12" s="50" t="n">
        <f aca="false">IF(AD12=1,AE11+1,0)</f>
        <v>0</v>
      </c>
      <c r="AF12" s="50" t="n">
        <f aca="false">IF(AE11&gt;=gulf_years_req,1,0)</f>
        <v>0</v>
      </c>
    </row>
    <row r="13" customFormat="false" ht="14.25" hidden="false" customHeight="false" outlineLevel="0" collapsed="false">
      <c r="A13" s="61" t="n">
        <v>1853</v>
      </c>
      <c r="B13" s="48" t="n">
        <v>0</v>
      </c>
      <c r="C13" s="71" t="n">
        <v>0</v>
      </c>
      <c r="D13" s="50" t="n">
        <f aca="false">Partners!Q13*(1-IF(AND(OR(oil_compact=0,$A13&lt;compact_year),OR($A13=1931,$A13=1932)),gulf_glut_gdp,0))</f>
        <v>0</v>
      </c>
      <c r="E13" s="50" t="n">
        <f aca="false">IF(AND(gulf_on=1,$A13&gt;=gulf_year),1,0)</f>
        <v>0</v>
      </c>
      <c r="F13" s="48" t="n">
        <v>0</v>
      </c>
      <c r="G13" s="48"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50" t="n">
        <f aca="false">IF($A13&lt;1900,0,IF(F13&lt;=G13,1,0))</f>
        <v>0</v>
      </c>
      <c r="V13" s="50" t="n">
        <f aca="false">IF($A13&lt;1900,0,IF(H13&gt;=I13,1,0))</f>
        <v>0</v>
      </c>
      <c r="W13" s="50" t="n">
        <f aca="false">IF($A13&lt;1900,0,IF(T13&gt;=K13,1,0))</f>
        <v>0</v>
      </c>
      <c r="X13" s="50" t="n">
        <f aca="false">IF($A13&lt;1900,0,IF(L13&lt;=M13,1,0))</f>
        <v>0</v>
      </c>
      <c r="Y13" s="50" t="n">
        <f aca="false">IF($A13&lt;1900,0,IF(N13&lt;=O13,1,0))</f>
        <v>0</v>
      </c>
      <c r="Z13" s="50" t="n">
        <f aca="false">IF($A13&lt;1900,0,IF(P13&lt;=Q13,1,0))</f>
        <v>0</v>
      </c>
      <c r="AA13" s="50" t="n">
        <f aca="false">IF($A13&lt;1900,0,IF(R13&gt;=S13,1,0))</f>
        <v>0</v>
      </c>
      <c r="AB13" s="50" t="n">
        <f aca="false">IF(SUM(U13:Y13)=5,1,0)</f>
        <v>0</v>
      </c>
      <c r="AC13" s="50" t="n">
        <f aca="false">IF(Z13+AA13=2,1,0)</f>
        <v>0</v>
      </c>
      <c r="AD13" s="50" t="n">
        <f aca="false">IF(AND(AB13=1,AC13=1),1,0)</f>
        <v>0</v>
      </c>
      <c r="AE13" s="50" t="n">
        <f aca="false">IF(AD13=1,AE12+1,0)</f>
        <v>0</v>
      </c>
      <c r="AF13" s="50" t="n">
        <f aca="false">IF(AE12&gt;=gulf_years_req,1,0)</f>
        <v>0</v>
      </c>
    </row>
    <row r="14" customFormat="false" ht="14.25" hidden="false" customHeight="false" outlineLevel="0" collapsed="false">
      <c r="A14" s="61" t="n">
        <v>1854</v>
      </c>
      <c r="B14" s="48" t="n">
        <v>0</v>
      </c>
      <c r="C14" s="71" t="n">
        <v>0</v>
      </c>
      <c r="D14" s="50" t="n">
        <f aca="false">Partners!Q14*(1-IF(AND(OR(oil_compact=0,$A14&lt;compact_year),OR($A14=1931,$A14=1932)),gulf_glut_gdp,0))</f>
        <v>0</v>
      </c>
      <c r="E14" s="50" t="n">
        <f aca="false">IF(AND(gulf_on=1,$A14&gt;=gulf_year),1,0)</f>
        <v>0</v>
      </c>
      <c r="F14" s="48" t="n">
        <v>0</v>
      </c>
      <c r="G14" s="48"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50" t="n">
        <f aca="false">IF($A14&lt;1900,0,IF(F14&lt;=G14,1,0))</f>
        <v>0</v>
      </c>
      <c r="V14" s="50" t="n">
        <f aca="false">IF($A14&lt;1900,0,IF(H14&gt;=I14,1,0))</f>
        <v>0</v>
      </c>
      <c r="W14" s="50" t="n">
        <f aca="false">IF($A14&lt;1900,0,IF(T14&gt;=K14,1,0))</f>
        <v>0</v>
      </c>
      <c r="X14" s="50" t="n">
        <f aca="false">IF($A14&lt;1900,0,IF(L14&lt;=M14,1,0))</f>
        <v>0</v>
      </c>
      <c r="Y14" s="50" t="n">
        <f aca="false">IF($A14&lt;1900,0,IF(N14&lt;=O14,1,0))</f>
        <v>0</v>
      </c>
      <c r="Z14" s="50" t="n">
        <f aca="false">IF($A14&lt;1900,0,IF(P14&lt;=Q14,1,0))</f>
        <v>0</v>
      </c>
      <c r="AA14" s="50" t="n">
        <f aca="false">IF($A14&lt;1900,0,IF(R14&gt;=S14,1,0))</f>
        <v>0</v>
      </c>
      <c r="AB14" s="50" t="n">
        <f aca="false">IF(SUM(U14:Y14)=5,1,0)</f>
        <v>0</v>
      </c>
      <c r="AC14" s="50" t="n">
        <f aca="false">IF(Z14+AA14=2,1,0)</f>
        <v>0</v>
      </c>
      <c r="AD14" s="50" t="n">
        <f aca="false">IF(AND(AB14=1,AC14=1),1,0)</f>
        <v>0</v>
      </c>
      <c r="AE14" s="50" t="n">
        <f aca="false">IF(AD14=1,AE13+1,0)</f>
        <v>0</v>
      </c>
      <c r="AF14" s="50" t="n">
        <f aca="false">IF(AE13&gt;=gulf_years_req,1,0)</f>
        <v>0</v>
      </c>
    </row>
    <row r="15" customFormat="false" ht="14.25" hidden="false" customHeight="false" outlineLevel="0" collapsed="false">
      <c r="A15" s="61" t="n">
        <v>1855</v>
      </c>
      <c r="B15" s="48" t="n">
        <v>0</v>
      </c>
      <c r="C15" s="71" t="n">
        <v>0</v>
      </c>
      <c r="D15" s="50" t="n">
        <f aca="false">Partners!Q15*(1-IF(AND(OR(oil_compact=0,$A15&lt;compact_year),OR($A15=1931,$A15=1932)),gulf_glut_gdp,0))</f>
        <v>0</v>
      </c>
      <c r="E15" s="50" t="n">
        <f aca="false">IF(AND(gulf_on=1,$A15&gt;=gulf_year),1,0)</f>
        <v>0</v>
      </c>
      <c r="F15" s="48" t="n">
        <v>0</v>
      </c>
      <c r="G15" s="48"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50" t="n">
        <f aca="false">IF($A15&lt;1900,0,IF(F15&lt;=G15,1,0))</f>
        <v>0</v>
      </c>
      <c r="V15" s="50" t="n">
        <f aca="false">IF($A15&lt;1900,0,IF(H15&gt;=I15,1,0))</f>
        <v>0</v>
      </c>
      <c r="W15" s="50" t="n">
        <f aca="false">IF($A15&lt;1900,0,IF(T15&gt;=K15,1,0))</f>
        <v>0</v>
      </c>
      <c r="X15" s="50" t="n">
        <f aca="false">IF($A15&lt;1900,0,IF(L15&lt;=M15,1,0))</f>
        <v>0</v>
      </c>
      <c r="Y15" s="50" t="n">
        <f aca="false">IF($A15&lt;1900,0,IF(N15&lt;=O15,1,0))</f>
        <v>0</v>
      </c>
      <c r="Z15" s="50" t="n">
        <f aca="false">IF($A15&lt;1900,0,IF(P15&lt;=Q15,1,0))</f>
        <v>0</v>
      </c>
      <c r="AA15" s="50" t="n">
        <f aca="false">IF($A15&lt;1900,0,IF(R15&gt;=S15,1,0))</f>
        <v>0</v>
      </c>
      <c r="AB15" s="50" t="n">
        <f aca="false">IF(SUM(U15:Y15)=5,1,0)</f>
        <v>0</v>
      </c>
      <c r="AC15" s="50" t="n">
        <f aca="false">IF(Z15+AA15=2,1,0)</f>
        <v>0</v>
      </c>
      <c r="AD15" s="50" t="n">
        <f aca="false">IF(AND(AB15=1,AC15=1),1,0)</f>
        <v>0</v>
      </c>
      <c r="AE15" s="50" t="n">
        <f aca="false">IF(AD15=1,AE14+1,0)</f>
        <v>0</v>
      </c>
      <c r="AF15" s="50" t="n">
        <f aca="false">IF(AE14&gt;=gulf_years_req,1,0)</f>
        <v>0</v>
      </c>
    </row>
    <row r="16" customFormat="false" ht="14.25" hidden="false" customHeight="false" outlineLevel="0" collapsed="false">
      <c r="A16" s="61" t="n">
        <v>1856</v>
      </c>
      <c r="B16" s="48" t="n">
        <v>0</v>
      </c>
      <c r="C16" s="71" t="n">
        <v>0</v>
      </c>
      <c r="D16" s="50" t="n">
        <f aca="false">Partners!Q16*(1-IF(AND(OR(oil_compact=0,$A16&lt;compact_year),OR($A16=1931,$A16=1932)),gulf_glut_gdp,0))</f>
        <v>0</v>
      </c>
      <c r="E16" s="50" t="n">
        <f aca="false">IF(AND(gulf_on=1,$A16&gt;=gulf_year),1,0)</f>
        <v>0</v>
      </c>
      <c r="F16" s="48" t="n">
        <v>0</v>
      </c>
      <c r="G16" s="48"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50" t="n">
        <f aca="false">IF($A16&lt;1900,0,IF(F16&lt;=G16,1,0))</f>
        <v>0</v>
      </c>
      <c r="V16" s="50" t="n">
        <f aca="false">IF($A16&lt;1900,0,IF(H16&gt;=I16,1,0))</f>
        <v>0</v>
      </c>
      <c r="W16" s="50" t="n">
        <f aca="false">IF($A16&lt;1900,0,IF(T16&gt;=K16,1,0))</f>
        <v>0</v>
      </c>
      <c r="X16" s="50" t="n">
        <f aca="false">IF($A16&lt;1900,0,IF(L16&lt;=M16,1,0))</f>
        <v>0</v>
      </c>
      <c r="Y16" s="50" t="n">
        <f aca="false">IF($A16&lt;1900,0,IF(N16&lt;=O16,1,0))</f>
        <v>0</v>
      </c>
      <c r="Z16" s="50" t="n">
        <f aca="false">IF($A16&lt;1900,0,IF(P16&lt;=Q16,1,0))</f>
        <v>0</v>
      </c>
      <c r="AA16" s="50" t="n">
        <f aca="false">IF($A16&lt;1900,0,IF(R16&gt;=S16,1,0))</f>
        <v>0</v>
      </c>
      <c r="AB16" s="50" t="n">
        <f aca="false">IF(SUM(U16:Y16)=5,1,0)</f>
        <v>0</v>
      </c>
      <c r="AC16" s="50" t="n">
        <f aca="false">IF(Z16+AA16=2,1,0)</f>
        <v>0</v>
      </c>
      <c r="AD16" s="50" t="n">
        <f aca="false">IF(AND(AB16=1,AC16=1),1,0)</f>
        <v>0</v>
      </c>
      <c r="AE16" s="50" t="n">
        <f aca="false">IF(AD16=1,AE15+1,0)</f>
        <v>0</v>
      </c>
      <c r="AF16" s="50" t="n">
        <f aca="false">IF(AE15&gt;=gulf_years_req,1,0)</f>
        <v>0</v>
      </c>
    </row>
    <row r="17" customFormat="false" ht="14.25" hidden="false" customHeight="false" outlineLevel="0" collapsed="false">
      <c r="A17" s="61" t="n">
        <v>1857</v>
      </c>
      <c r="B17" s="48" t="n">
        <v>0</v>
      </c>
      <c r="C17" s="71" t="n">
        <v>0</v>
      </c>
      <c r="D17" s="50" t="n">
        <f aca="false">Partners!Q17*(1-IF(AND(OR(oil_compact=0,$A17&lt;compact_year),OR($A17=1931,$A17=1932)),gulf_glut_gdp,0))</f>
        <v>0</v>
      </c>
      <c r="E17" s="50" t="n">
        <f aca="false">IF(AND(gulf_on=1,$A17&gt;=gulf_year),1,0)</f>
        <v>0</v>
      </c>
      <c r="F17" s="48" t="n">
        <v>0</v>
      </c>
      <c r="G17" s="48"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50" t="n">
        <f aca="false">IF($A17&lt;1900,0,IF(F17&lt;=G17,1,0))</f>
        <v>0</v>
      </c>
      <c r="V17" s="50" t="n">
        <f aca="false">IF($A17&lt;1900,0,IF(H17&gt;=I17,1,0))</f>
        <v>0</v>
      </c>
      <c r="W17" s="50" t="n">
        <f aca="false">IF($A17&lt;1900,0,IF(T17&gt;=K17,1,0))</f>
        <v>0</v>
      </c>
      <c r="X17" s="50" t="n">
        <f aca="false">IF($A17&lt;1900,0,IF(L17&lt;=M17,1,0))</f>
        <v>0</v>
      </c>
      <c r="Y17" s="50" t="n">
        <f aca="false">IF($A17&lt;1900,0,IF(N17&lt;=O17,1,0))</f>
        <v>0</v>
      </c>
      <c r="Z17" s="50" t="n">
        <f aca="false">IF($A17&lt;1900,0,IF(P17&lt;=Q17,1,0))</f>
        <v>0</v>
      </c>
      <c r="AA17" s="50" t="n">
        <f aca="false">IF($A17&lt;1900,0,IF(R17&gt;=S17,1,0))</f>
        <v>0</v>
      </c>
      <c r="AB17" s="50" t="n">
        <f aca="false">IF(SUM(U17:Y17)=5,1,0)</f>
        <v>0</v>
      </c>
      <c r="AC17" s="50" t="n">
        <f aca="false">IF(Z17+AA17=2,1,0)</f>
        <v>0</v>
      </c>
      <c r="AD17" s="50" t="n">
        <f aca="false">IF(AND(AB17=1,AC17=1),1,0)</f>
        <v>0</v>
      </c>
      <c r="AE17" s="50" t="n">
        <f aca="false">IF(AD17=1,AE16+1,0)</f>
        <v>0</v>
      </c>
      <c r="AF17" s="50" t="n">
        <f aca="false">IF(AE16&gt;=gulf_years_req,1,0)</f>
        <v>0</v>
      </c>
    </row>
    <row r="18" customFormat="false" ht="14.25" hidden="false" customHeight="false" outlineLevel="0" collapsed="false">
      <c r="A18" s="61" t="n">
        <v>1858</v>
      </c>
      <c r="B18" s="48" t="n">
        <v>0</v>
      </c>
      <c r="C18" s="71" t="n">
        <v>0</v>
      </c>
      <c r="D18" s="50" t="n">
        <f aca="false">Partners!Q18*(1-IF(AND(OR(oil_compact=0,$A18&lt;compact_year),OR($A18=1931,$A18=1932)),gulf_glut_gdp,0))</f>
        <v>0</v>
      </c>
      <c r="E18" s="50" t="n">
        <f aca="false">IF(AND(gulf_on=1,$A18&gt;=gulf_year),1,0)</f>
        <v>0</v>
      </c>
      <c r="F18" s="48" t="n">
        <v>0</v>
      </c>
      <c r="G18" s="48"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50" t="n">
        <f aca="false">IF($A18&lt;1900,0,IF(F18&lt;=G18,1,0))</f>
        <v>0</v>
      </c>
      <c r="V18" s="50" t="n">
        <f aca="false">IF($A18&lt;1900,0,IF(H18&gt;=I18,1,0))</f>
        <v>0</v>
      </c>
      <c r="W18" s="50" t="n">
        <f aca="false">IF($A18&lt;1900,0,IF(T18&gt;=K18,1,0))</f>
        <v>0</v>
      </c>
      <c r="X18" s="50" t="n">
        <f aca="false">IF($A18&lt;1900,0,IF(L18&lt;=M18,1,0))</f>
        <v>0</v>
      </c>
      <c r="Y18" s="50" t="n">
        <f aca="false">IF($A18&lt;1900,0,IF(N18&lt;=O18,1,0))</f>
        <v>0</v>
      </c>
      <c r="Z18" s="50" t="n">
        <f aca="false">IF($A18&lt;1900,0,IF(P18&lt;=Q18,1,0))</f>
        <v>0</v>
      </c>
      <c r="AA18" s="50" t="n">
        <f aca="false">IF($A18&lt;1900,0,IF(R18&gt;=S18,1,0))</f>
        <v>0</v>
      </c>
      <c r="AB18" s="50" t="n">
        <f aca="false">IF(SUM(U18:Y18)=5,1,0)</f>
        <v>0</v>
      </c>
      <c r="AC18" s="50" t="n">
        <f aca="false">IF(Z18+AA18=2,1,0)</f>
        <v>0</v>
      </c>
      <c r="AD18" s="50" t="n">
        <f aca="false">IF(AND(AB18=1,AC18=1),1,0)</f>
        <v>0</v>
      </c>
      <c r="AE18" s="50" t="n">
        <f aca="false">IF(AD18=1,AE17+1,0)</f>
        <v>0</v>
      </c>
      <c r="AF18" s="50" t="n">
        <f aca="false">IF(AE17&gt;=gulf_years_req,1,0)</f>
        <v>0</v>
      </c>
    </row>
    <row r="19" customFormat="false" ht="14.25" hidden="false" customHeight="false" outlineLevel="0" collapsed="false">
      <c r="A19" s="61" t="n">
        <v>1859</v>
      </c>
      <c r="B19" s="48" t="n">
        <v>0</v>
      </c>
      <c r="C19" s="71" t="n">
        <v>0</v>
      </c>
      <c r="D19" s="50" t="n">
        <f aca="false">Partners!Q19*(1-IF(AND(OR(oil_compact=0,$A19&lt;compact_year),OR($A19=1931,$A19=1932)),gulf_glut_gdp,0))</f>
        <v>0</v>
      </c>
      <c r="E19" s="50" t="n">
        <f aca="false">IF(AND(gulf_on=1,$A19&gt;=gulf_year),1,0)</f>
        <v>0</v>
      </c>
      <c r="F19" s="48" t="n">
        <v>0</v>
      </c>
      <c r="G19" s="48"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50" t="n">
        <f aca="false">IF($A19&lt;1900,0,IF(F19&lt;=G19,1,0))</f>
        <v>0</v>
      </c>
      <c r="V19" s="50" t="n">
        <f aca="false">IF($A19&lt;1900,0,IF(H19&gt;=I19,1,0))</f>
        <v>0</v>
      </c>
      <c r="W19" s="50" t="n">
        <f aca="false">IF($A19&lt;1900,0,IF(T19&gt;=K19,1,0))</f>
        <v>0</v>
      </c>
      <c r="X19" s="50" t="n">
        <f aca="false">IF($A19&lt;1900,0,IF(L19&lt;=M19,1,0))</f>
        <v>0</v>
      </c>
      <c r="Y19" s="50" t="n">
        <f aca="false">IF($A19&lt;1900,0,IF(N19&lt;=O19,1,0))</f>
        <v>0</v>
      </c>
      <c r="Z19" s="50" t="n">
        <f aca="false">IF($A19&lt;1900,0,IF(P19&lt;=Q19,1,0))</f>
        <v>0</v>
      </c>
      <c r="AA19" s="50" t="n">
        <f aca="false">IF($A19&lt;1900,0,IF(R19&gt;=S19,1,0))</f>
        <v>0</v>
      </c>
      <c r="AB19" s="50" t="n">
        <f aca="false">IF(SUM(U19:Y19)=5,1,0)</f>
        <v>0</v>
      </c>
      <c r="AC19" s="50" t="n">
        <f aca="false">IF(Z19+AA19=2,1,0)</f>
        <v>0</v>
      </c>
      <c r="AD19" s="50" t="n">
        <f aca="false">IF(AND(AB19=1,AC19=1),1,0)</f>
        <v>0</v>
      </c>
      <c r="AE19" s="50" t="n">
        <f aca="false">IF(AD19=1,AE18+1,0)</f>
        <v>0</v>
      </c>
      <c r="AF19" s="50" t="n">
        <f aca="false">IF(AE18&gt;=gulf_years_req,1,0)</f>
        <v>0</v>
      </c>
    </row>
    <row r="20" customFormat="false" ht="14.25" hidden="false" customHeight="false" outlineLevel="0" collapsed="false">
      <c r="A20" s="61" t="n">
        <v>1860</v>
      </c>
      <c r="B20" s="48" t="n">
        <v>0</v>
      </c>
      <c r="C20" s="71" t="n">
        <v>0</v>
      </c>
      <c r="D20" s="50" t="n">
        <f aca="false">Partners!Q20*(1-IF(AND(OR(oil_compact=0,$A20&lt;compact_year),OR($A20=1931,$A20=1932)),gulf_glut_gdp,0))</f>
        <v>0</v>
      </c>
      <c r="E20" s="50" t="n">
        <f aca="false">IF(AND(gulf_on=1,$A20&gt;=gulf_year),1,0)</f>
        <v>0</v>
      </c>
      <c r="F20" s="48" t="n">
        <v>0</v>
      </c>
      <c r="G20" s="48"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50" t="n">
        <f aca="false">IF($A20&lt;1900,0,IF(F20&lt;=G20,1,0))</f>
        <v>0</v>
      </c>
      <c r="V20" s="50" t="n">
        <f aca="false">IF($A20&lt;1900,0,IF(H20&gt;=I20,1,0))</f>
        <v>0</v>
      </c>
      <c r="W20" s="50" t="n">
        <f aca="false">IF($A20&lt;1900,0,IF(T20&gt;=K20,1,0))</f>
        <v>0</v>
      </c>
      <c r="X20" s="50" t="n">
        <f aca="false">IF($A20&lt;1900,0,IF(L20&lt;=M20,1,0))</f>
        <v>0</v>
      </c>
      <c r="Y20" s="50" t="n">
        <f aca="false">IF($A20&lt;1900,0,IF(N20&lt;=O20,1,0))</f>
        <v>0</v>
      </c>
      <c r="Z20" s="50" t="n">
        <f aca="false">IF($A20&lt;1900,0,IF(P20&lt;=Q20,1,0))</f>
        <v>0</v>
      </c>
      <c r="AA20" s="50" t="n">
        <f aca="false">IF($A20&lt;1900,0,IF(R20&gt;=S20,1,0))</f>
        <v>0</v>
      </c>
      <c r="AB20" s="50" t="n">
        <f aca="false">IF(SUM(U20:Y20)=5,1,0)</f>
        <v>0</v>
      </c>
      <c r="AC20" s="50" t="n">
        <f aca="false">IF(Z20+AA20=2,1,0)</f>
        <v>0</v>
      </c>
      <c r="AD20" s="50" t="n">
        <f aca="false">IF(AND(AB20=1,AC20=1),1,0)</f>
        <v>0</v>
      </c>
      <c r="AE20" s="50" t="n">
        <f aca="false">IF(AD20=1,AE19+1,0)</f>
        <v>0</v>
      </c>
      <c r="AF20" s="50" t="n">
        <f aca="false">IF(AE19&gt;=gulf_years_req,1,0)</f>
        <v>0</v>
      </c>
    </row>
    <row r="21" customFormat="false" ht="14.25" hidden="false" customHeight="false" outlineLevel="0" collapsed="false">
      <c r="A21" s="64" t="n">
        <v>1861</v>
      </c>
      <c r="B21" s="48" t="n">
        <v>0</v>
      </c>
      <c r="C21" s="71" t="n">
        <v>0</v>
      </c>
      <c r="D21" s="50" t="n">
        <f aca="false">Partners!Q21*(1-IF(AND(OR(oil_compact=0,$A21&lt;compact_year),OR($A21=1931,$A21=1932)),gulf_glut_gdp,0))</f>
        <v>0</v>
      </c>
      <c r="E21" s="50" t="n">
        <f aca="false">IF(AND(gulf_on=1,$A21&gt;=gulf_year),1,0)</f>
        <v>0</v>
      </c>
      <c r="F21" s="48" t="n">
        <v>0</v>
      </c>
      <c r="G21" s="48"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50" t="n">
        <f aca="false">IF($A21&lt;1900,0,IF(F21&lt;=G21,1,0))</f>
        <v>0</v>
      </c>
      <c r="V21" s="50" t="n">
        <f aca="false">IF($A21&lt;1900,0,IF(H21&gt;=I21,1,0))</f>
        <v>0</v>
      </c>
      <c r="W21" s="50" t="n">
        <f aca="false">IF($A21&lt;1900,0,IF(T21&gt;=K21,1,0))</f>
        <v>0</v>
      </c>
      <c r="X21" s="50" t="n">
        <f aca="false">IF($A21&lt;1900,0,IF(L21&lt;=M21,1,0))</f>
        <v>0</v>
      </c>
      <c r="Y21" s="50" t="n">
        <f aca="false">IF($A21&lt;1900,0,IF(N21&lt;=O21,1,0))</f>
        <v>0</v>
      </c>
      <c r="Z21" s="50" t="n">
        <f aca="false">IF($A21&lt;1900,0,IF(P21&lt;=Q21,1,0))</f>
        <v>0</v>
      </c>
      <c r="AA21" s="50" t="n">
        <f aca="false">IF($A21&lt;1900,0,IF(R21&gt;=S21,1,0))</f>
        <v>0</v>
      </c>
      <c r="AB21" s="50" t="n">
        <f aca="false">IF(SUM(U21:Y21)=5,1,0)</f>
        <v>0</v>
      </c>
      <c r="AC21" s="50" t="n">
        <f aca="false">IF(Z21+AA21=2,1,0)</f>
        <v>0</v>
      </c>
      <c r="AD21" s="50" t="n">
        <f aca="false">IF(AND(AB21=1,AC21=1),1,0)</f>
        <v>0</v>
      </c>
      <c r="AE21" s="50" t="n">
        <f aca="false">IF(AD21=1,AE20+1,0)</f>
        <v>0</v>
      </c>
      <c r="AF21" s="50" t="n">
        <f aca="false">IF(AE20&gt;=gulf_years_req,1,0)</f>
        <v>0</v>
      </c>
    </row>
    <row r="22" customFormat="false" ht="14.25" hidden="false" customHeight="false" outlineLevel="0" collapsed="false">
      <c r="A22" s="64" t="n">
        <v>1862</v>
      </c>
      <c r="B22" s="48" t="n">
        <v>0</v>
      </c>
      <c r="C22" s="71" t="n">
        <v>0</v>
      </c>
      <c r="D22" s="50" t="n">
        <f aca="false">Partners!Q22*(1-IF(AND(OR(oil_compact=0,$A22&lt;compact_year),OR($A22=1931,$A22=1932)),gulf_glut_gdp,0))</f>
        <v>0</v>
      </c>
      <c r="E22" s="50" t="n">
        <f aca="false">IF(AND(gulf_on=1,$A22&gt;=gulf_year),1,0)</f>
        <v>0</v>
      </c>
      <c r="F22" s="48" t="n">
        <v>0</v>
      </c>
      <c r="G22" s="48"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50" t="n">
        <f aca="false">IF($A22&lt;1900,0,IF(F22&lt;=G22,1,0))</f>
        <v>0</v>
      </c>
      <c r="V22" s="50" t="n">
        <f aca="false">IF($A22&lt;1900,0,IF(H22&gt;=I22,1,0))</f>
        <v>0</v>
      </c>
      <c r="W22" s="50" t="n">
        <f aca="false">IF($A22&lt;1900,0,IF(T22&gt;=K22,1,0))</f>
        <v>0</v>
      </c>
      <c r="X22" s="50" t="n">
        <f aca="false">IF($A22&lt;1900,0,IF(L22&lt;=M22,1,0))</f>
        <v>0</v>
      </c>
      <c r="Y22" s="50" t="n">
        <f aca="false">IF($A22&lt;1900,0,IF(N22&lt;=O22,1,0))</f>
        <v>0</v>
      </c>
      <c r="Z22" s="50" t="n">
        <f aca="false">IF($A22&lt;1900,0,IF(P22&lt;=Q22,1,0))</f>
        <v>0</v>
      </c>
      <c r="AA22" s="50" t="n">
        <f aca="false">IF($A22&lt;1900,0,IF(R22&gt;=S22,1,0))</f>
        <v>0</v>
      </c>
      <c r="AB22" s="50" t="n">
        <f aca="false">IF(SUM(U22:Y22)=5,1,0)</f>
        <v>0</v>
      </c>
      <c r="AC22" s="50" t="n">
        <f aca="false">IF(Z22+AA22=2,1,0)</f>
        <v>0</v>
      </c>
      <c r="AD22" s="50" t="n">
        <f aca="false">IF(AND(AB22=1,AC22=1),1,0)</f>
        <v>0</v>
      </c>
      <c r="AE22" s="50" t="n">
        <f aca="false">IF(AD22=1,AE21+1,0)</f>
        <v>0</v>
      </c>
      <c r="AF22" s="50" t="n">
        <f aca="false">IF(AE21&gt;=gulf_years_req,1,0)</f>
        <v>0</v>
      </c>
    </row>
    <row r="23" customFormat="false" ht="14.25" hidden="false" customHeight="false" outlineLevel="0" collapsed="false">
      <c r="A23" s="64" t="n">
        <v>1863</v>
      </c>
      <c r="B23" s="48" t="n">
        <v>0</v>
      </c>
      <c r="C23" s="71" t="n">
        <v>0</v>
      </c>
      <c r="D23" s="50" t="n">
        <f aca="false">Partners!Q23*(1-IF(AND(OR(oil_compact=0,$A23&lt;compact_year),OR($A23=1931,$A23=1932)),gulf_glut_gdp,0))</f>
        <v>0</v>
      </c>
      <c r="E23" s="50" t="n">
        <f aca="false">IF(AND(gulf_on=1,$A23&gt;=gulf_year),1,0)</f>
        <v>0</v>
      </c>
      <c r="F23" s="48" t="n">
        <v>0</v>
      </c>
      <c r="G23" s="48"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50" t="n">
        <f aca="false">IF($A23&lt;1900,0,IF(F23&lt;=G23,1,0))</f>
        <v>0</v>
      </c>
      <c r="V23" s="50" t="n">
        <f aca="false">IF($A23&lt;1900,0,IF(H23&gt;=I23,1,0))</f>
        <v>0</v>
      </c>
      <c r="W23" s="50" t="n">
        <f aca="false">IF($A23&lt;1900,0,IF(T23&gt;=K23,1,0))</f>
        <v>0</v>
      </c>
      <c r="X23" s="50" t="n">
        <f aca="false">IF($A23&lt;1900,0,IF(L23&lt;=M23,1,0))</f>
        <v>0</v>
      </c>
      <c r="Y23" s="50" t="n">
        <f aca="false">IF($A23&lt;1900,0,IF(N23&lt;=O23,1,0))</f>
        <v>0</v>
      </c>
      <c r="Z23" s="50" t="n">
        <f aca="false">IF($A23&lt;1900,0,IF(P23&lt;=Q23,1,0))</f>
        <v>0</v>
      </c>
      <c r="AA23" s="50" t="n">
        <f aca="false">IF($A23&lt;1900,0,IF(R23&gt;=S23,1,0))</f>
        <v>0</v>
      </c>
      <c r="AB23" s="50" t="n">
        <f aca="false">IF(SUM(U23:Y23)=5,1,0)</f>
        <v>0</v>
      </c>
      <c r="AC23" s="50" t="n">
        <f aca="false">IF(Z23+AA23=2,1,0)</f>
        <v>0</v>
      </c>
      <c r="AD23" s="50" t="n">
        <f aca="false">IF(AND(AB23=1,AC23=1),1,0)</f>
        <v>0</v>
      </c>
      <c r="AE23" s="50" t="n">
        <f aca="false">IF(AD23=1,AE22+1,0)</f>
        <v>0</v>
      </c>
      <c r="AF23" s="50" t="n">
        <f aca="false">IF(AE22&gt;=gulf_years_req,1,0)</f>
        <v>0</v>
      </c>
    </row>
    <row r="24" customFormat="false" ht="14.25" hidden="false" customHeight="false" outlineLevel="0" collapsed="false">
      <c r="A24" s="64" t="n">
        <v>1864</v>
      </c>
      <c r="B24" s="48" t="n">
        <v>0</v>
      </c>
      <c r="C24" s="71" t="n">
        <v>0</v>
      </c>
      <c r="D24" s="50" t="n">
        <f aca="false">Partners!Q24*(1-IF(AND(OR(oil_compact=0,$A24&lt;compact_year),OR($A24=1931,$A24=1932)),gulf_glut_gdp,0))</f>
        <v>0</v>
      </c>
      <c r="E24" s="50" t="n">
        <f aca="false">IF(AND(gulf_on=1,$A24&gt;=gulf_year),1,0)</f>
        <v>0</v>
      </c>
      <c r="F24" s="48" t="n">
        <v>0</v>
      </c>
      <c r="G24" s="48"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50" t="n">
        <f aca="false">IF($A24&lt;1900,0,IF(F24&lt;=G24,1,0))</f>
        <v>0</v>
      </c>
      <c r="V24" s="50" t="n">
        <f aca="false">IF($A24&lt;1900,0,IF(H24&gt;=I24,1,0))</f>
        <v>0</v>
      </c>
      <c r="W24" s="50" t="n">
        <f aca="false">IF($A24&lt;1900,0,IF(T24&gt;=K24,1,0))</f>
        <v>0</v>
      </c>
      <c r="X24" s="50" t="n">
        <f aca="false">IF($A24&lt;1900,0,IF(L24&lt;=M24,1,0))</f>
        <v>0</v>
      </c>
      <c r="Y24" s="50" t="n">
        <f aca="false">IF($A24&lt;1900,0,IF(N24&lt;=O24,1,0))</f>
        <v>0</v>
      </c>
      <c r="Z24" s="50" t="n">
        <f aca="false">IF($A24&lt;1900,0,IF(P24&lt;=Q24,1,0))</f>
        <v>0</v>
      </c>
      <c r="AA24" s="50" t="n">
        <f aca="false">IF($A24&lt;1900,0,IF(R24&gt;=S24,1,0))</f>
        <v>0</v>
      </c>
      <c r="AB24" s="50" t="n">
        <f aca="false">IF(SUM(U24:Y24)=5,1,0)</f>
        <v>0</v>
      </c>
      <c r="AC24" s="50" t="n">
        <f aca="false">IF(Z24+AA24=2,1,0)</f>
        <v>0</v>
      </c>
      <c r="AD24" s="50" t="n">
        <f aca="false">IF(AND(AB24=1,AC24=1),1,0)</f>
        <v>0</v>
      </c>
      <c r="AE24" s="50" t="n">
        <f aca="false">IF(AD24=1,AE23+1,0)</f>
        <v>0</v>
      </c>
      <c r="AF24" s="50" t="n">
        <f aca="false">IF(AE23&gt;=gulf_years_req,1,0)</f>
        <v>0</v>
      </c>
    </row>
    <row r="25" customFormat="false" ht="14.25" hidden="false" customHeight="false" outlineLevel="0" collapsed="false">
      <c r="A25" s="64" t="n">
        <v>1865</v>
      </c>
      <c r="B25" s="48" t="n">
        <v>0</v>
      </c>
      <c r="C25" s="71" t="n">
        <v>0</v>
      </c>
      <c r="D25" s="50" t="n">
        <f aca="false">Partners!Q25*(1-IF(AND(OR(oil_compact=0,$A25&lt;compact_year),OR($A25=1931,$A25=1932)),gulf_glut_gdp,0))</f>
        <v>0</v>
      </c>
      <c r="E25" s="50" t="n">
        <f aca="false">IF(AND(gulf_on=1,$A25&gt;=gulf_year),1,0)</f>
        <v>0</v>
      </c>
      <c r="F25" s="48" t="n">
        <v>0</v>
      </c>
      <c r="G25" s="48"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50" t="n">
        <f aca="false">IF($A25&lt;1900,0,IF(F25&lt;=G25,1,0))</f>
        <v>0</v>
      </c>
      <c r="V25" s="50" t="n">
        <f aca="false">IF($A25&lt;1900,0,IF(H25&gt;=I25,1,0))</f>
        <v>0</v>
      </c>
      <c r="W25" s="50" t="n">
        <f aca="false">IF($A25&lt;1900,0,IF(T25&gt;=K25,1,0))</f>
        <v>0</v>
      </c>
      <c r="X25" s="50" t="n">
        <f aca="false">IF($A25&lt;1900,0,IF(L25&lt;=M25,1,0))</f>
        <v>0</v>
      </c>
      <c r="Y25" s="50" t="n">
        <f aca="false">IF($A25&lt;1900,0,IF(N25&lt;=O25,1,0))</f>
        <v>0</v>
      </c>
      <c r="Z25" s="50" t="n">
        <f aca="false">IF($A25&lt;1900,0,IF(P25&lt;=Q25,1,0))</f>
        <v>0</v>
      </c>
      <c r="AA25" s="50" t="n">
        <f aca="false">IF($A25&lt;1900,0,IF(R25&gt;=S25,1,0))</f>
        <v>0</v>
      </c>
      <c r="AB25" s="50" t="n">
        <f aca="false">IF(SUM(U25:Y25)=5,1,0)</f>
        <v>0</v>
      </c>
      <c r="AC25" s="50" t="n">
        <f aca="false">IF(Z25+AA25=2,1,0)</f>
        <v>0</v>
      </c>
      <c r="AD25" s="50" t="n">
        <f aca="false">IF(AND(AB25=1,AC25=1),1,0)</f>
        <v>0</v>
      </c>
      <c r="AE25" s="50" t="n">
        <f aca="false">IF(AD25=1,AE24+1,0)</f>
        <v>0</v>
      </c>
      <c r="AF25" s="50" t="n">
        <f aca="false">IF(AE24&gt;=gulf_years_req,1,0)</f>
        <v>0</v>
      </c>
    </row>
    <row r="26" customFormat="false" ht="14.25" hidden="false" customHeight="false" outlineLevel="0" collapsed="false">
      <c r="A26" s="61" t="n">
        <v>1866</v>
      </c>
      <c r="B26" s="48" t="n">
        <v>0</v>
      </c>
      <c r="C26" s="71" t="n">
        <v>0</v>
      </c>
      <c r="D26" s="50" t="n">
        <f aca="false">Partners!Q26*(1-IF(AND(OR(oil_compact=0,$A26&lt;compact_year),OR($A26=1931,$A26=1932)),gulf_glut_gdp,0))</f>
        <v>0</v>
      </c>
      <c r="E26" s="50" t="n">
        <f aca="false">IF(AND(gulf_on=1,$A26&gt;=gulf_year),1,0)</f>
        <v>0</v>
      </c>
      <c r="F26" s="48" t="n">
        <v>0</v>
      </c>
      <c r="G26" s="48"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50" t="n">
        <f aca="false">IF($A26&lt;1900,0,IF(F26&lt;=G26,1,0))</f>
        <v>0</v>
      </c>
      <c r="V26" s="50" t="n">
        <f aca="false">IF($A26&lt;1900,0,IF(H26&gt;=I26,1,0))</f>
        <v>0</v>
      </c>
      <c r="W26" s="50" t="n">
        <f aca="false">IF($A26&lt;1900,0,IF(T26&gt;=K26,1,0))</f>
        <v>0</v>
      </c>
      <c r="X26" s="50" t="n">
        <f aca="false">IF($A26&lt;1900,0,IF(L26&lt;=M26,1,0))</f>
        <v>0</v>
      </c>
      <c r="Y26" s="50" t="n">
        <f aca="false">IF($A26&lt;1900,0,IF(N26&lt;=O26,1,0))</f>
        <v>0</v>
      </c>
      <c r="Z26" s="50" t="n">
        <f aca="false">IF($A26&lt;1900,0,IF(P26&lt;=Q26,1,0))</f>
        <v>0</v>
      </c>
      <c r="AA26" s="50" t="n">
        <f aca="false">IF($A26&lt;1900,0,IF(R26&gt;=S26,1,0))</f>
        <v>0</v>
      </c>
      <c r="AB26" s="50" t="n">
        <f aca="false">IF(SUM(U26:Y26)=5,1,0)</f>
        <v>0</v>
      </c>
      <c r="AC26" s="50" t="n">
        <f aca="false">IF(Z26+AA26=2,1,0)</f>
        <v>0</v>
      </c>
      <c r="AD26" s="50" t="n">
        <f aca="false">IF(AND(AB26=1,AC26=1),1,0)</f>
        <v>0</v>
      </c>
      <c r="AE26" s="50" t="n">
        <f aca="false">IF(AD26=1,AE25+1,0)</f>
        <v>0</v>
      </c>
      <c r="AF26" s="50" t="n">
        <f aca="false">IF(AE25&gt;=gulf_years_req,1,0)</f>
        <v>0</v>
      </c>
    </row>
    <row r="27" customFormat="false" ht="14.25" hidden="false" customHeight="false" outlineLevel="0" collapsed="false">
      <c r="A27" s="61" t="n">
        <v>1867</v>
      </c>
      <c r="B27" s="48" t="n">
        <v>0</v>
      </c>
      <c r="C27" s="71" t="n">
        <v>0</v>
      </c>
      <c r="D27" s="50" t="n">
        <f aca="false">Partners!Q27*(1-IF(AND(OR(oil_compact=0,$A27&lt;compact_year),OR($A27=1931,$A27=1932)),gulf_glut_gdp,0))</f>
        <v>0</v>
      </c>
      <c r="E27" s="50" t="n">
        <f aca="false">IF(AND(gulf_on=1,$A27&gt;=gulf_year),1,0)</f>
        <v>0</v>
      </c>
      <c r="F27" s="48" t="n">
        <v>0</v>
      </c>
      <c r="G27" s="48"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50" t="n">
        <f aca="false">IF($A27&lt;1900,0,IF(F27&lt;=G27,1,0))</f>
        <v>0</v>
      </c>
      <c r="V27" s="50" t="n">
        <f aca="false">IF($A27&lt;1900,0,IF(H27&gt;=I27,1,0))</f>
        <v>0</v>
      </c>
      <c r="W27" s="50" t="n">
        <f aca="false">IF($A27&lt;1900,0,IF(T27&gt;=K27,1,0))</f>
        <v>0</v>
      </c>
      <c r="X27" s="50" t="n">
        <f aca="false">IF($A27&lt;1900,0,IF(L27&lt;=M27,1,0))</f>
        <v>0</v>
      </c>
      <c r="Y27" s="50" t="n">
        <f aca="false">IF($A27&lt;1900,0,IF(N27&lt;=O27,1,0))</f>
        <v>0</v>
      </c>
      <c r="Z27" s="50" t="n">
        <f aca="false">IF($A27&lt;1900,0,IF(P27&lt;=Q27,1,0))</f>
        <v>0</v>
      </c>
      <c r="AA27" s="50" t="n">
        <f aca="false">IF($A27&lt;1900,0,IF(R27&gt;=S27,1,0))</f>
        <v>0</v>
      </c>
      <c r="AB27" s="50" t="n">
        <f aca="false">IF(SUM(U27:Y27)=5,1,0)</f>
        <v>0</v>
      </c>
      <c r="AC27" s="50" t="n">
        <f aca="false">IF(Z27+AA27=2,1,0)</f>
        <v>0</v>
      </c>
      <c r="AD27" s="50" t="n">
        <f aca="false">IF(AND(AB27=1,AC27=1),1,0)</f>
        <v>0</v>
      </c>
      <c r="AE27" s="50" t="n">
        <f aca="false">IF(AD27=1,AE26+1,0)</f>
        <v>0</v>
      </c>
      <c r="AF27" s="50" t="n">
        <f aca="false">IF(AE26&gt;=gulf_years_req,1,0)</f>
        <v>0</v>
      </c>
    </row>
    <row r="28" customFormat="false" ht="14.25" hidden="false" customHeight="false" outlineLevel="0" collapsed="false">
      <c r="A28" s="61" t="n">
        <v>1868</v>
      </c>
      <c r="B28" s="48" t="n">
        <v>0</v>
      </c>
      <c r="C28" s="71" t="n">
        <v>0</v>
      </c>
      <c r="D28" s="50" t="n">
        <f aca="false">Partners!Q28*(1-IF(AND(OR(oil_compact=0,$A28&lt;compact_year),OR($A28=1931,$A28=1932)),gulf_glut_gdp,0))</f>
        <v>0</v>
      </c>
      <c r="E28" s="50" t="n">
        <f aca="false">IF(AND(gulf_on=1,$A28&gt;=gulf_year),1,0)</f>
        <v>0</v>
      </c>
      <c r="F28" s="48" t="n">
        <v>0</v>
      </c>
      <c r="G28" s="48"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50" t="n">
        <f aca="false">IF($A28&lt;1900,0,IF(F28&lt;=G28,1,0))</f>
        <v>0</v>
      </c>
      <c r="V28" s="50" t="n">
        <f aca="false">IF($A28&lt;1900,0,IF(H28&gt;=I28,1,0))</f>
        <v>0</v>
      </c>
      <c r="W28" s="50" t="n">
        <f aca="false">IF($A28&lt;1900,0,IF(T28&gt;=K28,1,0))</f>
        <v>0</v>
      </c>
      <c r="X28" s="50" t="n">
        <f aca="false">IF($A28&lt;1900,0,IF(L28&lt;=M28,1,0))</f>
        <v>0</v>
      </c>
      <c r="Y28" s="50" t="n">
        <f aca="false">IF($A28&lt;1900,0,IF(N28&lt;=O28,1,0))</f>
        <v>0</v>
      </c>
      <c r="Z28" s="50" t="n">
        <f aca="false">IF($A28&lt;1900,0,IF(P28&lt;=Q28,1,0))</f>
        <v>0</v>
      </c>
      <c r="AA28" s="50" t="n">
        <f aca="false">IF($A28&lt;1900,0,IF(R28&gt;=S28,1,0))</f>
        <v>0</v>
      </c>
      <c r="AB28" s="50" t="n">
        <f aca="false">IF(SUM(U28:Y28)=5,1,0)</f>
        <v>0</v>
      </c>
      <c r="AC28" s="50" t="n">
        <f aca="false">IF(Z28+AA28=2,1,0)</f>
        <v>0</v>
      </c>
      <c r="AD28" s="50" t="n">
        <f aca="false">IF(AND(AB28=1,AC28=1),1,0)</f>
        <v>0</v>
      </c>
      <c r="AE28" s="50" t="n">
        <f aca="false">IF(AD28=1,AE27+1,0)</f>
        <v>0</v>
      </c>
      <c r="AF28" s="50" t="n">
        <f aca="false">IF(AE27&gt;=gulf_years_req,1,0)</f>
        <v>0</v>
      </c>
    </row>
    <row r="29" customFormat="false" ht="14.25" hidden="false" customHeight="false" outlineLevel="0" collapsed="false">
      <c r="A29" s="61" t="n">
        <v>1869</v>
      </c>
      <c r="B29" s="48" t="n">
        <v>0</v>
      </c>
      <c r="C29" s="71" t="n">
        <v>0</v>
      </c>
      <c r="D29" s="50" t="n">
        <f aca="false">Partners!Q29*(1-IF(AND(OR(oil_compact=0,$A29&lt;compact_year),OR($A29=1931,$A29=1932)),gulf_glut_gdp,0))</f>
        <v>0</v>
      </c>
      <c r="E29" s="50" t="n">
        <f aca="false">IF(AND(gulf_on=1,$A29&gt;=gulf_year),1,0)</f>
        <v>0</v>
      </c>
      <c r="F29" s="48" t="n">
        <v>0</v>
      </c>
      <c r="G29" s="48"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50" t="n">
        <f aca="false">IF($A29&lt;1900,0,IF(F29&lt;=G29,1,0))</f>
        <v>0</v>
      </c>
      <c r="V29" s="50" t="n">
        <f aca="false">IF($A29&lt;1900,0,IF(H29&gt;=I29,1,0))</f>
        <v>0</v>
      </c>
      <c r="W29" s="50" t="n">
        <f aca="false">IF($A29&lt;1900,0,IF(T29&gt;=K29,1,0))</f>
        <v>0</v>
      </c>
      <c r="X29" s="50" t="n">
        <f aca="false">IF($A29&lt;1900,0,IF(L29&lt;=M29,1,0))</f>
        <v>0</v>
      </c>
      <c r="Y29" s="50" t="n">
        <f aca="false">IF($A29&lt;1900,0,IF(N29&lt;=O29,1,0))</f>
        <v>0</v>
      </c>
      <c r="Z29" s="50" t="n">
        <f aca="false">IF($A29&lt;1900,0,IF(P29&lt;=Q29,1,0))</f>
        <v>0</v>
      </c>
      <c r="AA29" s="50" t="n">
        <f aca="false">IF($A29&lt;1900,0,IF(R29&gt;=S29,1,0))</f>
        <v>0</v>
      </c>
      <c r="AB29" s="50" t="n">
        <f aca="false">IF(SUM(U29:Y29)=5,1,0)</f>
        <v>0</v>
      </c>
      <c r="AC29" s="50" t="n">
        <f aca="false">IF(Z29+AA29=2,1,0)</f>
        <v>0</v>
      </c>
      <c r="AD29" s="50" t="n">
        <f aca="false">IF(AND(AB29=1,AC29=1),1,0)</f>
        <v>0</v>
      </c>
      <c r="AE29" s="50" t="n">
        <f aca="false">IF(AD29=1,AE28+1,0)</f>
        <v>0</v>
      </c>
      <c r="AF29" s="50" t="n">
        <f aca="false">IF(AE28&gt;=gulf_years_req,1,0)</f>
        <v>0</v>
      </c>
    </row>
    <row r="30" customFormat="false" ht="14.25" hidden="false" customHeight="false" outlineLevel="0" collapsed="false">
      <c r="A30" s="64" t="n">
        <v>1870</v>
      </c>
      <c r="B30" s="48" t="n">
        <v>0</v>
      </c>
      <c r="C30" s="71" t="n">
        <v>0</v>
      </c>
      <c r="D30" s="50" t="n">
        <f aca="false">Partners!Q30*(1-IF(AND(OR(oil_compact=0,$A30&lt;compact_year),OR($A30=1931,$A30=1932)),gulf_glut_gdp,0))</f>
        <v>0</v>
      </c>
      <c r="E30" s="50" t="n">
        <f aca="false">IF(AND(gulf_on=1,$A30&gt;=gulf_year),1,0)</f>
        <v>0</v>
      </c>
      <c r="F30" s="48" t="n">
        <v>0</v>
      </c>
      <c r="G30" s="48"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50" t="n">
        <f aca="false">IF($A30&lt;1900,0,IF(F30&lt;=G30,1,0))</f>
        <v>0</v>
      </c>
      <c r="V30" s="50" t="n">
        <f aca="false">IF($A30&lt;1900,0,IF(H30&gt;=I30,1,0))</f>
        <v>0</v>
      </c>
      <c r="W30" s="50" t="n">
        <f aca="false">IF($A30&lt;1900,0,IF(T30&gt;=K30,1,0))</f>
        <v>0</v>
      </c>
      <c r="X30" s="50" t="n">
        <f aca="false">IF($A30&lt;1900,0,IF(L30&lt;=M30,1,0))</f>
        <v>0</v>
      </c>
      <c r="Y30" s="50" t="n">
        <f aca="false">IF($A30&lt;1900,0,IF(N30&lt;=O30,1,0))</f>
        <v>0</v>
      </c>
      <c r="Z30" s="50" t="n">
        <f aca="false">IF($A30&lt;1900,0,IF(P30&lt;=Q30,1,0))</f>
        <v>0</v>
      </c>
      <c r="AA30" s="50" t="n">
        <f aca="false">IF($A30&lt;1900,0,IF(R30&gt;=S30,1,0))</f>
        <v>0</v>
      </c>
      <c r="AB30" s="50" t="n">
        <f aca="false">IF(SUM(U30:Y30)=5,1,0)</f>
        <v>0</v>
      </c>
      <c r="AC30" s="50" t="n">
        <f aca="false">IF(Z30+AA30=2,1,0)</f>
        <v>0</v>
      </c>
      <c r="AD30" s="50" t="n">
        <f aca="false">IF(AND(AB30=1,AC30=1),1,0)</f>
        <v>0</v>
      </c>
      <c r="AE30" s="50" t="n">
        <f aca="false">IF(AD30=1,AE29+1,0)</f>
        <v>0</v>
      </c>
      <c r="AF30" s="50" t="n">
        <f aca="false">IF(AE29&gt;=gulf_years_req,1,0)</f>
        <v>0</v>
      </c>
    </row>
    <row r="31" customFormat="false" ht="14.25" hidden="false" customHeight="false" outlineLevel="0" collapsed="false">
      <c r="A31" s="64" t="n">
        <v>1871</v>
      </c>
      <c r="B31" s="48" t="n">
        <v>0</v>
      </c>
      <c r="C31" s="71" t="n">
        <v>0</v>
      </c>
      <c r="D31" s="50" t="n">
        <f aca="false">Partners!Q31*(1-IF(AND(OR(oil_compact=0,$A31&lt;compact_year),OR($A31=1931,$A31=1932)),gulf_glut_gdp,0))</f>
        <v>0</v>
      </c>
      <c r="E31" s="50" t="n">
        <f aca="false">IF(AND(gulf_on=1,$A31&gt;=gulf_year),1,0)</f>
        <v>0</v>
      </c>
      <c r="F31" s="48" t="n">
        <v>0</v>
      </c>
      <c r="G31" s="48"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50" t="n">
        <f aca="false">IF($A31&lt;1900,0,IF(F31&lt;=G31,1,0))</f>
        <v>0</v>
      </c>
      <c r="V31" s="50" t="n">
        <f aca="false">IF($A31&lt;1900,0,IF(H31&gt;=I31,1,0))</f>
        <v>0</v>
      </c>
      <c r="W31" s="50" t="n">
        <f aca="false">IF($A31&lt;1900,0,IF(T31&gt;=K31,1,0))</f>
        <v>0</v>
      </c>
      <c r="X31" s="50" t="n">
        <f aca="false">IF($A31&lt;1900,0,IF(L31&lt;=M31,1,0))</f>
        <v>0</v>
      </c>
      <c r="Y31" s="50" t="n">
        <f aca="false">IF($A31&lt;1900,0,IF(N31&lt;=O31,1,0))</f>
        <v>0</v>
      </c>
      <c r="Z31" s="50" t="n">
        <f aca="false">IF($A31&lt;1900,0,IF(P31&lt;=Q31,1,0))</f>
        <v>0</v>
      </c>
      <c r="AA31" s="50" t="n">
        <f aca="false">IF($A31&lt;1900,0,IF(R31&gt;=S31,1,0))</f>
        <v>0</v>
      </c>
      <c r="AB31" s="50" t="n">
        <f aca="false">IF(SUM(U31:Y31)=5,1,0)</f>
        <v>0</v>
      </c>
      <c r="AC31" s="50" t="n">
        <f aca="false">IF(Z31+AA31=2,1,0)</f>
        <v>0</v>
      </c>
      <c r="AD31" s="50" t="n">
        <f aca="false">IF(AND(AB31=1,AC31=1),1,0)</f>
        <v>0</v>
      </c>
      <c r="AE31" s="50" t="n">
        <f aca="false">IF(AD31=1,AE30+1,0)</f>
        <v>0</v>
      </c>
      <c r="AF31" s="50" t="n">
        <f aca="false">IF(AE30&gt;=gulf_years_req,1,0)</f>
        <v>0</v>
      </c>
    </row>
    <row r="32" customFormat="false" ht="14.25" hidden="false" customHeight="false" outlineLevel="0" collapsed="false">
      <c r="A32" s="61" t="n">
        <v>1872</v>
      </c>
      <c r="B32" s="48" t="n">
        <v>0</v>
      </c>
      <c r="C32" s="71" t="n">
        <v>0</v>
      </c>
      <c r="D32" s="50" t="n">
        <f aca="false">Partners!Q32*(1-IF(AND(OR(oil_compact=0,$A32&lt;compact_year),OR($A32=1931,$A32=1932)),gulf_glut_gdp,0))</f>
        <v>0</v>
      </c>
      <c r="E32" s="50" t="n">
        <f aca="false">IF(AND(gulf_on=1,$A32&gt;=gulf_year),1,0)</f>
        <v>0</v>
      </c>
      <c r="F32" s="48" t="n">
        <v>0</v>
      </c>
      <c r="G32" s="48"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50" t="n">
        <f aca="false">IF($A32&lt;1900,0,IF(F32&lt;=G32,1,0))</f>
        <v>0</v>
      </c>
      <c r="V32" s="50" t="n">
        <f aca="false">IF($A32&lt;1900,0,IF(H32&gt;=I32,1,0))</f>
        <v>0</v>
      </c>
      <c r="W32" s="50" t="n">
        <f aca="false">IF($A32&lt;1900,0,IF(T32&gt;=K32,1,0))</f>
        <v>0</v>
      </c>
      <c r="X32" s="50" t="n">
        <f aca="false">IF($A32&lt;1900,0,IF(L32&lt;=M32,1,0))</f>
        <v>0</v>
      </c>
      <c r="Y32" s="50" t="n">
        <f aca="false">IF($A32&lt;1900,0,IF(N32&lt;=O32,1,0))</f>
        <v>0</v>
      </c>
      <c r="Z32" s="50" t="n">
        <f aca="false">IF($A32&lt;1900,0,IF(P32&lt;=Q32,1,0))</f>
        <v>0</v>
      </c>
      <c r="AA32" s="50" t="n">
        <f aca="false">IF($A32&lt;1900,0,IF(R32&gt;=S32,1,0))</f>
        <v>0</v>
      </c>
      <c r="AB32" s="50" t="n">
        <f aca="false">IF(SUM(U32:Y32)=5,1,0)</f>
        <v>0</v>
      </c>
      <c r="AC32" s="50" t="n">
        <f aca="false">IF(Z32+AA32=2,1,0)</f>
        <v>0</v>
      </c>
      <c r="AD32" s="50" t="n">
        <f aca="false">IF(AND(AB32=1,AC32=1),1,0)</f>
        <v>0</v>
      </c>
      <c r="AE32" s="50" t="n">
        <f aca="false">IF(AD32=1,AE31+1,0)</f>
        <v>0</v>
      </c>
      <c r="AF32" s="50" t="n">
        <f aca="false">IF(AE31&gt;=gulf_years_req,1,0)</f>
        <v>0</v>
      </c>
    </row>
    <row r="33" customFormat="false" ht="14.25" hidden="false" customHeight="false" outlineLevel="0" collapsed="false">
      <c r="A33" s="61" t="n">
        <v>1873</v>
      </c>
      <c r="B33" s="48" t="n">
        <v>0</v>
      </c>
      <c r="C33" s="71" t="n">
        <v>0</v>
      </c>
      <c r="D33" s="50" t="n">
        <f aca="false">Partners!Q33*(1-IF(AND(OR(oil_compact=0,$A33&lt;compact_year),OR($A33=1931,$A33=1932)),gulf_glut_gdp,0))</f>
        <v>0</v>
      </c>
      <c r="E33" s="50" t="n">
        <f aca="false">IF(AND(gulf_on=1,$A33&gt;=gulf_year),1,0)</f>
        <v>0</v>
      </c>
      <c r="F33" s="48" t="n">
        <v>0</v>
      </c>
      <c r="G33" s="48"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50" t="n">
        <f aca="false">IF($A33&lt;1900,0,IF(F33&lt;=G33,1,0))</f>
        <v>0</v>
      </c>
      <c r="V33" s="50" t="n">
        <f aca="false">IF($A33&lt;1900,0,IF(H33&gt;=I33,1,0))</f>
        <v>0</v>
      </c>
      <c r="W33" s="50" t="n">
        <f aca="false">IF($A33&lt;1900,0,IF(T33&gt;=K33,1,0))</f>
        <v>0</v>
      </c>
      <c r="X33" s="50" t="n">
        <f aca="false">IF($A33&lt;1900,0,IF(L33&lt;=M33,1,0))</f>
        <v>0</v>
      </c>
      <c r="Y33" s="50" t="n">
        <f aca="false">IF($A33&lt;1900,0,IF(N33&lt;=O33,1,0))</f>
        <v>0</v>
      </c>
      <c r="Z33" s="50" t="n">
        <f aca="false">IF($A33&lt;1900,0,IF(P33&lt;=Q33,1,0))</f>
        <v>0</v>
      </c>
      <c r="AA33" s="50" t="n">
        <f aca="false">IF($A33&lt;1900,0,IF(R33&gt;=S33,1,0))</f>
        <v>0</v>
      </c>
      <c r="AB33" s="50" t="n">
        <f aca="false">IF(SUM(U33:Y33)=5,1,0)</f>
        <v>0</v>
      </c>
      <c r="AC33" s="50" t="n">
        <f aca="false">IF(Z33+AA33=2,1,0)</f>
        <v>0</v>
      </c>
      <c r="AD33" s="50" t="n">
        <f aca="false">IF(AND(AB33=1,AC33=1),1,0)</f>
        <v>0</v>
      </c>
      <c r="AE33" s="50" t="n">
        <f aca="false">IF(AD33=1,AE32+1,0)</f>
        <v>0</v>
      </c>
      <c r="AF33" s="50" t="n">
        <f aca="false">IF(AE32&gt;=gulf_years_req,1,0)</f>
        <v>0</v>
      </c>
    </row>
    <row r="34" customFormat="false" ht="14.25" hidden="false" customHeight="false" outlineLevel="0" collapsed="false">
      <c r="A34" s="61" t="n">
        <v>1874</v>
      </c>
      <c r="B34" s="48" t="n">
        <v>0</v>
      </c>
      <c r="C34" s="71" t="n">
        <v>0</v>
      </c>
      <c r="D34" s="50" t="n">
        <f aca="false">Partners!Q34*(1-IF(AND(OR(oil_compact=0,$A34&lt;compact_year),OR($A34=1931,$A34=1932)),gulf_glut_gdp,0))</f>
        <v>0</v>
      </c>
      <c r="E34" s="50" t="n">
        <f aca="false">IF(AND(gulf_on=1,$A34&gt;=gulf_year),1,0)</f>
        <v>0</v>
      </c>
      <c r="F34" s="48" t="n">
        <v>0</v>
      </c>
      <c r="G34" s="48"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50" t="n">
        <f aca="false">IF($A34&lt;1900,0,IF(F34&lt;=G34,1,0))</f>
        <v>0</v>
      </c>
      <c r="V34" s="50" t="n">
        <f aca="false">IF($A34&lt;1900,0,IF(H34&gt;=I34,1,0))</f>
        <v>0</v>
      </c>
      <c r="W34" s="50" t="n">
        <f aca="false">IF($A34&lt;1900,0,IF(T34&gt;=K34,1,0))</f>
        <v>0</v>
      </c>
      <c r="X34" s="50" t="n">
        <f aca="false">IF($A34&lt;1900,0,IF(L34&lt;=M34,1,0))</f>
        <v>0</v>
      </c>
      <c r="Y34" s="50" t="n">
        <f aca="false">IF($A34&lt;1900,0,IF(N34&lt;=O34,1,0))</f>
        <v>0</v>
      </c>
      <c r="Z34" s="50" t="n">
        <f aca="false">IF($A34&lt;1900,0,IF(P34&lt;=Q34,1,0))</f>
        <v>0</v>
      </c>
      <c r="AA34" s="50" t="n">
        <f aca="false">IF($A34&lt;1900,0,IF(R34&gt;=S34,1,0))</f>
        <v>0</v>
      </c>
      <c r="AB34" s="50" t="n">
        <f aca="false">IF(SUM(U34:Y34)=5,1,0)</f>
        <v>0</v>
      </c>
      <c r="AC34" s="50" t="n">
        <f aca="false">IF(Z34+AA34=2,1,0)</f>
        <v>0</v>
      </c>
      <c r="AD34" s="50" t="n">
        <f aca="false">IF(AND(AB34=1,AC34=1),1,0)</f>
        <v>0</v>
      </c>
      <c r="AE34" s="50" t="n">
        <f aca="false">IF(AD34=1,AE33+1,0)</f>
        <v>0</v>
      </c>
      <c r="AF34" s="50" t="n">
        <f aca="false">IF(AE33&gt;=gulf_years_req,1,0)</f>
        <v>0</v>
      </c>
    </row>
    <row r="35" customFormat="false" ht="14.25" hidden="false" customHeight="false" outlineLevel="0" collapsed="false">
      <c r="A35" s="61" t="n">
        <v>1875</v>
      </c>
      <c r="B35" s="48" t="n">
        <v>0</v>
      </c>
      <c r="C35" s="71" t="n">
        <v>0</v>
      </c>
      <c r="D35" s="50" t="n">
        <f aca="false">Partners!Q35*(1-IF(AND(OR(oil_compact=0,$A35&lt;compact_year),OR($A35=1931,$A35=1932)),gulf_glut_gdp,0))</f>
        <v>0</v>
      </c>
      <c r="E35" s="50" t="n">
        <f aca="false">IF(AND(gulf_on=1,$A35&gt;=gulf_year),1,0)</f>
        <v>0</v>
      </c>
      <c r="F35" s="48" t="n">
        <v>0</v>
      </c>
      <c r="G35" s="48"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50" t="n">
        <f aca="false">IF($A35&lt;1900,0,IF(F35&lt;=G35,1,0))</f>
        <v>0</v>
      </c>
      <c r="V35" s="50" t="n">
        <f aca="false">IF($A35&lt;1900,0,IF(H35&gt;=I35,1,0))</f>
        <v>0</v>
      </c>
      <c r="W35" s="50" t="n">
        <f aca="false">IF($A35&lt;1900,0,IF(T35&gt;=K35,1,0))</f>
        <v>0</v>
      </c>
      <c r="X35" s="50" t="n">
        <f aca="false">IF($A35&lt;1900,0,IF(L35&lt;=M35,1,0))</f>
        <v>0</v>
      </c>
      <c r="Y35" s="50" t="n">
        <f aca="false">IF($A35&lt;1900,0,IF(N35&lt;=O35,1,0))</f>
        <v>0</v>
      </c>
      <c r="Z35" s="50" t="n">
        <f aca="false">IF($A35&lt;1900,0,IF(P35&lt;=Q35,1,0))</f>
        <v>0</v>
      </c>
      <c r="AA35" s="50" t="n">
        <f aca="false">IF($A35&lt;1900,0,IF(R35&gt;=S35,1,0))</f>
        <v>0</v>
      </c>
      <c r="AB35" s="50" t="n">
        <f aca="false">IF(SUM(U35:Y35)=5,1,0)</f>
        <v>0</v>
      </c>
      <c r="AC35" s="50" t="n">
        <f aca="false">IF(Z35+AA35=2,1,0)</f>
        <v>0</v>
      </c>
      <c r="AD35" s="50" t="n">
        <f aca="false">IF(AND(AB35=1,AC35=1),1,0)</f>
        <v>0</v>
      </c>
      <c r="AE35" s="50" t="n">
        <f aca="false">IF(AD35=1,AE34+1,0)</f>
        <v>0</v>
      </c>
      <c r="AF35" s="50" t="n">
        <f aca="false">IF(AE34&gt;=gulf_years_req,1,0)</f>
        <v>0</v>
      </c>
    </row>
    <row r="36" customFormat="false" ht="14.25" hidden="false" customHeight="false" outlineLevel="0" collapsed="false">
      <c r="A36" s="61" t="n">
        <v>1876</v>
      </c>
      <c r="B36" s="48" t="n">
        <v>0</v>
      </c>
      <c r="C36" s="71" t="n">
        <v>0</v>
      </c>
      <c r="D36" s="50" t="n">
        <f aca="false">Partners!Q36*(1-IF(AND(OR(oil_compact=0,$A36&lt;compact_year),OR($A36=1931,$A36=1932)),gulf_glut_gdp,0))</f>
        <v>0</v>
      </c>
      <c r="E36" s="50" t="n">
        <f aca="false">IF(AND(gulf_on=1,$A36&gt;=gulf_year),1,0)</f>
        <v>0</v>
      </c>
      <c r="F36" s="48" t="n">
        <v>0</v>
      </c>
      <c r="G36" s="48"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50" t="n">
        <f aca="false">IF($A36&lt;1900,0,IF(F36&lt;=G36,1,0))</f>
        <v>0</v>
      </c>
      <c r="V36" s="50" t="n">
        <f aca="false">IF($A36&lt;1900,0,IF(H36&gt;=I36,1,0))</f>
        <v>0</v>
      </c>
      <c r="W36" s="50" t="n">
        <f aca="false">IF($A36&lt;1900,0,IF(T36&gt;=K36,1,0))</f>
        <v>0</v>
      </c>
      <c r="X36" s="50" t="n">
        <f aca="false">IF($A36&lt;1900,0,IF(L36&lt;=M36,1,0))</f>
        <v>0</v>
      </c>
      <c r="Y36" s="50" t="n">
        <f aca="false">IF($A36&lt;1900,0,IF(N36&lt;=O36,1,0))</f>
        <v>0</v>
      </c>
      <c r="Z36" s="50" t="n">
        <f aca="false">IF($A36&lt;1900,0,IF(P36&lt;=Q36,1,0))</f>
        <v>0</v>
      </c>
      <c r="AA36" s="50" t="n">
        <f aca="false">IF($A36&lt;1900,0,IF(R36&gt;=S36,1,0))</f>
        <v>0</v>
      </c>
      <c r="AB36" s="50" t="n">
        <f aca="false">IF(SUM(U36:Y36)=5,1,0)</f>
        <v>0</v>
      </c>
      <c r="AC36" s="50" t="n">
        <f aca="false">IF(Z36+AA36=2,1,0)</f>
        <v>0</v>
      </c>
      <c r="AD36" s="50" t="n">
        <f aca="false">IF(AND(AB36=1,AC36=1),1,0)</f>
        <v>0</v>
      </c>
      <c r="AE36" s="50" t="n">
        <f aca="false">IF(AD36=1,AE35+1,0)</f>
        <v>0</v>
      </c>
      <c r="AF36" s="50" t="n">
        <f aca="false">IF(AE35&gt;=gulf_years_req,1,0)</f>
        <v>0</v>
      </c>
    </row>
    <row r="37" customFormat="false" ht="14.25" hidden="false" customHeight="false" outlineLevel="0" collapsed="false">
      <c r="A37" s="61" t="n">
        <v>1877</v>
      </c>
      <c r="B37" s="48" t="n">
        <v>0</v>
      </c>
      <c r="C37" s="71" t="n">
        <v>0</v>
      </c>
      <c r="D37" s="50" t="n">
        <f aca="false">Partners!Q37*(1-IF(AND(OR(oil_compact=0,$A37&lt;compact_year),OR($A37=1931,$A37=1932)),gulf_glut_gdp,0))</f>
        <v>0</v>
      </c>
      <c r="E37" s="50" t="n">
        <f aca="false">IF(AND(gulf_on=1,$A37&gt;=gulf_year),1,0)</f>
        <v>0</v>
      </c>
      <c r="F37" s="48" t="n">
        <v>0</v>
      </c>
      <c r="G37" s="48"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50" t="n">
        <f aca="false">IF($A37&lt;1900,0,IF(F37&lt;=G37,1,0))</f>
        <v>0</v>
      </c>
      <c r="V37" s="50" t="n">
        <f aca="false">IF($A37&lt;1900,0,IF(H37&gt;=I37,1,0))</f>
        <v>0</v>
      </c>
      <c r="W37" s="50" t="n">
        <f aca="false">IF($A37&lt;1900,0,IF(T37&gt;=K37,1,0))</f>
        <v>0</v>
      </c>
      <c r="X37" s="50" t="n">
        <f aca="false">IF($A37&lt;1900,0,IF(L37&lt;=M37,1,0))</f>
        <v>0</v>
      </c>
      <c r="Y37" s="50" t="n">
        <f aca="false">IF($A37&lt;1900,0,IF(N37&lt;=O37,1,0))</f>
        <v>0</v>
      </c>
      <c r="Z37" s="50" t="n">
        <f aca="false">IF($A37&lt;1900,0,IF(P37&lt;=Q37,1,0))</f>
        <v>0</v>
      </c>
      <c r="AA37" s="50" t="n">
        <f aca="false">IF($A37&lt;1900,0,IF(R37&gt;=S37,1,0))</f>
        <v>0</v>
      </c>
      <c r="AB37" s="50" t="n">
        <f aca="false">IF(SUM(U37:Y37)=5,1,0)</f>
        <v>0</v>
      </c>
      <c r="AC37" s="50" t="n">
        <f aca="false">IF(Z37+AA37=2,1,0)</f>
        <v>0</v>
      </c>
      <c r="AD37" s="50" t="n">
        <f aca="false">IF(AND(AB37=1,AC37=1),1,0)</f>
        <v>0</v>
      </c>
      <c r="AE37" s="50" t="n">
        <f aca="false">IF(AD37=1,AE36+1,0)</f>
        <v>0</v>
      </c>
      <c r="AF37" s="50" t="n">
        <f aca="false">IF(AE36&gt;=gulf_years_req,1,0)</f>
        <v>0</v>
      </c>
    </row>
    <row r="38" customFormat="false" ht="14.25" hidden="false" customHeight="false" outlineLevel="0" collapsed="false">
      <c r="A38" s="61" t="n">
        <v>1878</v>
      </c>
      <c r="B38" s="48" t="n">
        <v>0</v>
      </c>
      <c r="C38" s="71" t="n">
        <v>0</v>
      </c>
      <c r="D38" s="50" t="n">
        <f aca="false">Partners!Q38*(1-IF(AND(OR(oil_compact=0,$A38&lt;compact_year),OR($A38=1931,$A38=1932)),gulf_glut_gdp,0))</f>
        <v>0</v>
      </c>
      <c r="E38" s="50" t="n">
        <f aca="false">IF(AND(gulf_on=1,$A38&gt;=gulf_year),1,0)</f>
        <v>0</v>
      </c>
      <c r="F38" s="48" t="n">
        <v>0</v>
      </c>
      <c r="G38" s="48"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50" t="n">
        <f aca="false">IF($A38&lt;1900,0,IF(F38&lt;=G38,1,0))</f>
        <v>0</v>
      </c>
      <c r="V38" s="50" t="n">
        <f aca="false">IF($A38&lt;1900,0,IF(H38&gt;=I38,1,0))</f>
        <v>0</v>
      </c>
      <c r="W38" s="50" t="n">
        <f aca="false">IF($A38&lt;1900,0,IF(T38&gt;=K38,1,0))</f>
        <v>0</v>
      </c>
      <c r="X38" s="50" t="n">
        <f aca="false">IF($A38&lt;1900,0,IF(L38&lt;=M38,1,0))</f>
        <v>0</v>
      </c>
      <c r="Y38" s="50" t="n">
        <f aca="false">IF($A38&lt;1900,0,IF(N38&lt;=O38,1,0))</f>
        <v>0</v>
      </c>
      <c r="Z38" s="50" t="n">
        <f aca="false">IF($A38&lt;1900,0,IF(P38&lt;=Q38,1,0))</f>
        <v>0</v>
      </c>
      <c r="AA38" s="50" t="n">
        <f aca="false">IF($A38&lt;1900,0,IF(R38&gt;=S38,1,0))</f>
        <v>0</v>
      </c>
      <c r="AB38" s="50" t="n">
        <f aca="false">IF(SUM(U38:Y38)=5,1,0)</f>
        <v>0</v>
      </c>
      <c r="AC38" s="50" t="n">
        <f aca="false">IF(Z38+AA38=2,1,0)</f>
        <v>0</v>
      </c>
      <c r="AD38" s="50" t="n">
        <f aca="false">IF(AND(AB38=1,AC38=1),1,0)</f>
        <v>0</v>
      </c>
      <c r="AE38" s="50" t="n">
        <f aca="false">IF(AD38=1,AE37+1,0)</f>
        <v>0</v>
      </c>
      <c r="AF38" s="50" t="n">
        <f aca="false">IF(AE37&gt;=gulf_years_req,1,0)</f>
        <v>0</v>
      </c>
    </row>
    <row r="39" customFormat="false" ht="14.25" hidden="false" customHeight="false" outlineLevel="0" collapsed="false">
      <c r="A39" s="61" t="n">
        <v>1879</v>
      </c>
      <c r="B39" s="48" t="n">
        <v>0</v>
      </c>
      <c r="C39" s="71" t="n">
        <v>0</v>
      </c>
      <c r="D39" s="50" t="n">
        <f aca="false">Partners!Q39*(1-IF(AND(OR(oil_compact=0,$A39&lt;compact_year),OR($A39=1931,$A39=1932)),gulf_glut_gdp,0))</f>
        <v>0</v>
      </c>
      <c r="E39" s="50" t="n">
        <f aca="false">IF(AND(gulf_on=1,$A39&gt;=gulf_year),1,0)</f>
        <v>0</v>
      </c>
      <c r="F39" s="48" t="n">
        <v>0</v>
      </c>
      <c r="G39" s="48"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50" t="n">
        <f aca="false">IF($A39&lt;1900,0,IF(F39&lt;=G39,1,0))</f>
        <v>0</v>
      </c>
      <c r="V39" s="50" t="n">
        <f aca="false">IF($A39&lt;1900,0,IF(H39&gt;=I39,1,0))</f>
        <v>0</v>
      </c>
      <c r="W39" s="50" t="n">
        <f aca="false">IF($A39&lt;1900,0,IF(T39&gt;=K39,1,0))</f>
        <v>0</v>
      </c>
      <c r="X39" s="50" t="n">
        <f aca="false">IF($A39&lt;1900,0,IF(L39&lt;=M39,1,0))</f>
        <v>0</v>
      </c>
      <c r="Y39" s="50" t="n">
        <f aca="false">IF($A39&lt;1900,0,IF(N39&lt;=O39,1,0))</f>
        <v>0</v>
      </c>
      <c r="Z39" s="50" t="n">
        <f aca="false">IF($A39&lt;1900,0,IF(P39&lt;=Q39,1,0))</f>
        <v>0</v>
      </c>
      <c r="AA39" s="50" t="n">
        <f aca="false">IF($A39&lt;1900,0,IF(R39&gt;=S39,1,0))</f>
        <v>0</v>
      </c>
      <c r="AB39" s="50" t="n">
        <f aca="false">IF(SUM(U39:Y39)=5,1,0)</f>
        <v>0</v>
      </c>
      <c r="AC39" s="50" t="n">
        <f aca="false">IF(Z39+AA39=2,1,0)</f>
        <v>0</v>
      </c>
      <c r="AD39" s="50" t="n">
        <f aca="false">IF(AND(AB39=1,AC39=1),1,0)</f>
        <v>0</v>
      </c>
      <c r="AE39" s="50" t="n">
        <f aca="false">IF(AD39=1,AE38+1,0)</f>
        <v>0</v>
      </c>
      <c r="AF39" s="50" t="n">
        <f aca="false">IF(AE38&gt;=gulf_years_req,1,0)</f>
        <v>0</v>
      </c>
    </row>
    <row r="40" customFormat="false" ht="14.25" hidden="false" customHeight="false" outlineLevel="0" collapsed="false">
      <c r="A40" s="61" t="n">
        <v>1880</v>
      </c>
      <c r="B40" s="48" t="n">
        <v>0</v>
      </c>
      <c r="C40" s="71" t="n">
        <v>0</v>
      </c>
      <c r="D40" s="50" t="n">
        <f aca="false">Partners!Q40*(1-IF(AND(OR(oil_compact=0,$A40&lt;compact_year),OR($A40=1931,$A40=1932)),gulf_glut_gdp,0))</f>
        <v>0</v>
      </c>
      <c r="E40" s="50" t="n">
        <f aca="false">IF(AND(gulf_on=1,$A40&gt;=gulf_year),1,0)</f>
        <v>0</v>
      </c>
      <c r="F40" s="48" t="n">
        <v>0</v>
      </c>
      <c r="G40" s="48"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50" t="n">
        <f aca="false">IF($A40&lt;1900,0,IF(F40&lt;=G40,1,0))</f>
        <v>0</v>
      </c>
      <c r="V40" s="50" t="n">
        <f aca="false">IF($A40&lt;1900,0,IF(H40&gt;=I40,1,0))</f>
        <v>0</v>
      </c>
      <c r="W40" s="50" t="n">
        <f aca="false">IF($A40&lt;1900,0,IF(T40&gt;=K40,1,0))</f>
        <v>0</v>
      </c>
      <c r="X40" s="50" t="n">
        <f aca="false">IF($A40&lt;1900,0,IF(L40&lt;=M40,1,0))</f>
        <v>0</v>
      </c>
      <c r="Y40" s="50" t="n">
        <f aca="false">IF($A40&lt;1900,0,IF(N40&lt;=O40,1,0))</f>
        <v>0</v>
      </c>
      <c r="Z40" s="50" t="n">
        <f aca="false">IF($A40&lt;1900,0,IF(P40&lt;=Q40,1,0))</f>
        <v>0</v>
      </c>
      <c r="AA40" s="50" t="n">
        <f aca="false">IF($A40&lt;1900,0,IF(R40&gt;=S40,1,0))</f>
        <v>0</v>
      </c>
      <c r="AB40" s="50" t="n">
        <f aca="false">IF(SUM(U40:Y40)=5,1,0)</f>
        <v>0</v>
      </c>
      <c r="AC40" s="50" t="n">
        <f aca="false">IF(Z40+AA40=2,1,0)</f>
        <v>0</v>
      </c>
      <c r="AD40" s="50" t="n">
        <f aca="false">IF(AND(AB40=1,AC40=1),1,0)</f>
        <v>0</v>
      </c>
      <c r="AE40" s="50" t="n">
        <f aca="false">IF(AD40=1,AE39+1,0)</f>
        <v>0</v>
      </c>
      <c r="AF40" s="50" t="n">
        <f aca="false">IF(AE39&gt;=gulf_years_req,1,0)</f>
        <v>0</v>
      </c>
    </row>
    <row r="41" customFormat="false" ht="14.25" hidden="false" customHeight="false" outlineLevel="0" collapsed="false">
      <c r="A41" s="61" t="n">
        <v>1881</v>
      </c>
      <c r="B41" s="48" t="n">
        <v>0</v>
      </c>
      <c r="C41" s="71" t="n">
        <v>0</v>
      </c>
      <c r="D41" s="50" t="n">
        <f aca="false">Partners!Q41*(1-IF(AND(OR(oil_compact=0,$A41&lt;compact_year),OR($A41=1931,$A41=1932)),gulf_glut_gdp,0))</f>
        <v>0</v>
      </c>
      <c r="E41" s="50" t="n">
        <f aca="false">IF(AND(gulf_on=1,$A41&gt;=gulf_year),1,0)</f>
        <v>0</v>
      </c>
      <c r="F41" s="48" t="n">
        <v>0</v>
      </c>
      <c r="G41" s="48"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50" t="n">
        <f aca="false">IF($A41&lt;1900,0,IF(F41&lt;=G41,1,0))</f>
        <v>0</v>
      </c>
      <c r="V41" s="50" t="n">
        <f aca="false">IF($A41&lt;1900,0,IF(H41&gt;=I41,1,0))</f>
        <v>0</v>
      </c>
      <c r="W41" s="50" t="n">
        <f aca="false">IF($A41&lt;1900,0,IF(T41&gt;=K41,1,0))</f>
        <v>0</v>
      </c>
      <c r="X41" s="50" t="n">
        <f aca="false">IF($A41&lt;1900,0,IF(L41&lt;=M41,1,0))</f>
        <v>0</v>
      </c>
      <c r="Y41" s="50" t="n">
        <f aca="false">IF($A41&lt;1900,0,IF(N41&lt;=O41,1,0))</f>
        <v>0</v>
      </c>
      <c r="Z41" s="50" t="n">
        <f aca="false">IF($A41&lt;1900,0,IF(P41&lt;=Q41,1,0))</f>
        <v>0</v>
      </c>
      <c r="AA41" s="50" t="n">
        <f aca="false">IF($A41&lt;1900,0,IF(R41&gt;=S41,1,0))</f>
        <v>0</v>
      </c>
      <c r="AB41" s="50" t="n">
        <f aca="false">IF(SUM(U41:Y41)=5,1,0)</f>
        <v>0</v>
      </c>
      <c r="AC41" s="50" t="n">
        <f aca="false">IF(Z41+AA41=2,1,0)</f>
        <v>0</v>
      </c>
      <c r="AD41" s="50" t="n">
        <f aca="false">IF(AND(AB41=1,AC41=1),1,0)</f>
        <v>0</v>
      </c>
      <c r="AE41" s="50" t="n">
        <f aca="false">IF(AD41=1,AE40+1,0)</f>
        <v>0</v>
      </c>
      <c r="AF41" s="50" t="n">
        <f aca="false">IF(AE40&gt;=gulf_years_req,1,0)</f>
        <v>0</v>
      </c>
    </row>
    <row r="42" customFormat="false" ht="14.25" hidden="false" customHeight="false" outlineLevel="0" collapsed="false">
      <c r="A42" s="61" t="n">
        <v>1882</v>
      </c>
      <c r="B42" s="48" t="n">
        <v>0</v>
      </c>
      <c r="C42" s="71" t="n">
        <v>0</v>
      </c>
      <c r="D42" s="50" t="n">
        <f aca="false">Partners!Q42*(1-IF(AND(OR(oil_compact=0,$A42&lt;compact_year),OR($A42=1931,$A42=1932)),gulf_glut_gdp,0))</f>
        <v>0</v>
      </c>
      <c r="E42" s="50" t="n">
        <f aca="false">IF(AND(gulf_on=1,$A42&gt;=gulf_year),1,0)</f>
        <v>0</v>
      </c>
      <c r="F42" s="48" t="n">
        <v>0</v>
      </c>
      <c r="G42" s="48"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50" t="n">
        <f aca="false">IF($A42&lt;1900,0,IF(F42&lt;=G42,1,0))</f>
        <v>0</v>
      </c>
      <c r="V42" s="50" t="n">
        <f aca="false">IF($A42&lt;1900,0,IF(H42&gt;=I42,1,0))</f>
        <v>0</v>
      </c>
      <c r="W42" s="50" t="n">
        <f aca="false">IF($A42&lt;1900,0,IF(T42&gt;=K42,1,0))</f>
        <v>0</v>
      </c>
      <c r="X42" s="50" t="n">
        <f aca="false">IF($A42&lt;1900,0,IF(L42&lt;=M42,1,0))</f>
        <v>0</v>
      </c>
      <c r="Y42" s="50" t="n">
        <f aca="false">IF($A42&lt;1900,0,IF(N42&lt;=O42,1,0))</f>
        <v>0</v>
      </c>
      <c r="Z42" s="50" t="n">
        <f aca="false">IF($A42&lt;1900,0,IF(P42&lt;=Q42,1,0))</f>
        <v>0</v>
      </c>
      <c r="AA42" s="50" t="n">
        <f aca="false">IF($A42&lt;1900,0,IF(R42&gt;=S42,1,0))</f>
        <v>0</v>
      </c>
      <c r="AB42" s="50" t="n">
        <f aca="false">IF(SUM(U42:Y42)=5,1,0)</f>
        <v>0</v>
      </c>
      <c r="AC42" s="50" t="n">
        <f aca="false">IF(Z42+AA42=2,1,0)</f>
        <v>0</v>
      </c>
      <c r="AD42" s="50" t="n">
        <f aca="false">IF(AND(AB42=1,AC42=1),1,0)</f>
        <v>0</v>
      </c>
      <c r="AE42" s="50" t="n">
        <f aca="false">IF(AD42=1,AE41+1,0)</f>
        <v>0</v>
      </c>
      <c r="AF42" s="50" t="n">
        <f aca="false">IF(AE41&gt;=gulf_years_req,1,0)</f>
        <v>0</v>
      </c>
    </row>
    <row r="43" customFormat="false" ht="14.25" hidden="false" customHeight="false" outlineLevel="0" collapsed="false">
      <c r="A43" s="61" t="n">
        <v>1883</v>
      </c>
      <c r="B43" s="48" t="n">
        <v>0</v>
      </c>
      <c r="C43" s="71" t="n">
        <v>0</v>
      </c>
      <c r="D43" s="50" t="n">
        <f aca="false">Partners!Q43*(1-IF(AND(OR(oil_compact=0,$A43&lt;compact_year),OR($A43=1931,$A43=1932)),gulf_glut_gdp,0))</f>
        <v>0</v>
      </c>
      <c r="E43" s="50" t="n">
        <f aca="false">IF(AND(gulf_on=1,$A43&gt;=gulf_year),1,0)</f>
        <v>0</v>
      </c>
      <c r="F43" s="48" t="n">
        <v>0</v>
      </c>
      <c r="G43" s="48"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50" t="n">
        <f aca="false">IF($A43&lt;1900,0,IF(F43&lt;=G43,1,0))</f>
        <v>0</v>
      </c>
      <c r="V43" s="50" t="n">
        <f aca="false">IF($A43&lt;1900,0,IF(H43&gt;=I43,1,0))</f>
        <v>0</v>
      </c>
      <c r="W43" s="50" t="n">
        <f aca="false">IF($A43&lt;1900,0,IF(T43&gt;=K43,1,0))</f>
        <v>0</v>
      </c>
      <c r="X43" s="50" t="n">
        <f aca="false">IF($A43&lt;1900,0,IF(L43&lt;=M43,1,0))</f>
        <v>0</v>
      </c>
      <c r="Y43" s="50" t="n">
        <f aca="false">IF($A43&lt;1900,0,IF(N43&lt;=O43,1,0))</f>
        <v>0</v>
      </c>
      <c r="Z43" s="50" t="n">
        <f aca="false">IF($A43&lt;1900,0,IF(P43&lt;=Q43,1,0))</f>
        <v>0</v>
      </c>
      <c r="AA43" s="50" t="n">
        <f aca="false">IF($A43&lt;1900,0,IF(R43&gt;=S43,1,0))</f>
        <v>0</v>
      </c>
      <c r="AB43" s="50" t="n">
        <f aca="false">IF(SUM(U43:Y43)=5,1,0)</f>
        <v>0</v>
      </c>
      <c r="AC43" s="50" t="n">
        <f aca="false">IF(Z43+AA43=2,1,0)</f>
        <v>0</v>
      </c>
      <c r="AD43" s="50" t="n">
        <f aca="false">IF(AND(AB43=1,AC43=1),1,0)</f>
        <v>0</v>
      </c>
      <c r="AE43" s="50" t="n">
        <f aca="false">IF(AD43=1,AE42+1,0)</f>
        <v>0</v>
      </c>
      <c r="AF43" s="50" t="n">
        <f aca="false">IF(AE42&gt;=gulf_years_req,1,0)</f>
        <v>0</v>
      </c>
    </row>
    <row r="44" customFormat="false" ht="14.25" hidden="false" customHeight="false" outlineLevel="0" collapsed="false">
      <c r="A44" s="61" t="n">
        <v>1884</v>
      </c>
      <c r="B44" s="48" t="n">
        <v>0</v>
      </c>
      <c r="C44" s="71" t="n">
        <v>0</v>
      </c>
      <c r="D44" s="50" t="n">
        <f aca="false">Partners!Q44*(1-IF(AND(OR(oil_compact=0,$A44&lt;compact_year),OR($A44=1931,$A44=1932)),gulf_glut_gdp,0))</f>
        <v>0</v>
      </c>
      <c r="E44" s="50" t="n">
        <f aca="false">IF(AND(gulf_on=1,$A44&gt;=gulf_year),1,0)</f>
        <v>0</v>
      </c>
      <c r="F44" s="48" t="n">
        <v>0</v>
      </c>
      <c r="G44" s="48"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50" t="n">
        <f aca="false">IF($A44&lt;1900,0,IF(F44&lt;=G44,1,0))</f>
        <v>0</v>
      </c>
      <c r="V44" s="50" t="n">
        <f aca="false">IF($A44&lt;1900,0,IF(H44&gt;=I44,1,0))</f>
        <v>0</v>
      </c>
      <c r="W44" s="50" t="n">
        <f aca="false">IF($A44&lt;1900,0,IF(T44&gt;=K44,1,0))</f>
        <v>0</v>
      </c>
      <c r="X44" s="50" t="n">
        <f aca="false">IF($A44&lt;1900,0,IF(L44&lt;=M44,1,0))</f>
        <v>0</v>
      </c>
      <c r="Y44" s="50" t="n">
        <f aca="false">IF($A44&lt;1900,0,IF(N44&lt;=O44,1,0))</f>
        <v>0</v>
      </c>
      <c r="Z44" s="50" t="n">
        <f aca="false">IF($A44&lt;1900,0,IF(P44&lt;=Q44,1,0))</f>
        <v>0</v>
      </c>
      <c r="AA44" s="50" t="n">
        <f aca="false">IF($A44&lt;1900,0,IF(R44&gt;=S44,1,0))</f>
        <v>0</v>
      </c>
      <c r="AB44" s="50" t="n">
        <f aca="false">IF(SUM(U44:Y44)=5,1,0)</f>
        <v>0</v>
      </c>
      <c r="AC44" s="50" t="n">
        <f aca="false">IF(Z44+AA44=2,1,0)</f>
        <v>0</v>
      </c>
      <c r="AD44" s="50" t="n">
        <f aca="false">IF(AND(AB44=1,AC44=1),1,0)</f>
        <v>0</v>
      </c>
      <c r="AE44" s="50" t="n">
        <f aca="false">IF(AD44=1,AE43+1,0)</f>
        <v>0</v>
      </c>
      <c r="AF44" s="50" t="n">
        <f aca="false">IF(AE43&gt;=gulf_years_req,1,0)</f>
        <v>0</v>
      </c>
    </row>
    <row r="45" customFormat="false" ht="14.25" hidden="false" customHeight="false" outlineLevel="0" collapsed="false">
      <c r="A45" s="61" t="n">
        <v>1885</v>
      </c>
      <c r="B45" s="48" t="n">
        <v>0</v>
      </c>
      <c r="C45" s="71" t="n">
        <v>0</v>
      </c>
      <c r="D45" s="50" t="n">
        <f aca="false">Partners!Q45*(1-IF(AND(OR(oil_compact=0,$A45&lt;compact_year),OR($A45=1931,$A45=1932)),gulf_glut_gdp,0))</f>
        <v>0</v>
      </c>
      <c r="E45" s="50" t="n">
        <f aca="false">IF(AND(gulf_on=1,$A45&gt;=gulf_year),1,0)</f>
        <v>0</v>
      </c>
      <c r="F45" s="48" t="n">
        <v>0</v>
      </c>
      <c r="G45" s="48"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50" t="n">
        <f aca="false">IF($A45&lt;1900,0,IF(F45&lt;=G45,1,0))</f>
        <v>0</v>
      </c>
      <c r="V45" s="50" t="n">
        <f aca="false">IF($A45&lt;1900,0,IF(H45&gt;=I45,1,0))</f>
        <v>0</v>
      </c>
      <c r="W45" s="50" t="n">
        <f aca="false">IF($A45&lt;1900,0,IF(T45&gt;=K45,1,0))</f>
        <v>0</v>
      </c>
      <c r="X45" s="50" t="n">
        <f aca="false">IF($A45&lt;1900,0,IF(L45&lt;=M45,1,0))</f>
        <v>0</v>
      </c>
      <c r="Y45" s="50" t="n">
        <f aca="false">IF($A45&lt;1900,0,IF(N45&lt;=O45,1,0))</f>
        <v>0</v>
      </c>
      <c r="Z45" s="50" t="n">
        <f aca="false">IF($A45&lt;1900,0,IF(P45&lt;=Q45,1,0))</f>
        <v>0</v>
      </c>
      <c r="AA45" s="50" t="n">
        <f aca="false">IF($A45&lt;1900,0,IF(R45&gt;=S45,1,0))</f>
        <v>0</v>
      </c>
      <c r="AB45" s="50" t="n">
        <f aca="false">IF(SUM(U45:Y45)=5,1,0)</f>
        <v>0</v>
      </c>
      <c r="AC45" s="50" t="n">
        <f aca="false">IF(Z45+AA45=2,1,0)</f>
        <v>0</v>
      </c>
      <c r="AD45" s="50" t="n">
        <f aca="false">IF(AND(AB45=1,AC45=1),1,0)</f>
        <v>0</v>
      </c>
      <c r="AE45" s="50" t="n">
        <f aca="false">IF(AD45=1,AE44+1,0)</f>
        <v>0</v>
      </c>
      <c r="AF45" s="50" t="n">
        <f aca="false">IF(AE44&gt;=gulf_years_req,1,0)</f>
        <v>0</v>
      </c>
    </row>
    <row r="46" customFormat="false" ht="14.25" hidden="false" customHeight="false" outlineLevel="0" collapsed="false">
      <c r="A46" s="61" t="n">
        <v>1886</v>
      </c>
      <c r="B46" s="48" t="n">
        <v>0</v>
      </c>
      <c r="C46" s="71" t="n">
        <v>0</v>
      </c>
      <c r="D46" s="50" t="n">
        <f aca="false">Partners!Q46*(1-IF(AND(OR(oil_compact=0,$A46&lt;compact_year),OR($A46=1931,$A46=1932)),gulf_glut_gdp,0))</f>
        <v>0</v>
      </c>
      <c r="E46" s="50" t="n">
        <f aca="false">IF(AND(gulf_on=1,$A46&gt;=gulf_year),1,0)</f>
        <v>0</v>
      </c>
      <c r="F46" s="48" t="n">
        <v>0</v>
      </c>
      <c r="G46" s="48"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50" t="n">
        <f aca="false">IF($A46&lt;1900,0,IF(F46&lt;=G46,1,0))</f>
        <v>0</v>
      </c>
      <c r="V46" s="50" t="n">
        <f aca="false">IF($A46&lt;1900,0,IF(H46&gt;=I46,1,0))</f>
        <v>0</v>
      </c>
      <c r="W46" s="50" t="n">
        <f aca="false">IF($A46&lt;1900,0,IF(T46&gt;=K46,1,0))</f>
        <v>0</v>
      </c>
      <c r="X46" s="50" t="n">
        <f aca="false">IF($A46&lt;1900,0,IF(L46&lt;=M46,1,0))</f>
        <v>0</v>
      </c>
      <c r="Y46" s="50" t="n">
        <f aca="false">IF($A46&lt;1900,0,IF(N46&lt;=O46,1,0))</f>
        <v>0</v>
      </c>
      <c r="Z46" s="50" t="n">
        <f aca="false">IF($A46&lt;1900,0,IF(P46&lt;=Q46,1,0))</f>
        <v>0</v>
      </c>
      <c r="AA46" s="50" t="n">
        <f aca="false">IF($A46&lt;1900,0,IF(R46&gt;=S46,1,0))</f>
        <v>0</v>
      </c>
      <c r="AB46" s="50" t="n">
        <f aca="false">IF(SUM(U46:Y46)=5,1,0)</f>
        <v>0</v>
      </c>
      <c r="AC46" s="50" t="n">
        <f aca="false">IF(Z46+AA46=2,1,0)</f>
        <v>0</v>
      </c>
      <c r="AD46" s="50" t="n">
        <f aca="false">IF(AND(AB46=1,AC46=1),1,0)</f>
        <v>0</v>
      </c>
      <c r="AE46" s="50" t="n">
        <f aca="false">IF(AD46=1,AE45+1,0)</f>
        <v>0</v>
      </c>
      <c r="AF46" s="50" t="n">
        <f aca="false">IF(AE45&gt;=gulf_years_req,1,0)</f>
        <v>0</v>
      </c>
    </row>
    <row r="47" customFormat="false" ht="14.25" hidden="false" customHeight="false" outlineLevel="0" collapsed="false">
      <c r="A47" s="61" t="n">
        <v>1887</v>
      </c>
      <c r="B47" s="48" t="n">
        <v>0</v>
      </c>
      <c r="C47" s="71" t="n">
        <v>0</v>
      </c>
      <c r="D47" s="50" t="n">
        <f aca="false">Partners!Q47*(1-IF(AND(OR(oil_compact=0,$A47&lt;compact_year),OR($A47=1931,$A47=1932)),gulf_glut_gdp,0))</f>
        <v>0</v>
      </c>
      <c r="E47" s="50" t="n">
        <f aca="false">IF(AND(gulf_on=1,$A47&gt;=gulf_year),1,0)</f>
        <v>0</v>
      </c>
      <c r="F47" s="48" t="n">
        <v>0</v>
      </c>
      <c r="G47" s="48"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50" t="n">
        <f aca="false">IF($A47&lt;1900,0,IF(F47&lt;=G47,1,0))</f>
        <v>0</v>
      </c>
      <c r="V47" s="50" t="n">
        <f aca="false">IF($A47&lt;1900,0,IF(H47&gt;=I47,1,0))</f>
        <v>0</v>
      </c>
      <c r="W47" s="50" t="n">
        <f aca="false">IF($A47&lt;1900,0,IF(T47&gt;=K47,1,0))</f>
        <v>0</v>
      </c>
      <c r="X47" s="50" t="n">
        <f aca="false">IF($A47&lt;1900,0,IF(L47&lt;=M47,1,0))</f>
        <v>0</v>
      </c>
      <c r="Y47" s="50" t="n">
        <f aca="false">IF($A47&lt;1900,0,IF(N47&lt;=O47,1,0))</f>
        <v>0</v>
      </c>
      <c r="Z47" s="50" t="n">
        <f aca="false">IF($A47&lt;1900,0,IF(P47&lt;=Q47,1,0))</f>
        <v>0</v>
      </c>
      <c r="AA47" s="50" t="n">
        <f aca="false">IF($A47&lt;1900,0,IF(R47&gt;=S47,1,0))</f>
        <v>0</v>
      </c>
      <c r="AB47" s="50" t="n">
        <f aca="false">IF(SUM(U47:Y47)=5,1,0)</f>
        <v>0</v>
      </c>
      <c r="AC47" s="50" t="n">
        <f aca="false">IF(Z47+AA47=2,1,0)</f>
        <v>0</v>
      </c>
      <c r="AD47" s="50" t="n">
        <f aca="false">IF(AND(AB47=1,AC47=1),1,0)</f>
        <v>0</v>
      </c>
      <c r="AE47" s="50" t="n">
        <f aca="false">IF(AD47=1,AE46+1,0)</f>
        <v>0</v>
      </c>
      <c r="AF47" s="50" t="n">
        <f aca="false">IF(AE46&gt;=gulf_years_req,1,0)</f>
        <v>0</v>
      </c>
    </row>
    <row r="48" customFormat="false" ht="14.25" hidden="false" customHeight="false" outlineLevel="0" collapsed="false">
      <c r="A48" s="61" t="n">
        <v>1888</v>
      </c>
      <c r="B48" s="48" t="n">
        <v>0</v>
      </c>
      <c r="C48" s="71" t="n">
        <v>0</v>
      </c>
      <c r="D48" s="50" t="n">
        <f aca="false">Partners!Q48*(1-IF(AND(OR(oil_compact=0,$A48&lt;compact_year),OR($A48=1931,$A48=1932)),gulf_glut_gdp,0))</f>
        <v>0</v>
      </c>
      <c r="E48" s="50" t="n">
        <f aca="false">IF(AND(gulf_on=1,$A48&gt;=gulf_year),1,0)</f>
        <v>0</v>
      </c>
      <c r="F48" s="48" t="n">
        <v>0</v>
      </c>
      <c r="G48" s="48"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50" t="n">
        <f aca="false">IF($A48&lt;1900,0,IF(F48&lt;=G48,1,0))</f>
        <v>0</v>
      </c>
      <c r="V48" s="50" t="n">
        <f aca="false">IF($A48&lt;1900,0,IF(H48&gt;=I48,1,0))</f>
        <v>0</v>
      </c>
      <c r="W48" s="50" t="n">
        <f aca="false">IF($A48&lt;1900,0,IF(T48&gt;=K48,1,0))</f>
        <v>0</v>
      </c>
      <c r="X48" s="50" t="n">
        <f aca="false">IF($A48&lt;1900,0,IF(L48&lt;=M48,1,0))</f>
        <v>0</v>
      </c>
      <c r="Y48" s="50" t="n">
        <f aca="false">IF($A48&lt;1900,0,IF(N48&lt;=O48,1,0))</f>
        <v>0</v>
      </c>
      <c r="Z48" s="50" t="n">
        <f aca="false">IF($A48&lt;1900,0,IF(P48&lt;=Q48,1,0))</f>
        <v>0</v>
      </c>
      <c r="AA48" s="50" t="n">
        <f aca="false">IF($A48&lt;1900,0,IF(R48&gt;=S48,1,0))</f>
        <v>0</v>
      </c>
      <c r="AB48" s="50" t="n">
        <f aca="false">IF(SUM(U48:Y48)=5,1,0)</f>
        <v>0</v>
      </c>
      <c r="AC48" s="50" t="n">
        <f aca="false">IF(Z48+AA48=2,1,0)</f>
        <v>0</v>
      </c>
      <c r="AD48" s="50" t="n">
        <f aca="false">IF(AND(AB48=1,AC48=1),1,0)</f>
        <v>0</v>
      </c>
      <c r="AE48" s="50" t="n">
        <f aca="false">IF(AD48=1,AE47+1,0)</f>
        <v>0</v>
      </c>
      <c r="AF48" s="50" t="n">
        <f aca="false">IF(AE47&gt;=gulf_years_req,1,0)</f>
        <v>0</v>
      </c>
    </row>
    <row r="49" customFormat="false" ht="14.25" hidden="false" customHeight="false" outlineLevel="0" collapsed="false">
      <c r="A49" s="61" t="n">
        <v>1889</v>
      </c>
      <c r="B49" s="48" t="n">
        <v>0</v>
      </c>
      <c r="C49" s="71" t="n">
        <v>0</v>
      </c>
      <c r="D49" s="50" t="n">
        <f aca="false">Partners!Q49*(1-IF(AND(OR(oil_compact=0,$A49&lt;compact_year),OR($A49=1931,$A49=1932)),gulf_glut_gdp,0))</f>
        <v>0</v>
      </c>
      <c r="E49" s="50" t="n">
        <f aca="false">IF(AND(gulf_on=1,$A49&gt;=gulf_year),1,0)</f>
        <v>0</v>
      </c>
      <c r="F49" s="48" t="n">
        <v>0</v>
      </c>
      <c r="G49" s="48"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50" t="n">
        <f aca="false">IF($A49&lt;1900,0,IF(F49&lt;=G49,1,0))</f>
        <v>0</v>
      </c>
      <c r="V49" s="50" t="n">
        <f aca="false">IF($A49&lt;1900,0,IF(H49&gt;=I49,1,0))</f>
        <v>0</v>
      </c>
      <c r="W49" s="50" t="n">
        <f aca="false">IF($A49&lt;1900,0,IF(T49&gt;=K49,1,0))</f>
        <v>0</v>
      </c>
      <c r="X49" s="50" t="n">
        <f aca="false">IF($A49&lt;1900,0,IF(L49&lt;=M49,1,0))</f>
        <v>0</v>
      </c>
      <c r="Y49" s="50" t="n">
        <f aca="false">IF($A49&lt;1900,0,IF(N49&lt;=O49,1,0))</f>
        <v>0</v>
      </c>
      <c r="Z49" s="50" t="n">
        <f aca="false">IF($A49&lt;1900,0,IF(P49&lt;=Q49,1,0))</f>
        <v>0</v>
      </c>
      <c r="AA49" s="50" t="n">
        <f aca="false">IF($A49&lt;1900,0,IF(R49&gt;=S49,1,0))</f>
        <v>0</v>
      </c>
      <c r="AB49" s="50" t="n">
        <f aca="false">IF(SUM(U49:Y49)=5,1,0)</f>
        <v>0</v>
      </c>
      <c r="AC49" s="50" t="n">
        <f aca="false">IF(Z49+AA49=2,1,0)</f>
        <v>0</v>
      </c>
      <c r="AD49" s="50" t="n">
        <f aca="false">IF(AND(AB49=1,AC49=1),1,0)</f>
        <v>0</v>
      </c>
      <c r="AE49" s="50" t="n">
        <f aca="false">IF(AD49=1,AE48+1,0)</f>
        <v>0</v>
      </c>
      <c r="AF49" s="50" t="n">
        <f aca="false">IF(AE48&gt;=gulf_years_req,1,0)</f>
        <v>0</v>
      </c>
    </row>
    <row r="50" customFormat="false" ht="14.25" hidden="false" customHeight="false" outlineLevel="0" collapsed="false">
      <c r="A50" s="61" t="n">
        <v>1890</v>
      </c>
      <c r="B50" s="48" t="n">
        <v>0</v>
      </c>
      <c r="C50" s="71" t="n">
        <v>0</v>
      </c>
      <c r="D50" s="50" t="n">
        <f aca="false">Partners!Q50*(1-IF(AND(OR(oil_compact=0,$A50&lt;compact_year),OR($A50=1931,$A50=1932)),gulf_glut_gdp,0))</f>
        <v>0</v>
      </c>
      <c r="E50" s="50" t="n">
        <f aca="false">IF(AND(gulf_on=1,$A50&gt;=gulf_year),1,0)</f>
        <v>0</v>
      </c>
      <c r="F50" s="48" t="n">
        <v>0</v>
      </c>
      <c r="G50" s="48"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50" t="n">
        <f aca="false">IF($A50&lt;1900,0,IF(F50&lt;=G50,1,0))</f>
        <v>0</v>
      </c>
      <c r="V50" s="50" t="n">
        <f aca="false">IF($A50&lt;1900,0,IF(H50&gt;=I50,1,0))</f>
        <v>0</v>
      </c>
      <c r="W50" s="50" t="n">
        <f aca="false">IF($A50&lt;1900,0,IF(T50&gt;=K50,1,0))</f>
        <v>0</v>
      </c>
      <c r="X50" s="50" t="n">
        <f aca="false">IF($A50&lt;1900,0,IF(L50&lt;=M50,1,0))</f>
        <v>0</v>
      </c>
      <c r="Y50" s="50" t="n">
        <f aca="false">IF($A50&lt;1900,0,IF(N50&lt;=O50,1,0))</f>
        <v>0</v>
      </c>
      <c r="Z50" s="50" t="n">
        <f aca="false">IF($A50&lt;1900,0,IF(P50&lt;=Q50,1,0))</f>
        <v>0</v>
      </c>
      <c r="AA50" s="50" t="n">
        <f aca="false">IF($A50&lt;1900,0,IF(R50&gt;=S50,1,0))</f>
        <v>0</v>
      </c>
      <c r="AB50" s="50" t="n">
        <f aca="false">IF(SUM(U50:Y50)=5,1,0)</f>
        <v>0</v>
      </c>
      <c r="AC50" s="50" t="n">
        <f aca="false">IF(Z50+AA50=2,1,0)</f>
        <v>0</v>
      </c>
      <c r="AD50" s="50" t="n">
        <f aca="false">IF(AND(AB50=1,AC50=1),1,0)</f>
        <v>0</v>
      </c>
      <c r="AE50" s="50" t="n">
        <f aca="false">IF(AD50=1,AE49+1,0)</f>
        <v>0</v>
      </c>
      <c r="AF50" s="50" t="n">
        <f aca="false">IF(AE49&gt;=gulf_years_req,1,0)</f>
        <v>0</v>
      </c>
    </row>
    <row r="51" customFormat="false" ht="14.25" hidden="false" customHeight="false" outlineLevel="0" collapsed="false">
      <c r="A51" s="61" t="n">
        <v>1891</v>
      </c>
      <c r="B51" s="48" t="n">
        <v>0</v>
      </c>
      <c r="C51" s="71" t="n">
        <v>0</v>
      </c>
      <c r="D51" s="50" t="n">
        <f aca="false">Partners!Q51*(1-IF(AND(OR(oil_compact=0,$A51&lt;compact_year),OR($A51=1931,$A51=1932)),gulf_glut_gdp,0))</f>
        <v>0</v>
      </c>
      <c r="E51" s="50" t="n">
        <f aca="false">IF(AND(gulf_on=1,$A51&gt;=gulf_year),1,0)</f>
        <v>0</v>
      </c>
      <c r="F51" s="48" t="n">
        <v>0</v>
      </c>
      <c r="G51" s="48"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50" t="n">
        <f aca="false">IF($A51&lt;1900,0,IF(F51&lt;=G51,1,0))</f>
        <v>0</v>
      </c>
      <c r="V51" s="50" t="n">
        <f aca="false">IF($A51&lt;1900,0,IF(H51&gt;=I51,1,0))</f>
        <v>0</v>
      </c>
      <c r="W51" s="50" t="n">
        <f aca="false">IF($A51&lt;1900,0,IF(T51&gt;=K51,1,0))</f>
        <v>0</v>
      </c>
      <c r="X51" s="50" t="n">
        <f aca="false">IF($A51&lt;1900,0,IF(L51&lt;=M51,1,0))</f>
        <v>0</v>
      </c>
      <c r="Y51" s="50" t="n">
        <f aca="false">IF($A51&lt;1900,0,IF(N51&lt;=O51,1,0))</f>
        <v>0</v>
      </c>
      <c r="Z51" s="50" t="n">
        <f aca="false">IF($A51&lt;1900,0,IF(P51&lt;=Q51,1,0))</f>
        <v>0</v>
      </c>
      <c r="AA51" s="50" t="n">
        <f aca="false">IF($A51&lt;1900,0,IF(R51&gt;=S51,1,0))</f>
        <v>0</v>
      </c>
      <c r="AB51" s="50" t="n">
        <f aca="false">IF(SUM(U51:Y51)=5,1,0)</f>
        <v>0</v>
      </c>
      <c r="AC51" s="50" t="n">
        <f aca="false">IF(Z51+AA51=2,1,0)</f>
        <v>0</v>
      </c>
      <c r="AD51" s="50" t="n">
        <f aca="false">IF(AND(AB51=1,AC51=1),1,0)</f>
        <v>0</v>
      </c>
      <c r="AE51" s="50" t="n">
        <f aca="false">IF(AD51=1,AE50+1,0)</f>
        <v>0</v>
      </c>
      <c r="AF51" s="50" t="n">
        <f aca="false">IF(AE50&gt;=gulf_years_req,1,0)</f>
        <v>0</v>
      </c>
    </row>
    <row r="52" customFormat="false" ht="14.25" hidden="false" customHeight="false" outlineLevel="0" collapsed="false">
      <c r="A52" s="61" t="n">
        <v>1892</v>
      </c>
      <c r="B52" s="48" t="n">
        <v>0</v>
      </c>
      <c r="C52" s="71" t="n">
        <v>0</v>
      </c>
      <c r="D52" s="50" t="n">
        <f aca="false">Partners!Q52*(1-IF(AND(OR(oil_compact=0,$A52&lt;compact_year),OR($A52=1931,$A52=1932)),gulf_glut_gdp,0))</f>
        <v>0</v>
      </c>
      <c r="E52" s="50" t="n">
        <f aca="false">IF(AND(gulf_on=1,$A52&gt;=gulf_year),1,0)</f>
        <v>0</v>
      </c>
      <c r="F52" s="48" t="n">
        <v>0</v>
      </c>
      <c r="G52" s="48"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50" t="n">
        <f aca="false">IF($A52&lt;1900,0,IF(F52&lt;=G52,1,0))</f>
        <v>0</v>
      </c>
      <c r="V52" s="50" t="n">
        <f aca="false">IF($A52&lt;1900,0,IF(H52&gt;=I52,1,0))</f>
        <v>0</v>
      </c>
      <c r="W52" s="50" t="n">
        <f aca="false">IF($A52&lt;1900,0,IF(T52&gt;=K52,1,0))</f>
        <v>0</v>
      </c>
      <c r="X52" s="50" t="n">
        <f aca="false">IF($A52&lt;1900,0,IF(L52&lt;=M52,1,0))</f>
        <v>0</v>
      </c>
      <c r="Y52" s="50" t="n">
        <f aca="false">IF($A52&lt;1900,0,IF(N52&lt;=O52,1,0))</f>
        <v>0</v>
      </c>
      <c r="Z52" s="50" t="n">
        <f aca="false">IF($A52&lt;1900,0,IF(P52&lt;=Q52,1,0))</f>
        <v>0</v>
      </c>
      <c r="AA52" s="50" t="n">
        <f aca="false">IF($A52&lt;1900,0,IF(R52&gt;=S52,1,0))</f>
        <v>0</v>
      </c>
      <c r="AB52" s="50" t="n">
        <f aca="false">IF(SUM(U52:Y52)=5,1,0)</f>
        <v>0</v>
      </c>
      <c r="AC52" s="50" t="n">
        <f aca="false">IF(Z52+AA52=2,1,0)</f>
        <v>0</v>
      </c>
      <c r="AD52" s="50" t="n">
        <f aca="false">IF(AND(AB52=1,AC52=1),1,0)</f>
        <v>0</v>
      </c>
      <c r="AE52" s="50" t="n">
        <f aca="false">IF(AD52=1,AE51+1,0)</f>
        <v>0</v>
      </c>
      <c r="AF52" s="50" t="n">
        <f aca="false">IF(AE51&gt;=gulf_years_req,1,0)</f>
        <v>0</v>
      </c>
    </row>
    <row r="53" customFormat="false" ht="14.25" hidden="false" customHeight="false" outlineLevel="0" collapsed="false">
      <c r="A53" s="61" t="n">
        <v>1893</v>
      </c>
      <c r="B53" s="48" t="n">
        <v>0</v>
      </c>
      <c r="C53" s="71" t="n">
        <v>0</v>
      </c>
      <c r="D53" s="50" t="n">
        <f aca="false">Partners!Q53*(1-IF(AND(OR(oil_compact=0,$A53&lt;compact_year),OR($A53=1931,$A53=1932)),gulf_glut_gdp,0))</f>
        <v>0</v>
      </c>
      <c r="E53" s="50" t="n">
        <f aca="false">IF(AND(gulf_on=1,$A53&gt;=gulf_year),1,0)</f>
        <v>0</v>
      </c>
      <c r="F53" s="48" t="n">
        <v>0</v>
      </c>
      <c r="G53" s="48"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50" t="n">
        <f aca="false">IF($A53&lt;1900,0,IF(F53&lt;=G53,1,0))</f>
        <v>0</v>
      </c>
      <c r="V53" s="50" t="n">
        <f aca="false">IF($A53&lt;1900,0,IF(H53&gt;=I53,1,0))</f>
        <v>0</v>
      </c>
      <c r="W53" s="50" t="n">
        <f aca="false">IF($A53&lt;1900,0,IF(T53&gt;=K53,1,0))</f>
        <v>0</v>
      </c>
      <c r="X53" s="50" t="n">
        <f aca="false">IF($A53&lt;1900,0,IF(L53&lt;=M53,1,0))</f>
        <v>0</v>
      </c>
      <c r="Y53" s="50" t="n">
        <f aca="false">IF($A53&lt;1900,0,IF(N53&lt;=O53,1,0))</f>
        <v>0</v>
      </c>
      <c r="Z53" s="50" t="n">
        <f aca="false">IF($A53&lt;1900,0,IF(P53&lt;=Q53,1,0))</f>
        <v>0</v>
      </c>
      <c r="AA53" s="50" t="n">
        <f aca="false">IF($A53&lt;1900,0,IF(R53&gt;=S53,1,0))</f>
        <v>0</v>
      </c>
      <c r="AB53" s="50" t="n">
        <f aca="false">IF(SUM(U53:Y53)=5,1,0)</f>
        <v>0</v>
      </c>
      <c r="AC53" s="50" t="n">
        <f aca="false">IF(Z53+AA53=2,1,0)</f>
        <v>0</v>
      </c>
      <c r="AD53" s="50" t="n">
        <f aca="false">IF(AND(AB53=1,AC53=1),1,0)</f>
        <v>0</v>
      </c>
      <c r="AE53" s="50" t="n">
        <f aca="false">IF(AD53=1,AE52+1,0)</f>
        <v>0</v>
      </c>
      <c r="AF53" s="50" t="n">
        <f aca="false">IF(AE52&gt;=gulf_years_req,1,0)</f>
        <v>0</v>
      </c>
    </row>
    <row r="54" customFormat="false" ht="14.25" hidden="false" customHeight="false" outlineLevel="0" collapsed="false">
      <c r="A54" s="61" t="n">
        <v>1894</v>
      </c>
      <c r="B54" s="48" t="n">
        <v>0</v>
      </c>
      <c r="C54" s="71" t="n">
        <v>0</v>
      </c>
      <c r="D54" s="50" t="n">
        <f aca="false">Partners!Q54*(1-IF(AND(OR(oil_compact=0,$A54&lt;compact_year),OR($A54=1931,$A54=1932)),gulf_glut_gdp,0))</f>
        <v>0</v>
      </c>
      <c r="E54" s="50" t="n">
        <f aca="false">IF(AND(gulf_on=1,$A54&gt;=gulf_year),1,0)</f>
        <v>0</v>
      </c>
      <c r="F54" s="48" t="n">
        <v>0</v>
      </c>
      <c r="G54" s="48"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50" t="n">
        <f aca="false">IF($A54&lt;1900,0,IF(F54&lt;=G54,1,0))</f>
        <v>0</v>
      </c>
      <c r="V54" s="50" t="n">
        <f aca="false">IF($A54&lt;1900,0,IF(H54&gt;=I54,1,0))</f>
        <v>0</v>
      </c>
      <c r="W54" s="50" t="n">
        <f aca="false">IF($A54&lt;1900,0,IF(T54&gt;=K54,1,0))</f>
        <v>0</v>
      </c>
      <c r="X54" s="50" t="n">
        <f aca="false">IF($A54&lt;1900,0,IF(L54&lt;=M54,1,0))</f>
        <v>0</v>
      </c>
      <c r="Y54" s="50" t="n">
        <f aca="false">IF($A54&lt;1900,0,IF(N54&lt;=O54,1,0))</f>
        <v>0</v>
      </c>
      <c r="Z54" s="50" t="n">
        <f aca="false">IF($A54&lt;1900,0,IF(P54&lt;=Q54,1,0))</f>
        <v>0</v>
      </c>
      <c r="AA54" s="50" t="n">
        <f aca="false">IF($A54&lt;1900,0,IF(R54&gt;=S54,1,0))</f>
        <v>0</v>
      </c>
      <c r="AB54" s="50" t="n">
        <f aca="false">IF(SUM(U54:Y54)=5,1,0)</f>
        <v>0</v>
      </c>
      <c r="AC54" s="50" t="n">
        <f aca="false">IF(Z54+AA54=2,1,0)</f>
        <v>0</v>
      </c>
      <c r="AD54" s="50" t="n">
        <f aca="false">IF(AND(AB54=1,AC54=1),1,0)</f>
        <v>0</v>
      </c>
      <c r="AE54" s="50" t="n">
        <f aca="false">IF(AD54=1,AE53+1,0)</f>
        <v>0</v>
      </c>
      <c r="AF54" s="50" t="n">
        <f aca="false">IF(AE53&gt;=gulf_years_req,1,0)</f>
        <v>0</v>
      </c>
    </row>
    <row r="55" customFormat="false" ht="14.25" hidden="false" customHeight="false" outlineLevel="0" collapsed="false">
      <c r="A55" s="61" t="n">
        <v>1895</v>
      </c>
      <c r="B55" s="48" t="n">
        <v>0</v>
      </c>
      <c r="C55" s="71" t="n">
        <v>0</v>
      </c>
      <c r="D55" s="50" t="n">
        <f aca="false">Partners!Q55*(1-IF(AND(OR(oil_compact=0,$A55&lt;compact_year),OR($A55=1931,$A55=1932)),gulf_glut_gdp,0))</f>
        <v>0</v>
      </c>
      <c r="E55" s="50" t="n">
        <f aca="false">IF(AND(gulf_on=1,$A55&gt;=gulf_year),1,0)</f>
        <v>0</v>
      </c>
      <c r="F55" s="48" t="n">
        <v>0</v>
      </c>
      <c r="G55" s="48"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50" t="n">
        <f aca="false">IF($A55&lt;1900,0,IF(F55&lt;=G55,1,0))</f>
        <v>0</v>
      </c>
      <c r="V55" s="50" t="n">
        <f aca="false">IF($A55&lt;1900,0,IF(H55&gt;=I55,1,0))</f>
        <v>0</v>
      </c>
      <c r="W55" s="50" t="n">
        <f aca="false">IF($A55&lt;1900,0,IF(T55&gt;=K55,1,0))</f>
        <v>0</v>
      </c>
      <c r="X55" s="50" t="n">
        <f aca="false">IF($A55&lt;1900,0,IF(L55&lt;=M55,1,0))</f>
        <v>0</v>
      </c>
      <c r="Y55" s="50" t="n">
        <f aca="false">IF($A55&lt;1900,0,IF(N55&lt;=O55,1,0))</f>
        <v>0</v>
      </c>
      <c r="Z55" s="50" t="n">
        <f aca="false">IF($A55&lt;1900,0,IF(P55&lt;=Q55,1,0))</f>
        <v>0</v>
      </c>
      <c r="AA55" s="50" t="n">
        <f aca="false">IF($A55&lt;1900,0,IF(R55&gt;=S55,1,0))</f>
        <v>0</v>
      </c>
      <c r="AB55" s="50" t="n">
        <f aca="false">IF(SUM(U55:Y55)=5,1,0)</f>
        <v>0</v>
      </c>
      <c r="AC55" s="50" t="n">
        <f aca="false">IF(Z55+AA55=2,1,0)</f>
        <v>0</v>
      </c>
      <c r="AD55" s="50" t="n">
        <f aca="false">IF(AND(AB55=1,AC55=1),1,0)</f>
        <v>0</v>
      </c>
      <c r="AE55" s="50" t="n">
        <f aca="false">IF(AD55=1,AE54+1,0)</f>
        <v>0</v>
      </c>
      <c r="AF55" s="50" t="n">
        <f aca="false">IF(AE54&gt;=gulf_years_req,1,0)</f>
        <v>0</v>
      </c>
    </row>
    <row r="56" customFormat="false" ht="14.25" hidden="false" customHeight="false" outlineLevel="0" collapsed="false">
      <c r="A56" s="61" t="n">
        <v>1896</v>
      </c>
      <c r="B56" s="48" t="n">
        <v>0</v>
      </c>
      <c r="C56" s="71" t="n">
        <v>0</v>
      </c>
      <c r="D56" s="50" t="n">
        <f aca="false">Partners!Q56*(1-IF(AND(OR(oil_compact=0,$A56&lt;compact_year),OR($A56=1931,$A56=1932)),gulf_glut_gdp,0))</f>
        <v>0</v>
      </c>
      <c r="E56" s="50" t="n">
        <f aca="false">IF(AND(gulf_on=1,$A56&gt;=gulf_year),1,0)</f>
        <v>0</v>
      </c>
      <c r="F56" s="48" t="n">
        <v>0</v>
      </c>
      <c r="G56" s="48"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50" t="n">
        <f aca="false">IF($A56&lt;1900,0,IF(F56&lt;=G56,1,0))</f>
        <v>0</v>
      </c>
      <c r="V56" s="50" t="n">
        <f aca="false">IF($A56&lt;1900,0,IF(H56&gt;=I56,1,0))</f>
        <v>0</v>
      </c>
      <c r="W56" s="50" t="n">
        <f aca="false">IF($A56&lt;1900,0,IF(T56&gt;=K56,1,0))</f>
        <v>0</v>
      </c>
      <c r="X56" s="50" t="n">
        <f aca="false">IF($A56&lt;1900,0,IF(L56&lt;=M56,1,0))</f>
        <v>0</v>
      </c>
      <c r="Y56" s="50" t="n">
        <f aca="false">IF($A56&lt;1900,0,IF(N56&lt;=O56,1,0))</f>
        <v>0</v>
      </c>
      <c r="Z56" s="50" t="n">
        <f aca="false">IF($A56&lt;1900,0,IF(P56&lt;=Q56,1,0))</f>
        <v>0</v>
      </c>
      <c r="AA56" s="50" t="n">
        <f aca="false">IF($A56&lt;1900,0,IF(R56&gt;=S56,1,0))</f>
        <v>0</v>
      </c>
      <c r="AB56" s="50" t="n">
        <f aca="false">IF(SUM(U56:Y56)=5,1,0)</f>
        <v>0</v>
      </c>
      <c r="AC56" s="50" t="n">
        <f aca="false">IF(Z56+AA56=2,1,0)</f>
        <v>0</v>
      </c>
      <c r="AD56" s="50" t="n">
        <f aca="false">IF(AND(AB56=1,AC56=1),1,0)</f>
        <v>0</v>
      </c>
      <c r="AE56" s="50" t="n">
        <f aca="false">IF(AD56=1,AE55+1,0)</f>
        <v>0</v>
      </c>
      <c r="AF56" s="50" t="n">
        <f aca="false">IF(AE55&gt;=gulf_years_req,1,0)</f>
        <v>0</v>
      </c>
    </row>
    <row r="57" customFormat="false" ht="14.25" hidden="false" customHeight="false" outlineLevel="0" collapsed="false">
      <c r="A57" s="61" t="n">
        <v>1897</v>
      </c>
      <c r="B57" s="48" t="n">
        <v>0</v>
      </c>
      <c r="C57" s="71" t="n">
        <v>0</v>
      </c>
      <c r="D57" s="50" t="n">
        <f aca="false">Partners!Q57*(1-IF(AND(OR(oil_compact=0,$A57&lt;compact_year),OR($A57=1931,$A57=1932)),gulf_glut_gdp,0))</f>
        <v>0</v>
      </c>
      <c r="E57" s="50" t="n">
        <f aca="false">IF(AND(gulf_on=1,$A57&gt;=gulf_year),1,0)</f>
        <v>0</v>
      </c>
      <c r="F57" s="48" t="n">
        <v>0</v>
      </c>
      <c r="G57" s="48"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50" t="n">
        <f aca="false">IF($A57&lt;1900,0,IF(F57&lt;=G57,1,0))</f>
        <v>0</v>
      </c>
      <c r="V57" s="50" t="n">
        <f aca="false">IF($A57&lt;1900,0,IF(H57&gt;=I57,1,0))</f>
        <v>0</v>
      </c>
      <c r="W57" s="50" t="n">
        <f aca="false">IF($A57&lt;1900,0,IF(T57&gt;=K57,1,0))</f>
        <v>0</v>
      </c>
      <c r="X57" s="50" t="n">
        <f aca="false">IF($A57&lt;1900,0,IF(L57&lt;=M57,1,0))</f>
        <v>0</v>
      </c>
      <c r="Y57" s="50" t="n">
        <f aca="false">IF($A57&lt;1900,0,IF(N57&lt;=O57,1,0))</f>
        <v>0</v>
      </c>
      <c r="Z57" s="50" t="n">
        <f aca="false">IF($A57&lt;1900,0,IF(P57&lt;=Q57,1,0))</f>
        <v>0</v>
      </c>
      <c r="AA57" s="50" t="n">
        <f aca="false">IF($A57&lt;1900,0,IF(R57&gt;=S57,1,0))</f>
        <v>0</v>
      </c>
      <c r="AB57" s="50" t="n">
        <f aca="false">IF(SUM(U57:Y57)=5,1,0)</f>
        <v>0</v>
      </c>
      <c r="AC57" s="50" t="n">
        <f aca="false">IF(Z57+AA57=2,1,0)</f>
        <v>0</v>
      </c>
      <c r="AD57" s="50" t="n">
        <f aca="false">IF(AND(AB57=1,AC57=1),1,0)</f>
        <v>0</v>
      </c>
      <c r="AE57" s="50" t="n">
        <f aca="false">IF(AD57=1,AE56+1,0)</f>
        <v>0</v>
      </c>
      <c r="AF57" s="50" t="n">
        <f aca="false">IF(AE56&gt;=gulf_years_req,1,0)</f>
        <v>0</v>
      </c>
    </row>
    <row r="58" customFormat="false" ht="14.25" hidden="false" customHeight="false" outlineLevel="0" collapsed="false">
      <c r="A58" s="61" t="n">
        <v>1898</v>
      </c>
      <c r="B58" s="48" t="n">
        <v>0</v>
      </c>
      <c r="C58" s="71" t="n">
        <v>0</v>
      </c>
      <c r="D58" s="50" t="n">
        <f aca="false">Partners!Q58*(1-IF(AND(OR(oil_compact=0,$A58&lt;compact_year),OR($A58=1931,$A58=1932)),gulf_glut_gdp,0))</f>
        <v>0</v>
      </c>
      <c r="E58" s="50" t="n">
        <f aca="false">IF(AND(gulf_on=1,$A58&gt;=gulf_year),1,0)</f>
        <v>0</v>
      </c>
      <c r="F58" s="48" t="n">
        <v>0</v>
      </c>
      <c r="G58" s="48"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50" t="n">
        <f aca="false">IF($A58&lt;1900,0,IF(F58&lt;=G58,1,0))</f>
        <v>0</v>
      </c>
      <c r="V58" s="50" t="n">
        <f aca="false">IF($A58&lt;1900,0,IF(H58&gt;=I58,1,0))</f>
        <v>0</v>
      </c>
      <c r="W58" s="50" t="n">
        <f aca="false">IF($A58&lt;1900,0,IF(T58&gt;=K58,1,0))</f>
        <v>0</v>
      </c>
      <c r="X58" s="50" t="n">
        <f aca="false">IF($A58&lt;1900,0,IF(L58&lt;=M58,1,0))</f>
        <v>0</v>
      </c>
      <c r="Y58" s="50" t="n">
        <f aca="false">IF($A58&lt;1900,0,IF(N58&lt;=O58,1,0))</f>
        <v>0</v>
      </c>
      <c r="Z58" s="50" t="n">
        <f aca="false">IF($A58&lt;1900,0,IF(P58&lt;=Q58,1,0))</f>
        <v>0</v>
      </c>
      <c r="AA58" s="50" t="n">
        <f aca="false">IF($A58&lt;1900,0,IF(R58&gt;=S58,1,0))</f>
        <v>0</v>
      </c>
      <c r="AB58" s="50" t="n">
        <f aca="false">IF(SUM(U58:Y58)=5,1,0)</f>
        <v>0</v>
      </c>
      <c r="AC58" s="50" t="n">
        <f aca="false">IF(Z58+AA58=2,1,0)</f>
        <v>0</v>
      </c>
      <c r="AD58" s="50" t="n">
        <f aca="false">IF(AND(AB58=1,AC58=1),1,0)</f>
        <v>0</v>
      </c>
      <c r="AE58" s="50" t="n">
        <f aca="false">IF(AD58=1,AE57+1,0)</f>
        <v>0</v>
      </c>
      <c r="AF58" s="50" t="n">
        <f aca="false">IF(AE57&gt;=gulf_years_req,1,0)</f>
        <v>0</v>
      </c>
    </row>
    <row r="59" customFormat="false" ht="14.25" hidden="false" customHeight="false" outlineLevel="0" collapsed="false">
      <c r="A59" s="61" t="n">
        <v>1899</v>
      </c>
      <c r="B59" s="48" t="n">
        <v>0</v>
      </c>
      <c r="C59" s="71" t="n">
        <v>0</v>
      </c>
      <c r="D59" s="50" t="n">
        <f aca="false">Partners!Q59*(1-IF(AND(OR(oil_compact=0,$A59&lt;compact_year),OR($A59=1931,$A59=1932)),gulf_glut_gdp,0))</f>
        <v>0</v>
      </c>
      <c r="E59" s="50" t="n">
        <f aca="false">IF(AND(gulf_on=1,$A59&gt;=gulf_year),1,0)</f>
        <v>0</v>
      </c>
      <c r="F59" s="48" t="n">
        <v>0</v>
      </c>
      <c r="G59" s="48"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50" t="n">
        <f aca="false">IF($A59&lt;1900,0,IF(F59&lt;=G59,1,0))</f>
        <v>0</v>
      </c>
      <c r="V59" s="50" t="n">
        <f aca="false">IF($A59&lt;1900,0,IF(H59&gt;=I59,1,0))</f>
        <v>0</v>
      </c>
      <c r="W59" s="50" t="n">
        <f aca="false">IF($A59&lt;1900,0,IF(T59&gt;=K59,1,0))</f>
        <v>0</v>
      </c>
      <c r="X59" s="50" t="n">
        <f aca="false">IF($A59&lt;1900,0,IF(L59&lt;=M59,1,0))</f>
        <v>0</v>
      </c>
      <c r="Y59" s="50" t="n">
        <f aca="false">IF($A59&lt;1900,0,IF(N59&lt;=O59,1,0))</f>
        <v>0</v>
      </c>
      <c r="Z59" s="50" t="n">
        <f aca="false">IF($A59&lt;1900,0,IF(P59&lt;=Q59,1,0))</f>
        <v>0</v>
      </c>
      <c r="AA59" s="50" t="n">
        <f aca="false">IF($A59&lt;1900,0,IF(R59&gt;=S59,1,0))</f>
        <v>0</v>
      </c>
      <c r="AB59" s="50" t="n">
        <f aca="false">IF(SUM(U59:Y59)=5,1,0)</f>
        <v>0</v>
      </c>
      <c r="AC59" s="50" t="n">
        <f aca="false">IF(Z59+AA59=2,1,0)</f>
        <v>0</v>
      </c>
      <c r="AD59" s="50" t="n">
        <f aca="false">IF(AND(AB59=1,AC59=1),1,0)</f>
        <v>0</v>
      </c>
      <c r="AE59" s="50" t="n">
        <f aca="false">IF(AD59=1,AE58+1,0)</f>
        <v>0</v>
      </c>
      <c r="AF59" s="50" t="n">
        <f aca="false">IF(AE58&gt;=gulf_years_req,1,0)</f>
        <v>0</v>
      </c>
    </row>
    <row r="60" customFormat="false" ht="14.25" hidden="false" customHeight="false" outlineLevel="0" collapsed="false">
      <c r="A60" s="61" t="n">
        <v>1900</v>
      </c>
      <c r="B60" s="48" t="n">
        <v>6100000</v>
      </c>
      <c r="C60" s="71" t="n">
        <v>0.58</v>
      </c>
      <c r="D60" s="50" t="n">
        <f aca="false">Partners!Q60*(1-IF(AND(OR(oil_compact=0,$A60&lt;compact_year),OR($A60=1931,$A60=1932)),gulf_glut_gdp,0))</f>
        <v>870.348</v>
      </c>
      <c r="E60" s="50" t="n">
        <f aca="false">IF(AND(gulf_on=1,$A60&gt;=gulf_year),1,0)</f>
        <v>0</v>
      </c>
      <c r="F60" s="48" t="n">
        <v>175</v>
      </c>
      <c r="G60" s="48"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50" t="n">
        <f aca="false">IF($A60&lt;1900,0,IF(F60&lt;=G60,1,0))</f>
        <v>0</v>
      </c>
      <c r="V60" s="50" t="n">
        <f aca="false">IF($A60&lt;1900,0,IF(H60&gt;=I60,1,0))</f>
        <v>0</v>
      </c>
      <c r="W60" s="50" t="n">
        <f aca="false">IF($A60&lt;1900,0,IF(T60&gt;=K60,1,0))</f>
        <v>0</v>
      </c>
      <c r="X60" s="50" t="n">
        <f aca="false">IF($A60&lt;1900,0,IF(L60&lt;=M60,1,0))</f>
        <v>0</v>
      </c>
      <c r="Y60" s="50" t="n">
        <f aca="false">IF($A60&lt;1900,0,IF(N60&lt;=O60,1,0))</f>
        <v>0</v>
      </c>
      <c r="Z60" s="50" t="n">
        <f aca="false">IF($A60&lt;1900,0,IF(P60&lt;=Q60,1,0))</f>
        <v>0</v>
      </c>
      <c r="AA60" s="50" t="n">
        <f aca="false">IF($A60&lt;1900,0,IF(R60&gt;=S60,1,0))</f>
        <v>0</v>
      </c>
      <c r="AB60" s="50" t="n">
        <f aca="false">IF(SUM(U60:Y60)=5,1,0)</f>
        <v>0</v>
      </c>
      <c r="AC60" s="50" t="n">
        <f aca="false">IF(Z60+AA60=2,1,0)</f>
        <v>0</v>
      </c>
      <c r="AD60" s="50" t="n">
        <f aca="false">IF(AND(AB60=1,AC60=1),1,0)</f>
        <v>0</v>
      </c>
      <c r="AE60" s="50" t="n">
        <f aca="false">IF(AD60=1,AE59+1,0)</f>
        <v>0</v>
      </c>
      <c r="AF60" s="50" t="n">
        <f aca="false">IF(AE59&gt;=gulf_years_req,1,0)</f>
        <v>0</v>
      </c>
    </row>
    <row r="61" customFormat="false" ht="14.25" hidden="false" customHeight="false" outlineLevel="0" collapsed="false">
      <c r="A61" s="61" t="n">
        <v>1901</v>
      </c>
      <c r="B61" s="48" t="n">
        <v>6290000</v>
      </c>
      <c r="C61" s="71" t="n">
        <v>0.583</v>
      </c>
      <c r="D61" s="50" t="n">
        <f aca="false">Partners!Q61*(1-IF(AND(OR(oil_compact=0,$A61&lt;compact_year),OR($A61=1931,$A61=1932)),gulf_glut_gdp,0))</f>
        <v>941.006635876144</v>
      </c>
      <c r="E61" s="50" t="n">
        <f aca="false">IF(AND(gulf_on=1,$A61&gt;=gulf_year),1,0)</f>
        <v>0</v>
      </c>
      <c r="F61" s="48" t="n">
        <v>175</v>
      </c>
      <c r="G61" s="48"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50" t="n">
        <f aca="false">IF($A61&lt;1900,0,IF(F61&lt;=G61,1,0))</f>
        <v>0</v>
      </c>
      <c r="V61" s="50" t="n">
        <f aca="false">IF($A61&lt;1900,0,IF(H61&gt;=I61,1,0))</f>
        <v>0</v>
      </c>
      <c r="W61" s="50" t="n">
        <f aca="false">IF($A61&lt;1900,0,IF(T61&gt;=K61,1,0))</f>
        <v>0</v>
      </c>
      <c r="X61" s="50" t="n">
        <f aca="false">IF($A61&lt;1900,0,IF(L61&lt;=M61,1,0))</f>
        <v>0</v>
      </c>
      <c r="Y61" s="50" t="n">
        <f aca="false">IF($A61&lt;1900,0,IF(N61&lt;=O61,1,0))</f>
        <v>0</v>
      </c>
      <c r="Z61" s="50" t="n">
        <f aca="false">IF($A61&lt;1900,0,IF(P61&lt;=Q61,1,0))</f>
        <v>0</v>
      </c>
      <c r="AA61" s="50" t="n">
        <f aca="false">IF($A61&lt;1900,0,IF(R61&gt;=S61,1,0))</f>
        <v>0</v>
      </c>
      <c r="AB61" s="50" t="n">
        <f aca="false">IF(SUM(U61:Y61)=5,1,0)</f>
        <v>0</v>
      </c>
      <c r="AC61" s="50" t="n">
        <f aca="false">IF(Z61+AA61=2,1,0)</f>
        <v>0</v>
      </c>
      <c r="AD61" s="50" t="n">
        <f aca="false">IF(AND(AB61=1,AC61=1),1,0)</f>
        <v>0</v>
      </c>
      <c r="AE61" s="50" t="n">
        <f aca="false">IF(AD61=1,AE60+1,0)</f>
        <v>0</v>
      </c>
      <c r="AF61" s="50" t="n">
        <f aca="false">IF(AE60&gt;=gulf_years_req,1,0)</f>
        <v>0</v>
      </c>
    </row>
    <row r="62" customFormat="false" ht="14.25" hidden="false" customHeight="false" outlineLevel="0" collapsed="false">
      <c r="A62" s="61" t="n">
        <v>1902</v>
      </c>
      <c r="B62" s="48" t="n">
        <v>6480000</v>
      </c>
      <c r="C62" s="71" t="n">
        <v>0.586</v>
      </c>
      <c r="D62" s="50" t="n">
        <f aca="false">Partners!Q62*(1-IF(AND(OR(oil_compact=0,$A62&lt;compact_year),OR($A62=1931,$A62=1932)),gulf_glut_gdp,0))</f>
        <v>1015.27917807888</v>
      </c>
      <c r="E62" s="50" t="n">
        <f aca="false">IF(AND(gulf_on=1,$A62&gt;=gulf_year),1,0)</f>
        <v>0</v>
      </c>
      <c r="F62" s="48" t="n">
        <v>175</v>
      </c>
      <c r="G62" s="48"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50" t="n">
        <f aca="false">IF($A62&lt;1900,0,IF(F62&lt;=G62,1,0))</f>
        <v>0</v>
      </c>
      <c r="V62" s="50" t="n">
        <f aca="false">IF($A62&lt;1900,0,IF(H62&gt;=I62,1,0))</f>
        <v>0</v>
      </c>
      <c r="W62" s="50" t="n">
        <f aca="false">IF($A62&lt;1900,0,IF(T62&gt;=K62,1,0))</f>
        <v>0</v>
      </c>
      <c r="X62" s="50" t="n">
        <f aca="false">IF($A62&lt;1900,0,IF(L62&lt;=M62,1,0))</f>
        <v>0</v>
      </c>
      <c r="Y62" s="50" t="n">
        <f aca="false">IF($A62&lt;1900,0,IF(N62&lt;=O62,1,0))</f>
        <v>0</v>
      </c>
      <c r="Z62" s="50" t="n">
        <f aca="false">IF($A62&lt;1900,0,IF(P62&lt;=Q62,1,0))</f>
        <v>0</v>
      </c>
      <c r="AA62" s="50" t="n">
        <f aca="false">IF($A62&lt;1900,0,IF(R62&gt;=S62,1,0))</f>
        <v>0</v>
      </c>
      <c r="AB62" s="50" t="n">
        <f aca="false">IF(SUM(U62:Y62)=5,1,0)</f>
        <v>0</v>
      </c>
      <c r="AC62" s="50" t="n">
        <f aca="false">IF(Z62+AA62=2,1,0)</f>
        <v>0</v>
      </c>
      <c r="AD62" s="50" t="n">
        <f aca="false">IF(AND(AB62=1,AC62=1),1,0)</f>
        <v>0</v>
      </c>
      <c r="AE62" s="50" t="n">
        <f aca="false">IF(AD62=1,AE61+1,0)</f>
        <v>0</v>
      </c>
      <c r="AF62" s="50" t="n">
        <f aca="false">IF(AE61&gt;=gulf_years_req,1,0)</f>
        <v>0</v>
      </c>
    </row>
    <row r="63" customFormat="false" ht="14.25" hidden="false" customHeight="false" outlineLevel="0" collapsed="false">
      <c r="A63" s="61" t="n">
        <v>1903</v>
      </c>
      <c r="B63" s="48" t="n">
        <v>6670000</v>
      </c>
      <c r="C63" s="71" t="n">
        <v>0.589</v>
      </c>
      <c r="D63" s="50" t="n">
        <f aca="false">Partners!Q63*(1-IF(AND(OR(oil_compact=0,$A63&lt;compact_year),OR($A63=1931,$A63=1932)),gulf_glut_gdp,0))</f>
        <v>1089.28921064774</v>
      </c>
      <c r="E63" s="50" t="n">
        <f aca="false">IF(AND(gulf_on=1,$A63&gt;=gulf_year),1,0)</f>
        <v>0</v>
      </c>
      <c r="F63" s="48" t="n">
        <v>175</v>
      </c>
      <c r="G63" s="48"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50" t="n">
        <f aca="false">IF($A63&lt;1900,0,IF(F63&lt;=G63,1,0))</f>
        <v>0</v>
      </c>
      <c r="V63" s="50" t="n">
        <f aca="false">IF($A63&lt;1900,0,IF(H63&gt;=I63,1,0))</f>
        <v>0</v>
      </c>
      <c r="W63" s="50" t="n">
        <f aca="false">IF($A63&lt;1900,0,IF(T63&gt;=K63,1,0))</f>
        <v>0</v>
      </c>
      <c r="X63" s="50" t="n">
        <f aca="false">IF($A63&lt;1900,0,IF(L63&lt;=M63,1,0))</f>
        <v>0</v>
      </c>
      <c r="Y63" s="50" t="n">
        <f aca="false">IF($A63&lt;1900,0,IF(N63&lt;=O63,1,0))</f>
        <v>0</v>
      </c>
      <c r="Z63" s="50" t="n">
        <f aca="false">IF($A63&lt;1900,0,IF(P63&lt;=Q63,1,0))</f>
        <v>0</v>
      </c>
      <c r="AA63" s="50" t="n">
        <f aca="false">IF($A63&lt;1900,0,IF(R63&gt;=S63,1,0))</f>
        <v>0</v>
      </c>
      <c r="AB63" s="50" t="n">
        <f aca="false">IF(SUM(U63:Y63)=5,1,0)</f>
        <v>0</v>
      </c>
      <c r="AC63" s="50" t="n">
        <f aca="false">IF(Z63+AA63=2,1,0)</f>
        <v>0</v>
      </c>
      <c r="AD63" s="50" t="n">
        <f aca="false">IF(AND(AB63=1,AC63=1),1,0)</f>
        <v>0</v>
      </c>
      <c r="AE63" s="50" t="n">
        <f aca="false">IF(AD63=1,AE62+1,0)</f>
        <v>0</v>
      </c>
      <c r="AF63" s="50" t="n">
        <f aca="false">IF(AE62&gt;=gulf_years_req,1,0)</f>
        <v>0</v>
      </c>
    </row>
    <row r="64" customFormat="false" ht="14.25" hidden="false" customHeight="false" outlineLevel="0" collapsed="false">
      <c r="A64" s="61" t="n">
        <v>1904</v>
      </c>
      <c r="B64" s="48" t="n">
        <v>6860000</v>
      </c>
      <c r="C64" s="71" t="n">
        <v>0.592</v>
      </c>
      <c r="D64" s="50" t="n">
        <f aca="false">Partners!Q64*(1-IF(AND(OR(oil_compact=0,$A64&lt;compact_year),OR($A64=1931,$A64=1932)),gulf_glut_gdp,0))</f>
        <v>1171.01573075509</v>
      </c>
      <c r="E64" s="50" t="n">
        <f aca="false">IF(AND(gulf_on=1,$A64&gt;=gulf_year),1,0)</f>
        <v>0</v>
      </c>
      <c r="F64" s="48" t="n">
        <v>182.5</v>
      </c>
      <c r="G64" s="48"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50" t="n">
        <f aca="false">IF($A64&lt;1900,0,IF(F64&lt;=G64,1,0))</f>
        <v>0</v>
      </c>
      <c r="V64" s="50" t="n">
        <f aca="false">IF($A64&lt;1900,0,IF(H64&gt;=I64,1,0))</f>
        <v>0</v>
      </c>
      <c r="W64" s="50" t="n">
        <f aca="false">IF($A64&lt;1900,0,IF(T64&gt;=K64,1,0))</f>
        <v>0</v>
      </c>
      <c r="X64" s="50" t="n">
        <f aca="false">IF($A64&lt;1900,0,IF(L64&lt;=M64,1,0))</f>
        <v>0</v>
      </c>
      <c r="Y64" s="50" t="n">
        <f aca="false">IF($A64&lt;1900,0,IF(N64&lt;=O64,1,0))</f>
        <v>0</v>
      </c>
      <c r="Z64" s="50" t="n">
        <f aca="false">IF($A64&lt;1900,0,IF(P64&lt;=Q64,1,0))</f>
        <v>0</v>
      </c>
      <c r="AA64" s="50" t="n">
        <f aca="false">IF($A64&lt;1900,0,IF(R64&gt;=S64,1,0))</f>
        <v>0</v>
      </c>
      <c r="AB64" s="50" t="n">
        <f aca="false">IF(SUM(U64:Y64)=5,1,0)</f>
        <v>0</v>
      </c>
      <c r="AC64" s="50" t="n">
        <f aca="false">IF(Z64+AA64=2,1,0)</f>
        <v>0</v>
      </c>
      <c r="AD64" s="50" t="n">
        <f aca="false">IF(AND(AB64=1,AC64=1),1,0)</f>
        <v>0</v>
      </c>
      <c r="AE64" s="50" t="n">
        <f aca="false">IF(AD64=1,AE63+1,0)</f>
        <v>0</v>
      </c>
      <c r="AF64" s="50" t="n">
        <f aca="false">IF(AE63&gt;=gulf_years_req,1,0)</f>
        <v>0</v>
      </c>
    </row>
    <row r="65" customFormat="false" ht="14.25" hidden="false" customHeight="false" outlineLevel="0" collapsed="false">
      <c r="A65" s="61" t="n">
        <v>1905</v>
      </c>
      <c r="B65" s="48" t="n">
        <v>7050000</v>
      </c>
      <c r="C65" s="71" t="n">
        <v>0.595</v>
      </c>
      <c r="D65" s="50" t="n">
        <f aca="false">Partners!Q65*(1-IF(AND(OR(oil_compact=0,$A65&lt;compact_year),OR($A65=1931,$A65=1932)),gulf_glut_gdp,0))</f>
        <v>1256.729082964</v>
      </c>
      <c r="E65" s="50" t="n">
        <f aca="false">IF(AND(gulf_on=1,$A65&gt;=gulf_year),1,0)</f>
        <v>0</v>
      </c>
      <c r="F65" s="48" t="n">
        <v>190</v>
      </c>
      <c r="G65" s="48"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50" t="n">
        <f aca="false">IF($A65&lt;1900,0,IF(F65&lt;=G65,1,0))</f>
        <v>0</v>
      </c>
      <c r="V65" s="50" t="n">
        <f aca="false">IF($A65&lt;1900,0,IF(H65&gt;=I65,1,0))</f>
        <v>0</v>
      </c>
      <c r="W65" s="50" t="n">
        <f aca="false">IF($A65&lt;1900,0,IF(T65&gt;=K65,1,0))</f>
        <v>0</v>
      </c>
      <c r="X65" s="50" t="n">
        <f aca="false">IF($A65&lt;1900,0,IF(L65&lt;=M65,1,0))</f>
        <v>0</v>
      </c>
      <c r="Y65" s="50" t="n">
        <f aca="false">IF($A65&lt;1900,0,IF(N65&lt;=O65,1,0))</f>
        <v>0</v>
      </c>
      <c r="Z65" s="50" t="n">
        <f aca="false">IF($A65&lt;1900,0,IF(P65&lt;=Q65,1,0))</f>
        <v>0</v>
      </c>
      <c r="AA65" s="50" t="n">
        <f aca="false">IF($A65&lt;1900,0,IF(R65&gt;=S65,1,0))</f>
        <v>0</v>
      </c>
      <c r="AB65" s="50" t="n">
        <f aca="false">IF(SUM(U65:Y65)=5,1,0)</f>
        <v>0</v>
      </c>
      <c r="AC65" s="50" t="n">
        <f aca="false">IF(Z65+AA65=2,1,0)</f>
        <v>0</v>
      </c>
      <c r="AD65" s="50" t="n">
        <f aca="false">IF(AND(AB65=1,AC65=1),1,0)</f>
        <v>0</v>
      </c>
      <c r="AE65" s="50" t="n">
        <f aca="false">IF(AD65=1,AE64+1,0)</f>
        <v>0</v>
      </c>
      <c r="AF65" s="50" t="n">
        <f aca="false">IF(AE64&gt;=gulf_years_req,1,0)</f>
        <v>0</v>
      </c>
    </row>
    <row r="66" customFormat="false" ht="14.25" hidden="false" customHeight="false" outlineLevel="0" collapsed="false">
      <c r="A66" s="61" t="n">
        <v>1906</v>
      </c>
      <c r="B66" s="48" t="n">
        <v>7240000</v>
      </c>
      <c r="C66" s="71" t="n">
        <v>0.598</v>
      </c>
      <c r="D66" s="50" t="n">
        <f aca="false">Partners!Q66*(1-IF(AND(OR(oil_compact=0,$A66&lt;compact_year),OR($A66=1931,$A66=1932)),gulf_glut_gdp,0))</f>
        <v>1373.54613232791</v>
      </c>
      <c r="E66" s="50" t="n">
        <f aca="false">IF(AND(gulf_on=1,$A66&gt;=gulf_year),1,0)</f>
        <v>0</v>
      </c>
      <c r="F66" s="48" t="n">
        <v>184</v>
      </c>
      <c r="G66" s="48"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50" t="n">
        <f aca="false">IF($A66&lt;1900,0,IF(F66&lt;=G66,1,0))</f>
        <v>0</v>
      </c>
      <c r="V66" s="50" t="n">
        <f aca="false">IF($A66&lt;1900,0,IF(H66&gt;=I66,1,0))</f>
        <v>0</v>
      </c>
      <c r="W66" s="50" t="n">
        <f aca="false">IF($A66&lt;1900,0,IF(T66&gt;=K66,1,0))</f>
        <v>0</v>
      </c>
      <c r="X66" s="50" t="n">
        <f aca="false">IF($A66&lt;1900,0,IF(L66&lt;=M66,1,0))</f>
        <v>0</v>
      </c>
      <c r="Y66" s="50" t="n">
        <f aca="false">IF($A66&lt;1900,0,IF(N66&lt;=O66,1,0))</f>
        <v>0</v>
      </c>
      <c r="Z66" s="50" t="n">
        <f aca="false">IF($A66&lt;1900,0,IF(P66&lt;=Q66,1,0))</f>
        <v>0</v>
      </c>
      <c r="AA66" s="50" t="n">
        <f aca="false">IF($A66&lt;1900,0,IF(R66&gt;=S66,1,0))</f>
        <v>0</v>
      </c>
      <c r="AB66" s="50" t="n">
        <f aca="false">IF(SUM(U66:Y66)=5,1,0)</f>
        <v>0</v>
      </c>
      <c r="AC66" s="50" t="n">
        <f aca="false">IF(Z66+AA66=2,1,0)</f>
        <v>0</v>
      </c>
      <c r="AD66" s="50" t="n">
        <f aca="false">IF(AND(AB66=1,AC66=1),1,0)</f>
        <v>0</v>
      </c>
      <c r="AE66" s="50" t="n">
        <f aca="false">IF(AD66=1,AE65+1,0)</f>
        <v>0</v>
      </c>
      <c r="AF66" s="50" t="n">
        <f aca="false">IF(AE65&gt;=gulf_years_req,1,0)</f>
        <v>0</v>
      </c>
    </row>
    <row r="67" customFormat="false" ht="14.25" hidden="false" customHeight="false" outlineLevel="0" collapsed="false">
      <c r="A67" s="61" t="n">
        <v>1907</v>
      </c>
      <c r="B67" s="48" t="n">
        <v>7430000</v>
      </c>
      <c r="C67" s="71" t="n">
        <v>0.602</v>
      </c>
      <c r="D67" s="50" t="n">
        <f aca="false">Partners!Q67*(1-IF(AND(OR(oil_compact=0,$A67&lt;compact_year),OR($A67=1931,$A67=1932)),gulf_glut_gdp,0))</f>
        <v>1494.43049215798</v>
      </c>
      <c r="E67" s="50" t="n">
        <f aca="false">IF(AND(gulf_on=1,$A67&gt;=gulf_year),1,0)</f>
        <v>0</v>
      </c>
      <c r="F67" s="48" t="n">
        <v>178</v>
      </c>
      <c r="G67" s="48"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50" t="n">
        <f aca="false">IF($A67&lt;1900,0,IF(F67&lt;=G67,1,0))</f>
        <v>0</v>
      </c>
      <c r="V67" s="50" t="n">
        <f aca="false">IF($A67&lt;1900,0,IF(H67&gt;=I67,1,0))</f>
        <v>0</v>
      </c>
      <c r="W67" s="50" t="n">
        <f aca="false">IF($A67&lt;1900,0,IF(T67&gt;=K67,1,0))</f>
        <v>0</v>
      </c>
      <c r="X67" s="50" t="n">
        <f aca="false">IF($A67&lt;1900,0,IF(L67&lt;=M67,1,0))</f>
        <v>0</v>
      </c>
      <c r="Y67" s="50" t="n">
        <f aca="false">IF($A67&lt;1900,0,IF(N67&lt;=O67,1,0))</f>
        <v>0</v>
      </c>
      <c r="Z67" s="50" t="n">
        <f aca="false">IF($A67&lt;1900,0,IF(P67&lt;=Q67,1,0))</f>
        <v>0</v>
      </c>
      <c r="AA67" s="50" t="n">
        <f aca="false">IF($A67&lt;1900,0,IF(R67&gt;=S67,1,0))</f>
        <v>0</v>
      </c>
      <c r="AB67" s="50" t="n">
        <f aca="false">IF(SUM(U67:Y67)=5,1,0)</f>
        <v>0</v>
      </c>
      <c r="AC67" s="50" t="n">
        <f aca="false">IF(Z67+AA67=2,1,0)</f>
        <v>0</v>
      </c>
      <c r="AD67" s="50" t="n">
        <f aca="false">IF(AND(AB67=1,AC67=1),1,0)</f>
        <v>0</v>
      </c>
      <c r="AE67" s="50" t="n">
        <f aca="false">IF(AD67=1,AE66+1,0)</f>
        <v>0</v>
      </c>
      <c r="AF67" s="50" t="n">
        <f aca="false">IF(AE66&gt;=gulf_years_req,1,0)</f>
        <v>0</v>
      </c>
    </row>
    <row r="68" customFormat="false" ht="14.25" hidden="false" customHeight="false" outlineLevel="0" collapsed="false">
      <c r="A68" s="61" t="n">
        <v>1908</v>
      </c>
      <c r="B68" s="48" t="n">
        <v>7620000</v>
      </c>
      <c r="C68" s="71" t="n">
        <v>0.605</v>
      </c>
      <c r="D68" s="50" t="n">
        <f aca="false">Partners!Q68*(1-IF(AND(OR(oil_compact=0,$A68&lt;compact_year),OR($A68=1931,$A68=1932)),gulf_glut_gdp,0))</f>
        <v>1623.86117157934</v>
      </c>
      <c r="E68" s="50" t="n">
        <f aca="false">IF(AND(gulf_on=1,$A68&gt;=gulf_year),1,0)</f>
        <v>0</v>
      </c>
      <c r="F68" s="48" t="n">
        <v>172</v>
      </c>
      <c r="G68" s="48"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50" t="n">
        <f aca="false">IF($A68&lt;1900,0,IF(F68&lt;=G68,1,0))</f>
        <v>0</v>
      </c>
      <c r="V68" s="50" t="n">
        <f aca="false">IF($A68&lt;1900,0,IF(H68&gt;=I68,1,0))</f>
        <v>0</v>
      </c>
      <c r="W68" s="50" t="n">
        <f aca="false">IF($A68&lt;1900,0,IF(T68&gt;=K68,1,0))</f>
        <v>0</v>
      </c>
      <c r="X68" s="50" t="n">
        <f aca="false">IF($A68&lt;1900,0,IF(L68&lt;=M68,1,0))</f>
        <v>0</v>
      </c>
      <c r="Y68" s="50" t="n">
        <f aca="false">IF($A68&lt;1900,0,IF(N68&lt;=O68,1,0))</f>
        <v>0</v>
      </c>
      <c r="Z68" s="50" t="n">
        <f aca="false">IF($A68&lt;1900,0,IF(P68&lt;=Q68,1,0))</f>
        <v>0</v>
      </c>
      <c r="AA68" s="50" t="n">
        <f aca="false">IF($A68&lt;1900,0,IF(R68&gt;=S68,1,0))</f>
        <v>0</v>
      </c>
      <c r="AB68" s="50" t="n">
        <f aca="false">IF(SUM(U68:Y68)=5,1,0)</f>
        <v>0</v>
      </c>
      <c r="AC68" s="50" t="n">
        <f aca="false">IF(Z68+AA68=2,1,0)</f>
        <v>0</v>
      </c>
      <c r="AD68" s="50" t="n">
        <f aca="false">IF(AND(AB68=1,AC68=1),1,0)</f>
        <v>0</v>
      </c>
      <c r="AE68" s="50" t="n">
        <f aca="false">IF(AD68=1,AE67+1,0)</f>
        <v>0</v>
      </c>
      <c r="AF68" s="50" t="n">
        <f aca="false">IF(AE67&gt;=gulf_years_req,1,0)</f>
        <v>0</v>
      </c>
    </row>
    <row r="69" customFormat="false" ht="14.25" hidden="false" customHeight="false" outlineLevel="0" collapsed="false">
      <c r="A69" s="61" t="n">
        <v>1909</v>
      </c>
      <c r="B69" s="48" t="n">
        <v>7810000</v>
      </c>
      <c r="C69" s="71" t="n">
        <v>0.608</v>
      </c>
      <c r="D69" s="50" t="n">
        <f aca="false">Partners!Q69*(1-IF(AND(OR(oil_compact=0,$A69&lt;compact_year),OR($A69=1931,$A69=1932)),gulf_glut_gdp,0))</f>
        <v>1754.53537492232</v>
      </c>
      <c r="E69" s="50" t="n">
        <f aca="false">IF(AND(gulf_on=1,$A69&gt;=gulf_year),1,0)</f>
        <v>0</v>
      </c>
      <c r="F69" s="48" t="n">
        <v>166</v>
      </c>
      <c r="G69" s="48"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50" t="n">
        <f aca="false">IF($A69&lt;1900,0,IF(F69&lt;=G69,1,0))</f>
        <v>0</v>
      </c>
      <c r="V69" s="50" t="n">
        <f aca="false">IF($A69&lt;1900,0,IF(H69&gt;=I69,1,0))</f>
        <v>0</v>
      </c>
      <c r="W69" s="50" t="n">
        <f aca="false">IF($A69&lt;1900,0,IF(T69&gt;=K69,1,0))</f>
        <v>0</v>
      </c>
      <c r="X69" s="50" t="n">
        <f aca="false">IF($A69&lt;1900,0,IF(L69&lt;=M69,1,0))</f>
        <v>0</v>
      </c>
      <c r="Y69" s="50" t="n">
        <f aca="false">IF($A69&lt;1900,0,IF(N69&lt;=O69,1,0))</f>
        <v>0</v>
      </c>
      <c r="Z69" s="50" t="n">
        <f aca="false">IF($A69&lt;1900,0,IF(P69&lt;=Q69,1,0))</f>
        <v>0</v>
      </c>
      <c r="AA69" s="50" t="n">
        <f aca="false">IF($A69&lt;1900,0,IF(R69&gt;=S69,1,0))</f>
        <v>0</v>
      </c>
      <c r="AB69" s="50" t="n">
        <f aca="false">IF(SUM(U69:Y69)=5,1,0)</f>
        <v>0</v>
      </c>
      <c r="AC69" s="50" t="n">
        <f aca="false">IF(Z69+AA69=2,1,0)</f>
        <v>0</v>
      </c>
      <c r="AD69" s="50" t="n">
        <f aca="false">IF(AND(AB69=1,AC69=1),1,0)</f>
        <v>0</v>
      </c>
      <c r="AE69" s="50" t="n">
        <f aca="false">IF(AD69=1,AE68+1,0)</f>
        <v>0</v>
      </c>
      <c r="AF69" s="50" t="n">
        <f aca="false">IF(AE68&gt;=gulf_years_req,1,0)</f>
        <v>0</v>
      </c>
    </row>
    <row r="70" customFormat="false" ht="14.25" hidden="false" customHeight="false" outlineLevel="0" collapsed="false">
      <c r="A70" s="61" t="n">
        <v>1910</v>
      </c>
      <c r="B70" s="48" t="n">
        <v>8000000</v>
      </c>
      <c r="C70" s="71" t="n">
        <v>0.611</v>
      </c>
      <c r="D70" s="50" t="n">
        <f aca="false">Partners!Q70*(1-IF(AND(OR(oil_compact=0,$A70&lt;compact_year),OR($A70=1931,$A70=1932)),gulf_glut_gdp,0))</f>
        <v>1897.45768903725</v>
      </c>
      <c r="E70" s="50" t="n">
        <f aca="false">IF(AND(gulf_on=1,$A70&gt;=gulf_year),1,0)</f>
        <v>0</v>
      </c>
      <c r="F70" s="48" t="n">
        <v>160</v>
      </c>
      <c r="G70" s="48"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50" t="n">
        <f aca="false">IF($A70&lt;1900,0,IF(F70&lt;=G70,1,0))</f>
        <v>0</v>
      </c>
      <c r="V70" s="50" t="n">
        <f aca="false">IF($A70&lt;1900,0,IF(H70&gt;=I70,1,0))</f>
        <v>1</v>
      </c>
      <c r="W70" s="50" t="n">
        <f aca="false">IF($A70&lt;1900,0,IF(T70&gt;=K70,1,0))</f>
        <v>0</v>
      </c>
      <c r="X70" s="50" t="n">
        <f aca="false">IF($A70&lt;1900,0,IF(L70&lt;=M70,1,0))</f>
        <v>0</v>
      </c>
      <c r="Y70" s="50" t="n">
        <f aca="false">IF($A70&lt;1900,0,IF(N70&lt;=O70,1,0))</f>
        <v>0</v>
      </c>
      <c r="Z70" s="50" t="n">
        <f aca="false">IF($A70&lt;1900,0,IF(P70&lt;=Q70,1,0))</f>
        <v>0</v>
      </c>
      <c r="AA70" s="50" t="n">
        <f aca="false">IF($A70&lt;1900,0,IF(R70&gt;=S70,1,0))</f>
        <v>0</v>
      </c>
      <c r="AB70" s="50" t="n">
        <f aca="false">IF(SUM(U70:Y70)=5,1,0)</f>
        <v>0</v>
      </c>
      <c r="AC70" s="50" t="n">
        <f aca="false">IF(Z70+AA70=2,1,0)</f>
        <v>0</v>
      </c>
      <c r="AD70" s="50" t="n">
        <f aca="false">IF(AND(AB70=1,AC70=1),1,0)</f>
        <v>0</v>
      </c>
      <c r="AE70" s="50" t="n">
        <f aca="false">IF(AD70=1,AE69+1,0)</f>
        <v>0</v>
      </c>
      <c r="AF70" s="50" t="n">
        <f aca="false">IF(AE69&gt;=gulf_years_req,1,0)</f>
        <v>0</v>
      </c>
    </row>
    <row r="71" customFormat="false" ht="14.25" hidden="false" customHeight="false" outlineLevel="0" collapsed="false">
      <c r="A71" s="61" t="n">
        <v>1911</v>
      </c>
      <c r="B71" s="48" t="n">
        <v>8140000</v>
      </c>
      <c r="C71" s="71" t="n">
        <v>0.614</v>
      </c>
      <c r="D71" s="50" t="n">
        <f aca="false">Partners!Q71*(1-IF(AND(OR(oil_compact=0,$A71&lt;compact_year),OR($A71=1931,$A71=1932)),gulf_glut_gdp,0))</f>
        <v>2024.24192890368</v>
      </c>
      <c r="E71" s="50" t="n">
        <f aca="false">IF(AND(gulf_on=1,$A71&gt;=gulf_year),1,0)</f>
        <v>0</v>
      </c>
      <c r="F71" s="48" t="n">
        <v>153.6</v>
      </c>
      <c r="G71" s="48"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50" t="n">
        <f aca="false">IF($A71&lt;1900,0,IF(F71&lt;=G71,1,0))</f>
        <v>0</v>
      </c>
      <c r="V71" s="50" t="n">
        <f aca="false">IF($A71&lt;1900,0,IF(H71&gt;=I71,1,0))</f>
        <v>1</v>
      </c>
      <c r="W71" s="50" t="n">
        <f aca="false">IF($A71&lt;1900,0,IF(T71&gt;=K71,1,0))</f>
        <v>0</v>
      </c>
      <c r="X71" s="50" t="n">
        <f aca="false">IF($A71&lt;1900,0,IF(L71&lt;=M71,1,0))</f>
        <v>0</v>
      </c>
      <c r="Y71" s="50" t="n">
        <f aca="false">IF($A71&lt;1900,0,IF(N71&lt;=O71,1,0))</f>
        <v>0</v>
      </c>
      <c r="Z71" s="50" t="n">
        <f aca="false">IF($A71&lt;1900,0,IF(P71&lt;=Q71,1,0))</f>
        <v>0</v>
      </c>
      <c r="AA71" s="50" t="n">
        <f aca="false">IF($A71&lt;1900,0,IF(R71&gt;=S71,1,0))</f>
        <v>0</v>
      </c>
      <c r="AB71" s="50" t="n">
        <f aca="false">IF(SUM(U71:Y71)=5,1,0)</f>
        <v>0</v>
      </c>
      <c r="AC71" s="50" t="n">
        <f aca="false">IF(Z71+AA71=2,1,0)</f>
        <v>0</v>
      </c>
      <c r="AD71" s="50" t="n">
        <f aca="false">IF(AND(AB71=1,AC71=1),1,0)</f>
        <v>0</v>
      </c>
      <c r="AE71" s="50" t="n">
        <f aca="false">IF(AD71=1,AE70+1,0)</f>
        <v>0</v>
      </c>
      <c r="AF71" s="50" t="n">
        <f aca="false">IF(AE70&gt;=gulf_years_req,1,0)</f>
        <v>0</v>
      </c>
    </row>
    <row r="72" customFormat="false" ht="14.25" hidden="false" customHeight="false" outlineLevel="0" collapsed="false">
      <c r="A72" s="61" t="n">
        <v>1912</v>
      </c>
      <c r="B72" s="48" t="n">
        <v>8280000</v>
      </c>
      <c r="C72" s="71" t="n">
        <v>0.617</v>
      </c>
      <c r="D72" s="50" t="n">
        <f aca="false">Partners!Q72*(1-IF(AND(OR(oil_compact=0,$A72&lt;compact_year),OR($A72=1931,$A72=1932)),gulf_glut_gdp,0))</f>
        <v>2161.97157591934</v>
      </c>
      <c r="E72" s="50" t="n">
        <f aca="false">IF(AND(gulf_on=1,$A72&gt;=gulf_year),1,0)</f>
        <v>0</v>
      </c>
      <c r="F72" s="48" t="n">
        <v>147.2</v>
      </c>
      <c r="G72" s="48"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50" t="n">
        <f aca="false">IF($A72&lt;1900,0,IF(F72&lt;=G72,1,0))</f>
        <v>0</v>
      </c>
      <c r="V72" s="50" t="n">
        <f aca="false">IF($A72&lt;1900,0,IF(H72&gt;=I72,1,0))</f>
        <v>1</v>
      </c>
      <c r="W72" s="50" t="n">
        <f aca="false">IF($A72&lt;1900,0,IF(T72&gt;=K72,1,0))</f>
        <v>0</v>
      </c>
      <c r="X72" s="50" t="n">
        <f aca="false">IF($A72&lt;1900,0,IF(L72&lt;=M72,1,0))</f>
        <v>0</v>
      </c>
      <c r="Y72" s="50" t="n">
        <f aca="false">IF($A72&lt;1900,0,IF(N72&lt;=O72,1,0))</f>
        <v>0</v>
      </c>
      <c r="Z72" s="50" t="n">
        <f aca="false">IF($A72&lt;1900,0,IF(P72&lt;=Q72,1,0))</f>
        <v>0</v>
      </c>
      <c r="AA72" s="50" t="n">
        <f aca="false">IF($A72&lt;1900,0,IF(R72&gt;=S72,1,0))</f>
        <v>0</v>
      </c>
      <c r="AB72" s="50" t="n">
        <f aca="false">IF(SUM(U72:Y72)=5,1,0)</f>
        <v>0</v>
      </c>
      <c r="AC72" s="50" t="n">
        <f aca="false">IF(Z72+AA72=2,1,0)</f>
        <v>0</v>
      </c>
      <c r="AD72" s="50" t="n">
        <f aca="false">IF(AND(AB72=1,AC72=1),1,0)</f>
        <v>0</v>
      </c>
      <c r="AE72" s="50" t="n">
        <f aca="false">IF(AD72=1,AE71+1,0)</f>
        <v>0</v>
      </c>
      <c r="AF72" s="50" t="n">
        <f aca="false">IF(AE71&gt;=gulf_years_req,1,0)</f>
        <v>0</v>
      </c>
    </row>
    <row r="73" customFormat="false" ht="14.25" hidden="false" customHeight="false" outlineLevel="0" collapsed="false">
      <c r="A73" s="61" t="n">
        <v>1913</v>
      </c>
      <c r="B73" s="48" t="n">
        <v>8420000</v>
      </c>
      <c r="C73" s="71" t="n">
        <v>0.62</v>
      </c>
      <c r="D73" s="50" t="n">
        <f aca="false">Partners!Q73*(1-IF(AND(OR(oil_compact=0,$A73&lt;compact_year),OR($A73=1931,$A73=1932)),gulf_glut_gdp,0))</f>
        <v>2299.90234607758</v>
      </c>
      <c r="E73" s="50" t="n">
        <f aca="false">IF(AND(gulf_on=1,$A73&gt;=gulf_year),1,0)</f>
        <v>0</v>
      </c>
      <c r="F73" s="48" t="n">
        <v>140.8</v>
      </c>
      <c r="G73" s="48"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50" t="n">
        <f aca="false">IF($A73&lt;1900,0,IF(F73&lt;=G73,1,0))</f>
        <v>0</v>
      </c>
      <c r="V73" s="50" t="n">
        <f aca="false">IF($A73&lt;1900,0,IF(H73&gt;=I73,1,0))</f>
        <v>1</v>
      </c>
      <c r="W73" s="50" t="n">
        <f aca="false">IF($A73&lt;1900,0,IF(T73&gt;=K73,1,0))</f>
        <v>0</v>
      </c>
      <c r="X73" s="50" t="n">
        <f aca="false">IF($A73&lt;1900,0,IF(L73&lt;=M73,1,0))</f>
        <v>0</v>
      </c>
      <c r="Y73" s="50" t="n">
        <f aca="false">IF($A73&lt;1900,0,IF(N73&lt;=O73,1,0))</f>
        <v>0</v>
      </c>
      <c r="Z73" s="50" t="n">
        <f aca="false">IF($A73&lt;1900,0,IF(P73&lt;=Q73,1,0))</f>
        <v>0</v>
      </c>
      <c r="AA73" s="50" t="n">
        <f aca="false">IF($A73&lt;1900,0,IF(R73&gt;=S73,1,0))</f>
        <v>0</v>
      </c>
      <c r="AB73" s="50" t="n">
        <f aca="false">IF(SUM(U73:Y73)=5,1,0)</f>
        <v>0</v>
      </c>
      <c r="AC73" s="50" t="n">
        <f aca="false">IF(Z73+AA73=2,1,0)</f>
        <v>0</v>
      </c>
      <c r="AD73" s="50" t="n">
        <f aca="false">IF(AND(AB73=1,AC73=1),1,0)</f>
        <v>0</v>
      </c>
      <c r="AE73" s="50" t="n">
        <f aca="false">IF(AD73=1,AE72+1,0)</f>
        <v>0</v>
      </c>
      <c r="AF73" s="50" t="n">
        <f aca="false">IF(AE72&gt;=gulf_years_req,1,0)</f>
        <v>0</v>
      </c>
    </row>
    <row r="74" customFormat="false" ht="14.25" hidden="false" customHeight="false" outlineLevel="0" collapsed="false">
      <c r="A74" s="64" t="n">
        <v>1914</v>
      </c>
      <c r="B74" s="48" t="n">
        <v>8560000</v>
      </c>
      <c r="C74" s="71" t="n">
        <v>0.629</v>
      </c>
      <c r="D74" s="50" t="n">
        <f aca="false">Partners!Q74*(1-IF(AND(OR(oil_compact=0,$A74&lt;compact_year),OR($A74=1931,$A74=1932)),gulf_glut_gdp,0))</f>
        <v>2253.71106752043</v>
      </c>
      <c r="E74" s="50" t="n">
        <f aca="false">IF(AND(gulf_on=1,$A74&gt;=gulf_year),1,0)</f>
        <v>0</v>
      </c>
      <c r="F74" s="48" t="n">
        <v>134.4</v>
      </c>
      <c r="G74" s="48"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50" t="n">
        <f aca="false">IF($A74&lt;1900,0,IF(F74&lt;=G74,1,0))</f>
        <v>0</v>
      </c>
      <c r="V74" s="50" t="n">
        <f aca="false">IF($A74&lt;1900,0,IF(H74&gt;=I74,1,0))</f>
        <v>1</v>
      </c>
      <c r="W74" s="50" t="n">
        <f aca="false">IF($A74&lt;1900,0,IF(T74&gt;=K74,1,0))</f>
        <v>0</v>
      </c>
      <c r="X74" s="50" t="n">
        <f aca="false">IF($A74&lt;1900,0,IF(L74&lt;=M74,1,0))</f>
        <v>0</v>
      </c>
      <c r="Y74" s="50" t="n">
        <f aca="false">IF($A74&lt;1900,0,IF(N74&lt;=O74,1,0))</f>
        <v>1</v>
      </c>
      <c r="Z74" s="50" t="n">
        <f aca="false">IF($A74&lt;1900,0,IF(P74&lt;=Q74,1,0))</f>
        <v>0</v>
      </c>
      <c r="AA74" s="50" t="n">
        <f aca="false">IF($A74&lt;1900,0,IF(R74&gt;=S74,1,0))</f>
        <v>0</v>
      </c>
      <c r="AB74" s="50" t="n">
        <f aca="false">IF(SUM(U74:Y74)=5,1,0)</f>
        <v>0</v>
      </c>
      <c r="AC74" s="50" t="n">
        <f aca="false">IF(Z74+AA74=2,1,0)</f>
        <v>0</v>
      </c>
      <c r="AD74" s="50" t="n">
        <f aca="false">IF(AND(AB74=1,AC74=1),1,0)</f>
        <v>0</v>
      </c>
      <c r="AE74" s="50" t="n">
        <f aca="false">IF(AD74=1,AE73+1,0)</f>
        <v>0</v>
      </c>
      <c r="AF74" s="50" t="n">
        <f aca="false">IF(AE73&gt;=gulf_years_req,1,0)</f>
        <v>0</v>
      </c>
    </row>
    <row r="75" customFormat="false" ht="14.25" hidden="false" customHeight="false" outlineLevel="0" collapsed="false">
      <c r="A75" s="64" t="n">
        <v>1915</v>
      </c>
      <c r="B75" s="48" t="n">
        <v>8700000</v>
      </c>
      <c r="C75" s="71" t="n">
        <v>0.637</v>
      </c>
      <c r="D75" s="50" t="n">
        <f aca="false">Partners!Q75*(1-IF(AND(OR(oil_compact=0,$A75&lt;compact_year),OR($A75=1931,$A75=1932)),gulf_glut_gdp,0))</f>
        <v>2646.05491193553</v>
      </c>
      <c r="E75" s="50" t="n">
        <f aca="false">IF(AND(gulf_on=1,$A75&gt;=gulf_year),1,0)</f>
        <v>0</v>
      </c>
      <c r="F75" s="48" t="n">
        <v>128</v>
      </c>
      <c r="G75" s="48"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50" t="n">
        <f aca="false">IF($A75&lt;1900,0,IF(F75&lt;=G75,1,0))</f>
        <v>0</v>
      </c>
      <c r="V75" s="50" t="n">
        <f aca="false">IF($A75&lt;1900,0,IF(H75&gt;=I75,1,0))</f>
        <v>1</v>
      </c>
      <c r="W75" s="50" t="n">
        <f aca="false">IF($A75&lt;1900,0,IF(T75&gt;=K75,1,0))</f>
        <v>0</v>
      </c>
      <c r="X75" s="50" t="n">
        <f aca="false">IF($A75&lt;1900,0,IF(L75&lt;=M75,1,0))</f>
        <v>0</v>
      </c>
      <c r="Y75" s="50" t="n">
        <f aca="false">IF($A75&lt;1900,0,IF(N75&lt;=O75,1,0))</f>
        <v>1</v>
      </c>
      <c r="Z75" s="50" t="n">
        <f aca="false">IF($A75&lt;1900,0,IF(P75&lt;=Q75,1,0))</f>
        <v>0</v>
      </c>
      <c r="AA75" s="50" t="n">
        <f aca="false">IF($A75&lt;1900,0,IF(R75&gt;=S75,1,0))</f>
        <v>0</v>
      </c>
      <c r="AB75" s="50" t="n">
        <f aca="false">IF(SUM(U75:Y75)=5,1,0)</f>
        <v>0</v>
      </c>
      <c r="AC75" s="50" t="n">
        <f aca="false">IF(Z75+AA75=2,1,0)</f>
        <v>0</v>
      </c>
      <c r="AD75" s="50" t="n">
        <f aca="false">IF(AND(AB75=1,AC75=1),1,0)</f>
        <v>0</v>
      </c>
      <c r="AE75" s="50" t="n">
        <f aca="false">IF(AD75=1,AE74+1,0)</f>
        <v>0</v>
      </c>
      <c r="AF75" s="50" t="n">
        <f aca="false">IF(AE74&gt;=gulf_years_req,1,0)</f>
        <v>0</v>
      </c>
    </row>
    <row r="76" customFormat="false" ht="14.25" hidden="false" customHeight="false" outlineLevel="0" collapsed="false">
      <c r="A76" s="64" t="n">
        <v>1916</v>
      </c>
      <c r="B76" s="48" t="n">
        <v>8840000</v>
      </c>
      <c r="C76" s="71" t="n">
        <v>0.646</v>
      </c>
      <c r="D76" s="50" t="n">
        <f aca="false">Partners!Q76*(1-IF(AND(OR(oil_compact=0,$A76&lt;compact_year),OR($A76=1931,$A76=1932)),gulf_glut_gdp,0))</f>
        <v>3067.21826661548</v>
      </c>
      <c r="E76" s="50" t="n">
        <f aca="false">IF(AND(gulf_on=1,$A76&gt;=gulf_year),1,0)</f>
        <v>0</v>
      </c>
      <c r="F76" s="48" t="n">
        <v>123.2</v>
      </c>
      <c r="G76" s="48"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50" t="n">
        <f aca="false">IF($A76&lt;1900,0,IF(F76&lt;=G76,1,0))</f>
        <v>0</v>
      </c>
      <c r="V76" s="50" t="n">
        <f aca="false">IF($A76&lt;1900,0,IF(H76&gt;=I76,1,0))</f>
        <v>1</v>
      </c>
      <c r="W76" s="50" t="n">
        <f aca="false">IF($A76&lt;1900,0,IF(T76&gt;=K76,1,0))</f>
        <v>0</v>
      </c>
      <c r="X76" s="50" t="n">
        <f aca="false">IF($A76&lt;1900,0,IF(L76&lt;=M76,1,0))</f>
        <v>0</v>
      </c>
      <c r="Y76" s="50" t="n">
        <f aca="false">IF($A76&lt;1900,0,IF(N76&lt;=O76,1,0))</f>
        <v>1</v>
      </c>
      <c r="Z76" s="50" t="n">
        <f aca="false">IF($A76&lt;1900,0,IF(P76&lt;=Q76,1,0))</f>
        <v>0</v>
      </c>
      <c r="AA76" s="50" t="n">
        <f aca="false">IF($A76&lt;1900,0,IF(R76&gt;=S76,1,0))</f>
        <v>0</v>
      </c>
      <c r="AB76" s="50" t="n">
        <f aca="false">IF(SUM(U76:Y76)=5,1,0)</f>
        <v>0</v>
      </c>
      <c r="AC76" s="50" t="n">
        <f aca="false">IF(Z76+AA76=2,1,0)</f>
        <v>0</v>
      </c>
      <c r="AD76" s="50" t="n">
        <f aca="false">IF(AND(AB76=1,AC76=1),1,0)</f>
        <v>0</v>
      </c>
      <c r="AE76" s="50" t="n">
        <f aca="false">IF(AD76=1,AE75+1,0)</f>
        <v>0</v>
      </c>
      <c r="AF76" s="50" t="n">
        <f aca="false">IF(AE75&gt;=gulf_years_req,1,0)</f>
        <v>0</v>
      </c>
    </row>
    <row r="77" customFormat="false" ht="14.25" hidden="false" customHeight="false" outlineLevel="0" collapsed="false">
      <c r="A77" s="64" t="n">
        <v>1917</v>
      </c>
      <c r="B77" s="48" t="n">
        <v>8980000</v>
      </c>
      <c r="C77" s="71" t="n">
        <v>0.654</v>
      </c>
      <c r="D77" s="50" t="n">
        <f aca="false">Partners!Q77*(1-IF(AND(OR(oil_compact=0,$A77&lt;compact_year),OR($A77=1931,$A77=1932)),gulf_glut_gdp,0))</f>
        <v>3841.75666827173</v>
      </c>
      <c r="E77" s="50" t="n">
        <f aca="false">IF(AND(gulf_on=1,$A77&gt;=gulf_year),1,0)</f>
        <v>0</v>
      </c>
      <c r="F77" s="48" t="n">
        <v>118.4</v>
      </c>
      <c r="G77" s="48"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50" t="n">
        <f aca="false">IF($A77&lt;1900,0,IF(F77&lt;=G77,1,0))</f>
        <v>0</v>
      </c>
      <c r="V77" s="50" t="n">
        <f aca="false">IF($A77&lt;1900,0,IF(H77&gt;=I77,1,0))</f>
        <v>1</v>
      </c>
      <c r="W77" s="50" t="n">
        <f aca="false">IF($A77&lt;1900,0,IF(T77&gt;=K77,1,0))</f>
        <v>0</v>
      </c>
      <c r="X77" s="50" t="n">
        <f aca="false">IF($A77&lt;1900,0,IF(L77&lt;=M77,1,0))</f>
        <v>0</v>
      </c>
      <c r="Y77" s="50" t="n">
        <f aca="false">IF($A77&lt;1900,0,IF(N77&lt;=O77,1,0))</f>
        <v>1</v>
      </c>
      <c r="Z77" s="50" t="n">
        <f aca="false">IF($A77&lt;1900,0,IF(P77&lt;=Q77,1,0))</f>
        <v>0</v>
      </c>
      <c r="AA77" s="50" t="n">
        <f aca="false">IF($A77&lt;1900,0,IF(R77&gt;=S77,1,0))</f>
        <v>0</v>
      </c>
      <c r="AB77" s="50" t="n">
        <f aca="false">IF(SUM(U77:Y77)=5,1,0)</f>
        <v>0</v>
      </c>
      <c r="AC77" s="50" t="n">
        <f aca="false">IF(Z77+AA77=2,1,0)</f>
        <v>0</v>
      </c>
      <c r="AD77" s="50" t="n">
        <f aca="false">IF(AND(AB77=1,AC77=1),1,0)</f>
        <v>0</v>
      </c>
      <c r="AE77" s="50" t="n">
        <f aca="false">IF(AD77=1,AE76+1,0)</f>
        <v>0</v>
      </c>
      <c r="AF77" s="50" t="n">
        <f aca="false">IF(AE76&gt;=gulf_years_req,1,0)</f>
        <v>0</v>
      </c>
    </row>
    <row r="78" customFormat="false" ht="14.25" hidden="false" customHeight="false" outlineLevel="0" collapsed="false">
      <c r="A78" s="64" t="n">
        <v>1918</v>
      </c>
      <c r="B78" s="48" t="n">
        <v>9120000</v>
      </c>
      <c r="C78" s="71" t="n">
        <v>0.663</v>
      </c>
      <c r="D78" s="50" t="n">
        <f aca="false">Partners!Q78*(1-IF(AND(OR(oil_compact=0,$A78&lt;compact_year),OR($A78=1931,$A78=1932)),gulf_glut_gdp,0))</f>
        <v>5073.12876989806</v>
      </c>
      <c r="E78" s="50" t="n">
        <f aca="false">IF(AND(gulf_on=1,$A78&gt;=gulf_year),1,0)</f>
        <v>0</v>
      </c>
      <c r="F78" s="48" t="n">
        <v>113.6</v>
      </c>
      <c r="G78" s="48"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50" t="n">
        <f aca="false">IF($A78&lt;1900,0,IF(F78&lt;=G78,1,0))</f>
        <v>0</v>
      </c>
      <c r="V78" s="50" t="n">
        <f aca="false">IF($A78&lt;1900,0,IF(H78&gt;=I78,1,0))</f>
        <v>1</v>
      </c>
      <c r="W78" s="50" t="n">
        <f aca="false">IF($A78&lt;1900,0,IF(T78&gt;=K78,1,0))</f>
        <v>0</v>
      </c>
      <c r="X78" s="50" t="n">
        <f aca="false">IF($A78&lt;1900,0,IF(L78&lt;=M78,1,0))</f>
        <v>0</v>
      </c>
      <c r="Y78" s="50" t="n">
        <f aca="false">IF($A78&lt;1900,0,IF(N78&lt;=O78,1,0))</f>
        <v>1</v>
      </c>
      <c r="Z78" s="50" t="n">
        <f aca="false">IF($A78&lt;1900,0,IF(P78&lt;=Q78,1,0))</f>
        <v>0</v>
      </c>
      <c r="AA78" s="50" t="n">
        <f aca="false">IF($A78&lt;1900,0,IF(R78&gt;=S78,1,0))</f>
        <v>0</v>
      </c>
      <c r="AB78" s="50" t="n">
        <f aca="false">IF(SUM(U78:Y78)=5,1,0)</f>
        <v>0</v>
      </c>
      <c r="AC78" s="50" t="n">
        <f aca="false">IF(Z78+AA78=2,1,0)</f>
        <v>0</v>
      </c>
      <c r="AD78" s="50" t="n">
        <f aca="false">IF(AND(AB78=1,AC78=1),1,0)</f>
        <v>0</v>
      </c>
      <c r="AE78" s="50" t="n">
        <f aca="false">IF(AD78=1,AE77+1,0)</f>
        <v>0</v>
      </c>
      <c r="AF78" s="50" t="n">
        <f aca="false">IF(AE77&gt;=gulf_years_req,1,0)</f>
        <v>0</v>
      </c>
    </row>
    <row r="79" customFormat="false" ht="14.25" hidden="false" customHeight="false" outlineLevel="0" collapsed="false">
      <c r="A79" s="64" t="n">
        <v>1919</v>
      </c>
      <c r="B79" s="48" t="n">
        <v>9260000</v>
      </c>
      <c r="C79" s="71" t="n">
        <v>0.671</v>
      </c>
      <c r="D79" s="50" t="n">
        <f aca="false">Partners!Q79*(1-IF(AND(OR(oil_compact=0,$A79&lt;compact_year),OR($A79=1931,$A79=1932)),gulf_glut_gdp,0))</f>
        <v>5693.1640078242</v>
      </c>
      <c r="E79" s="50" t="n">
        <f aca="false">IF(AND(gulf_on=1,$A79&gt;=gulf_year),1,0)</f>
        <v>0</v>
      </c>
      <c r="F79" s="48" t="n">
        <v>108.8</v>
      </c>
      <c r="G79" s="48"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50" t="n">
        <f aca="false">IF($A79&lt;1900,0,IF(F79&lt;=G79,1,0))</f>
        <v>0</v>
      </c>
      <c r="V79" s="50" t="n">
        <f aca="false">IF($A79&lt;1900,0,IF(H79&gt;=I79,1,0))</f>
        <v>1</v>
      </c>
      <c r="W79" s="50" t="n">
        <f aca="false">IF($A79&lt;1900,0,IF(T79&gt;=K79,1,0))</f>
        <v>0</v>
      </c>
      <c r="X79" s="50" t="n">
        <f aca="false">IF($A79&lt;1900,0,IF(L79&lt;=M79,1,0))</f>
        <v>0</v>
      </c>
      <c r="Y79" s="50" t="n">
        <f aca="false">IF($A79&lt;1900,0,IF(N79&lt;=O79,1,0))</f>
        <v>1</v>
      </c>
      <c r="Z79" s="50" t="n">
        <f aca="false">IF($A79&lt;1900,0,IF(P79&lt;=Q79,1,0))</f>
        <v>0</v>
      </c>
      <c r="AA79" s="50" t="n">
        <f aca="false">IF($A79&lt;1900,0,IF(R79&gt;=S79,1,0))</f>
        <v>0</v>
      </c>
      <c r="AB79" s="50" t="n">
        <f aca="false">IF(SUM(U79:Y79)=5,1,0)</f>
        <v>0</v>
      </c>
      <c r="AC79" s="50" t="n">
        <f aca="false">IF(Z79+AA79=2,1,0)</f>
        <v>0</v>
      </c>
      <c r="AD79" s="50" t="n">
        <f aca="false">IF(AND(AB79=1,AC79=1),1,0)</f>
        <v>0</v>
      </c>
      <c r="AE79" s="50" t="n">
        <f aca="false">IF(AD79=1,AE78+1,0)</f>
        <v>0</v>
      </c>
      <c r="AF79" s="50" t="n">
        <f aca="false">IF(AE78&gt;=gulf_years_req,1,0)</f>
        <v>0</v>
      </c>
    </row>
    <row r="80" customFormat="false" ht="14.25" hidden="false" customHeight="false" outlineLevel="0" collapsed="false">
      <c r="A80" s="64" t="n">
        <v>1920</v>
      </c>
      <c r="B80" s="48" t="n">
        <v>9400000</v>
      </c>
      <c r="C80" s="71" t="n">
        <v>0.68</v>
      </c>
      <c r="D80" s="50" t="n">
        <f aca="false">Partners!Q80*(1-IF(AND(OR(oil_compact=0,$A80&lt;compact_year),OR($A80=1931,$A80=1932)),gulf_glut_gdp,0))</f>
        <v>6343.91816301614</v>
      </c>
      <c r="E80" s="50" t="n">
        <f aca="false">IF(AND(gulf_on=1,$A80&gt;=gulf_year),1,0)</f>
        <v>0</v>
      </c>
      <c r="F80" s="48" t="n">
        <v>104</v>
      </c>
      <c r="G80" s="48"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50" t="n">
        <f aca="false">IF($A80&lt;1900,0,IF(F80&lt;=G80,1,0))</f>
        <v>0</v>
      </c>
      <c r="V80" s="50" t="n">
        <f aca="false">IF($A80&lt;1900,0,IF(H80&gt;=I80,1,0))</f>
        <v>1</v>
      </c>
      <c r="W80" s="50" t="n">
        <f aca="false">IF($A80&lt;1900,0,IF(T80&gt;=K80,1,0))</f>
        <v>0</v>
      </c>
      <c r="X80" s="50" t="n">
        <f aca="false">IF($A80&lt;1900,0,IF(L80&lt;=M80,1,0))</f>
        <v>0</v>
      </c>
      <c r="Y80" s="50" t="n">
        <f aca="false">IF($A80&lt;1900,0,IF(N80&lt;=O80,1,0))</f>
        <v>1</v>
      </c>
      <c r="Z80" s="50" t="n">
        <f aca="false">IF($A80&lt;1900,0,IF(P80&lt;=Q80,1,0))</f>
        <v>0</v>
      </c>
      <c r="AA80" s="50" t="n">
        <f aca="false">IF($A80&lt;1900,0,IF(R80&gt;=S80,1,0))</f>
        <v>0</v>
      </c>
      <c r="AB80" s="50" t="n">
        <f aca="false">IF(SUM(U80:Y80)=5,1,0)</f>
        <v>0</v>
      </c>
      <c r="AC80" s="50" t="n">
        <f aca="false">IF(Z80+AA80=2,1,0)</f>
        <v>0</v>
      </c>
      <c r="AD80" s="50" t="n">
        <f aca="false">IF(AND(AB80=1,AC80=1),1,0)</f>
        <v>0</v>
      </c>
      <c r="AE80" s="50" t="n">
        <f aca="false">IF(AD80=1,AE79+1,0)</f>
        <v>0</v>
      </c>
      <c r="AF80" s="50" t="n">
        <f aca="false">IF(AE79&gt;=gulf_years_req,1,0)</f>
        <v>0</v>
      </c>
    </row>
    <row r="81" customFormat="false" ht="14.25" hidden="false" customHeight="false" outlineLevel="0" collapsed="false">
      <c r="A81" s="64" t="n">
        <v>1921</v>
      </c>
      <c r="B81" s="48" t="n">
        <v>9560000</v>
      </c>
      <c r="C81" s="71" t="n">
        <v>0.677</v>
      </c>
      <c r="D81" s="50" t="n">
        <f aca="false">Partners!Q81*(1-IF(AND(OR(oil_compact=0,$A81&lt;compact_year),OR($A81=1931,$A81=1932)),gulf_glut_gdp,0))</f>
        <v>4848.45185667925</v>
      </c>
      <c r="E81" s="50" t="n">
        <f aca="false">IF(AND(gulf_on=1,$A81&gt;=gulf_year),1,0)</f>
        <v>0</v>
      </c>
      <c r="F81" s="48" t="n">
        <v>100.4</v>
      </c>
      <c r="G81" s="48"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50" t="n">
        <f aca="false">IF($A81&lt;1900,0,IF(F81&lt;=G81,1,0))</f>
        <v>0</v>
      </c>
      <c r="V81" s="50" t="n">
        <f aca="false">IF($A81&lt;1900,0,IF(H81&gt;=I81,1,0))</f>
        <v>1</v>
      </c>
      <c r="W81" s="50" t="n">
        <f aca="false">IF($A81&lt;1900,0,IF(T81&gt;=K81,1,0))</f>
        <v>1</v>
      </c>
      <c r="X81" s="50" t="n">
        <f aca="false">IF($A81&lt;1900,0,IF(L81&lt;=M81,1,0))</f>
        <v>0</v>
      </c>
      <c r="Y81" s="50" t="n">
        <f aca="false">IF($A81&lt;1900,0,IF(N81&lt;=O81,1,0))</f>
        <v>1</v>
      </c>
      <c r="Z81" s="50" t="n">
        <f aca="false">IF($A81&lt;1900,0,IF(P81&lt;=Q81,1,0))</f>
        <v>0</v>
      </c>
      <c r="AA81" s="50" t="n">
        <f aca="false">IF($A81&lt;1900,0,IF(R81&gt;=S81,1,0))</f>
        <v>0</v>
      </c>
      <c r="AB81" s="50" t="n">
        <f aca="false">IF(SUM(U81:Y81)=5,1,0)</f>
        <v>0</v>
      </c>
      <c r="AC81" s="50" t="n">
        <f aca="false">IF(Z81+AA81=2,1,0)</f>
        <v>0</v>
      </c>
      <c r="AD81" s="50" t="n">
        <f aca="false">IF(AND(AB81=1,AC81=1),1,0)</f>
        <v>0</v>
      </c>
      <c r="AE81" s="50" t="n">
        <f aca="false">IF(AD81=1,AE80+1,0)</f>
        <v>0</v>
      </c>
      <c r="AF81" s="50" t="n">
        <f aca="false">IF(AE80&gt;=gulf_years_req,1,0)</f>
        <v>0</v>
      </c>
    </row>
    <row r="82" customFormat="false" ht="14.25" hidden="false" customHeight="false" outlineLevel="0" collapsed="false">
      <c r="A82" s="64" t="n">
        <v>1922</v>
      </c>
      <c r="B82" s="48" t="n">
        <v>9710000</v>
      </c>
      <c r="C82" s="71" t="n">
        <v>0.673</v>
      </c>
      <c r="D82" s="50" t="n">
        <f aca="false">Partners!Q82*(1-IF(AND(OR(oil_compact=0,$A82&lt;compact_year),OR($A82=1931,$A82=1932)),gulf_glut_gdp,0))</f>
        <v>5213.08164631748</v>
      </c>
      <c r="E82" s="50" t="n">
        <f aca="false">IF(AND(gulf_on=1,$A82&gt;=gulf_year),1,0)</f>
        <v>0</v>
      </c>
      <c r="F82" s="48" t="n">
        <v>96.8</v>
      </c>
      <c r="G82" s="48"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50" t="n">
        <f aca="false">IF($A82&lt;1900,0,IF(F82&lt;=G82,1,0))</f>
        <v>0</v>
      </c>
      <c r="V82" s="50" t="n">
        <f aca="false">IF($A82&lt;1900,0,IF(H82&gt;=I82,1,0))</f>
        <v>1</v>
      </c>
      <c r="W82" s="50" t="n">
        <f aca="false">IF($A82&lt;1900,0,IF(T82&gt;=K82,1,0))</f>
        <v>1</v>
      </c>
      <c r="X82" s="50" t="n">
        <f aca="false">IF($A82&lt;1900,0,IF(L82&lt;=M82,1,0))</f>
        <v>0</v>
      </c>
      <c r="Y82" s="50" t="n">
        <f aca="false">IF($A82&lt;1900,0,IF(N82&lt;=O82,1,0))</f>
        <v>1</v>
      </c>
      <c r="Z82" s="50" t="n">
        <f aca="false">IF($A82&lt;1900,0,IF(P82&lt;=Q82,1,0))</f>
        <v>0</v>
      </c>
      <c r="AA82" s="50" t="n">
        <f aca="false">IF($A82&lt;1900,0,IF(R82&gt;=S82,1,0))</f>
        <v>0</v>
      </c>
      <c r="AB82" s="50" t="n">
        <f aca="false">IF(SUM(U82:Y82)=5,1,0)</f>
        <v>0</v>
      </c>
      <c r="AC82" s="50" t="n">
        <f aca="false">IF(Z82+AA82=2,1,0)</f>
        <v>0</v>
      </c>
      <c r="AD82" s="50" t="n">
        <f aca="false">IF(AND(AB82=1,AC82=1),1,0)</f>
        <v>0</v>
      </c>
      <c r="AE82" s="50" t="n">
        <f aca="false">IF(AD82=1,AE81+1,0)</f>
        <v>0</v>
      </c>
      <c r="AF82" s="50" t="n">
        <f aca="false">IF(AE81&gt;=gulf_years_req,1,0)</f>
        <v>0</v>
      </c>
    </row>
    <row r="83" customFormat="false" ht="14.25" hidden="false" customHeight="false" outlineLevel="0" collapsed="false">
      <c r="A83" s="61" t="n">
        <v>1923</v>
      </c>
      <c r="B83" s="48" t="n">
        <v>9870000</v>
      </c>
      <c r="C83" s="71" t="n">
        <v>0.67</v>
      </c>
      <c r="D83" s="50" t="n">
        <f aca="false">Partners!Q83*(1-IF(AND(OR(oil_compact=0,$A83&lt;compact_year),OR($A83=1931,$A83=1932)),gulf_glut_gdp,0))</f>
        <v>6022.50002352473</v>
      </c>
      <c r="E83" s="50" t="n">
        <f aca="false">IF(AND(gulf_on=1,$A83&gt;=gulf_year),1,0)</f>
        <v>0</v>
      </c>
      <c r="F83" s="48" t="n">
        <v>93.2</v>
      </c>
      <c r="G83" s="48"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50" t="n">
        <f aca="false">IF($A83&lt;1900,0,IF(F83&lt;=G83,1,0))</f>
        <v>0</v>
      </c>
      <c r="V83" s="50" t="n">
        <f aca="false">IF($A83&lt;1900,0,IF(H83&gt;=I83,1,0))</f>
        <v>1</v>
      </c>
      <c r="W83" s="50" t="n">
        <f aca="false">IF($A83&lt;1900,0,IF(T83&gt;=K83,1,0))</f>
        <v>1</v>
      </c>
      <c r="X83" s="50" t="n">
        <f aca="false">IF($A83&lt;1900,0,IF(L83&lt;=M83,1,0))</f>
        <v>0</v>
      </c>
      <c r="Y83" s="50" t="n">
        <f aca="false">IF($A83&lt;1900,0,IF(N83&lt;=O83,1,0))</f>
        <v>1</v>
      </c>
      <c r="Z83" s="50" t="n">
        <f aca="false">IF($A83&lt;1900,0,IF(P83&lt;=Q83,1,0))</f>
        <v>0</v>
      </c>
      <c r="AA83" s="50" t="n">
        <f aca="false">IF($A83&lt;1900,0,IF(R83&gt;=S83,1,0))</f>
        <v>0</v>
      </c>
      <c r="AB83" s="50" t="n">
        <f aca="false">IF(SUM(U83:Y83)=5,1,0)</f>
        <v>0</v>
      </c>
      <c r="AC83" s="50" t="n">
        <f aca="false">IF(Z83+AA83=2,1,0)</f>
        <v>0</v>
      </c>
      <c r="AD83" s="50" t="n">
        <f aca="false">IF(AND(AB83=1,AC83=1),1,0)</f>
        <v>0</v>
      </c>
      <c r="AE83" s="50" t="n">
        <f aca="false">IF(AD83=1,AE82+1,0)</f>
        <v>0</v>
      </c>
      <c r="AF83" s="50" t="n">
        <f aca="false">IF(AE82&gt;=gulf_years_req,1,0)</f>
        <v>0</v>
      </c>
    </row>
    <row r="84" customFormat="false" ht="14.25" hidden="false" customHeight="false" outlineLevel="0" collapsed="false">
      <c r="A84" s="61" t="n">
        <v>1924</v>
      </c>
      <c r="B84" s="48" t="n">
        <v>10020000</v>
      </c>
      <c r="C84" s="71" t="n">
        <v>0.667</v>
      </c>
      <c r="D84" s="50" t="n">
        <f aca="false">Partners!Q84*(1-IF(AND(OR(oil_compact=0,$A84&lt;compact_year),OR($A84=1931,$A84=1932)),gulf_glut_gdp,0))</f>
        <v>6055.42373875928</v>
      </c>
      <c r="E84" s="50" t="n">
        <f aca="false">IF(AND(gulf_on=1,$A84&gt;=gulf_year),1,0)</f>
        <v>0</v>
      </c>
      <c r="F84" s="48" t="n">
        <v>89.6</v>
      </c>
      <c r="G84" s="48"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50" t="n">
        <f aca="false">IF($A84&lt;1900,0,IF(F84&lt;=G84,1,0))</f>
        <v>1</v>
      </c>
      <c r="V84" s="50" t="n">
        <f aca="false">IF($A84&lt;1900,0,IF(H84&gt;=I84,1,0))</f>
        <v>1</v>
      </c>
      <c r="W84" s="50" t="n">
        <f aca="false">IF($A84&lt;1900,0,IF(T84&gt;=K84,1,0))</f>
        <v>1</v>
      </c>
      <c r="X84" s="50" t="n">
        <f aca="false">IF($A84&lt;1900,0,IF(L84&lt;=M84,1,0))</f>
        <v>0</v>
      </c>
      <c r="Y84" s="50" t="n">
        <f aca="false">IF($A84&lt;1900,0,IF(N84&lt;=O84,1,0))</f>
        <v>1</v>
      </c>
      <c r="Z84" s="50" t="n">
        <f aca="false">IF($A84&lt;1900,0,IF(P84&lt;=Q84,1,0))</f>
        <v>0</v>
      </c>
      <c r="AA84" s="50" t="n">
        <f aca="false">IF($A84&lt;1900,0,IF(R84&gt;=S84,1,0))</f>
        <v>0</v>
      </c>
      <c r="AB84" s="50" t="n">
        <f aca="false">IF(SUM(U84:Y84)=5,1,0)</f>
        <v>0</v>
      </c>
      <c r="AC84" s="50" t="n">
        <f aca="false">IF(Z84+AA84=2,1,0)</f>
        <v>0</v>
      </c>
      <c r="AD84" s="50" t="n">
        <f aca="false">IF(AND(AB84=1,AC84=1),1,0)</f>
        <v>0</v>
      </c>
      <c r="AE84" s="50" t="n">
        <f aca="false">IF(AD84=1,AE83+1,0)</f>
        <v>0</v>
      </c>
      <c r="AF84" s="50" t="n">
        <f aca="false">IF(AE83&gt;=gulf_years_req,1,0)</f>
        <v>0</v>
      </c>
    </row>
    <row r="85" customFormat="false" ht="14.25" hidden="false" customHeight="false" outlineLevel="0" collapsed="false">
      <c r="A85" s="61" t="n">
        <v>1925</v>
      </c>
      <c r="B85" s="48" t="n">
        <v>10180000</v>
      </c>
      <c r="C85" s="71" t="n">
        <v>0.663</v>
      </c>
      <c r="D85" s="50" t="n">
        <f aca="false">Partners!Q85*(1-IF(AND(OR(oil_compact=0,$A85&lt;compact_year),OR($A85=1931,$A85=1932)),gulf_glut_gdp,0))</f>
        <v>6385.6353802948</v>
      </c>
      <c r="E85" s="50" t="n">
        <f aca="false">IF(AND(gulf_on=1,$A85&gt;=gulf_year),1,0)</f>
        <v>0</v>
      </c>
      <c r="F85" s="48" t="n">
        <v>86</v>
      </c>
      <c r="G85" s="48"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50" t="n">
        <f aca="false">IF($A85&lt;1900,0,IF(F85&lt;=G85,1,0))</f>
        <v>1</v>
      </c>
      <c r="V85" s="50" t="n">
        <f aca="false">IF($A85&lt;1900,0,IF(H85&gt;=I85,1,0))</f>
        <v>1</v>
      </c>
      <c r="W85" s="50" t="n">
        <f aca="false">IF($A85&lt;1900,0,IF(T85&gt;=K85,1,0))</f>
        <v>1</v>
      </c>
      <c r="X85" s="50" t="n">
        <f aca="false">IF($A85&lt;1900,0,IF(L85&lt;=M85,1,0))</f>
        <v>1</v>
      </c>
      <c r="Y85" s="50" t="n">
        <f aca="false">IF($A85&lt;1900,0,IF(N85&lt;=O85,1,0))</f>
        <v>1</v>
      </c>
      <c r="Z85" s="50" t="n">
        <f aca="false">IF($A85&lt;1900,0,IF(P85&lt;=Q85,1,0))</f>
        <v>0</v>
      </c>
      <c r="AA85" s="50" t="n">
        <f aca="false">IF($A85&lt;1900,0,IF(R85&gt;=S85,1,0))</f>
        <v>0</v>
      </c>
      <c r="AB85" s="50" t="n">
        <f aca="false">IF(SUM(U85:Y85)=5,1,0)</f>
        <v>1</v>
      </c>
      <c r="AC85" s="50" t="n">
        <f aca="false">IF(Z85+AA85=2,1,0)</f>
        <v>0</v>
      </c>
      <c r="AD85" s="50" t="n">
        <f aca="false">IF(AND(AB85=1,AC85=1),1,0)</f>
        <v>0</v>
      </c>
      <c r="AE85" s="50" t="n">
        <f aca="false">IF(AD85=1,AE84+1,0)</f>
        <v>0</v>
      </c>
      <c r="AF85" s="50" t="n">
        <f aca="false">IF(AE84&gt;=gulf_years_req,1,0)</f>
        <v>0</v>
      </c>
    </row>
    <row r="86" customFormat="false" ht="14.25" hidden="false" customHeight="false" outlineLevel="0" collapsed="false">
      <c r="A86" s="61" t="n">
        <v>1926</v>
      </c>
      <c r="B86" s="48" t="n">
        <v>10330000</v>
      </c>
      <c r="C86" s="71" t="n">
        <v>0.66</v>
      </c>
      <c r="D86" s="50" t="n">
        <f aca="false">Partners!Q86*(1-IF(AND(OR(oil_compact=0,$A86&lt;compact_year),OR($A86=1931,$A86=1932)),gulf_glut_gdp,0))</f>
        <v>6778.39361872329</v>
      </c>
      <c r="E86" s="50" t="n">
        <f aca="false">IF(AND(gulf_on=1,$A86&gt;=gulf_year),1,0)</f>
        <v>0</v>
      </c>
      <c r="F86" s="48" t="n">
        <v>82.6667</v>
      </c>
      <c r="G86" s="48"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50" t="n">
        <f aca="false">IF($A86&lt;1900,0,IF(F86&lt;=G86,1,0))</f>
        <v>1</v>
      </c>
      <c r="V86" s="50" t="n">
        <f aca="false">IF($A86&lt;1900,0,IF(H86&gt;=I86,1,0))</f>
        <v>1</v>
      </c>
      <c r="W86" s="50" t="n">
        <f aca="false">IF($A86&lt;1900,0,IF(T86&gt;=K86,1,0))</f>
        <v>1</v>
      </c>
      <c r="X86" s="50" t="n">
        <f aca="false">IF($A86&lt;1900,0,IF(L86&lt;=M86,1,0))</f>
        <v>1</v>
      </c>
      <c r="Y86" s="50" t="n">
        <f aca="false">IF($A86&lt;1900,0,IF(N86&lt;=O86,1,0))</f>
        <v>1</v>
      </c>
      <c r="Z86" s="50" t="n">
        <f aca="false">IF($A86&lt;1900,0,IF(P86&lt;=Q86,1,0))</f>
        <v>0</v>
      </c>
      <c r="AA86" s="50" t="n">
        <f aca="false">IF($A86&lt;1900,0,IF(R86&gt;=S86,1,0))</f>
        <v>0</v>
      </c>
      <c r="AB86" s="50" t="n">
        <f aca="false">IF(SUM(U86:Y86)=5,1,0)</f>
        <v>1</v>
      </c>
      <c r="AC86" s="50" t="n">
        <f aca="false">IF(Z86+AA86=2,1,0)</f>
        <v>0</v>
      </c>
      <c r="AD86" s="50" t="n">
        <f aca="false">IF(AND(AB86=1,AC86=1),1,0)</f>
        <v>0</v>
      </c>
      <c r="AE86" s="50" t="n">
        <f aca="false">IF(AD86=1,AE85+1,0)</f>
        <v>0</v>
      </c>
      <c r="AF86" s="50" t="n">
        <f aca="false">IF(AE85&gt;=gulf_years_req,1,0)</f>
        <v>0</v>
      </c>
    </row>
    <row r="87" customFormat="false" ht="14.25" hidden="false" customHeight="false" outlineLevel="0" collapsed="false">
      <c r="A87" s="61" t="n">
        <v>1927</v>
      </c>
      <c r="B87" s="48" t="n">
        <v>10490000</v>
      </c>
      <c r="C87" s="71" t="n">
        <v>0.657</v>
      </c>
      <c r="D87" s="50" t="n">
        <f aca="false">Partners!Q87*(1-IF(AND(OR(oil_compact=0,$A87&lt;compact_year),OR($A87=1931,$A87=1932)),gulf_glut_gdp,0))</f>
        <v>6783.0959262541</v>
      </c>
      <c r="E87" s="50" t="n">
        <f aca="false">IF(AND(gulf_on=1,$A87&gt;=gulf_year),1,0)</f>
        <v>0</v>
      </c>
      <c r="F87" s="48" t="n">
        <v>79.3333</v>
      </c>
      <c r="G87" s="48"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50" t="n">
        <f aca="false">IF($A87&lt;1900,0,IF(F87&lt;=G87,1,0))</f>
        <v>1</v>
      </c>
      <c r="V87" s="50" t="n">
        <f aca="false">IF($A87&lt;1900,0,IF(H87&gt;=I87,1,0))</f>
        <v>1</v>
      </c>
      <c r="W87" s="50" t="n">
        <f aca="false">IF($A87&lt;1900,0,IF(T87&gt;=K87,1,0))</f>
        <v>1</v>
      </c>
      <c r="X87" s="50" t="n">
        <f aca="false">IF($A87&lt;1900,0,IF(L87&lt;=M87,1,0))</f>
        <v>1</v>
      </c>
      <c r="Y87" s="50" t="n">
        <f aca="false">IF($A87&lt;1900,0,IF(N87&lt;=O87,1,0))</f>
        <v>1</v>
      </c>
      <c r="Z87" s="50" t="n">
        <f aca="false">IF($A87&lt;1900,0,IF(P87&lt;=Q87,1,0))</f>
        <v>0</v>
      </c>
      <c r="AA87" s="50" t="n">
        <f aca="false">IF($A87&lt;1900,0,IF(R87&gt;=S87,1,0))</f>
        <v>0</v>
      </c>
      <c r="AB87" s="50" t="n">
        <f aca="false">IF(SUM(U87:Y87)=5,1,0)</f>
        <v>1</v>
      </c>
      <c r="AC87" s="50" t="n">
        <f aca="false">IF(Z87+AA87=2,1,0)</f>
        <v>0</v>
      </c>
      <c r="AD87" s="50" t="n">
        <f aca="false">IF(AND(AB87=1,AC87=1),1,0)</f>
        <v>0</v>
      </c>
      <c r="AE87" s="50" t="n">
        <f aca="false">IF(AD87=1,AE86+1,0)</f>
        <v>0</v>
      </c>
      <c r="AF87" s="50" t="n">
        <f aca="false">IF(AE86&gt;=gulf_years_req,1,0)</f>
        <v>0</v>
      </c>
    </row>
    <row r="88" customFormat="false" ht="14.25" hidden="false" customHeight="false" outlineLevel="0" collapsed="false">
      <c r="A88" s="61" t="n">
        <v>1928</v>
      </c>
      <c r="B88" s="48" t="n">
        <v>10640000</v>
      </c>
      <c r="C88" s="71" t="n">
        <v>0.653</v>
      </c>
      <c r="D88" s="50" t="n">
        <f aca="false">Partners!Q88*(1-IF(AND(OR(oil_compact=0,$A88&lt;compact_year),OR($A88=1931,$A88=1932)),gulf_glut_gdp,0))</f>
        <v>6982.97457094913</v>
      </c>
      <c r="E88" s="50" t="n">
        <f aca="false">IF(AND(gulf_on=1,$A88&gt;=gulf_year),1,0)</f>
        <v>0</v>
      </c>
      <c r="F88" s="48" t="n">
        <v>76</v>
      </c>
      <c r="G88" s="48"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50" t="n">
        <f aca="false">IF($A88&lt;1900,0,IF(F88&lt;=G88,1,0))</f>
        <v>1</v>
      </c>
      <c r="V88" s="50" t="n">
        <f aca="false">IF($A88&lt;1900,0,IF(H88&gt;=I88,1,0))</f>
        <v>1</v>
      </c>
      <c r="W88" s="50" t="n">
        <f aca="false">IF($A88&lt;1900,0,IF(T88&gt;=K88,1,0))</f>
        <v>1</v>
      </c>
      <c r="X88" s="50" t="n">
        <f aca="false">IF($A88&lt;1900,0,IF(L88&lt;=M88,1,0))</f>
        <v>1</v>
      </c>
      <c r="Y88" s="50" t="n">
        <f aca="false">IF($A88&lt;1900,0,IF(N88&lt;=O88,1,0))</f>
        <v>1</v>
      </c>
      <c r="Z88" s="50" t="n">
        <f aca="false">IF($A88&lt;1900,0,IF(P88&lt;=Q88,1,0))</f>
        <v>0</v>
      </c>
      <c r="AA88" s="50" t="n">
        <f aca="false">IF($A88&lt;1900,0,IF(R88&gt;=S88,1,0))</f>
        <v>0</v>
      </c>
      <c r="AB88" s="50" t="n">
        <f aca="false">IF(SUM(U88:Y88)=5,1,0)</f>
        <v>1</v>
      </c>
      <c r="AC88" s="50" t="n">
        <f aca="false">IF(Z88+AA88=2,1,0)</f>
        <v>0</v>
      </c>
      <c r="AD88" s="50" t="n">
        <f aca="false">IF(AND(AB88=1,AC88=1),1,0)</f>
        <v>0</v>
      </c>
      <c r="AE88" s="50" t="n">
        <f aca="false">IF(AD88=1,AE87+1,0)</f>
        <v>0</v>
      </c>
      <c r="AF88" s="50" t="n">
        <f aca="false">IF(AE87&gt;=gulf_years_req,1,0)</f>
        <v>0</v>
      </c>
    </row>
    <row r="89" customFormat="false" ht="14.25" hidden="false" customHeight="false" outlineLevel="0" collapsed="false">
      <c r="A89" s="61" t="n">
        <v>1929</v>
      </c>
      <c r="B89" s="48" t="n">
        <v>10800000</v>
      </c>
      <c r="C89" s="71" t="n">
        <v>0.65</v>
      </c>
      <c r="D89" s="50" t="n">
        <f aca="false">Partners!Q89*(1-IF(AND(OR(oil_compact=0,$A89&lt;compact_year),OR($A89=1931,$A89=1932)),gulf_glut_gdp,0))</f>
        <v>7502.85892971787</v>
      </c>
      <c r="E89" s="50" t="n">
        <f aca="false">IF(AND(gulf_on=1,$A89&gt;=gulf_year),1,0)</f>
        <v>0</v>
      </c>
      <c r="F89" s="48" t="n">
        <v>74.5</v>
      </c>
      <c r="G89" s="48"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50" t="n">
        <f aca="false">IF($A89&lt;1900,0,IF(F89&lt;=G89,1,0))</f>
        <v>1</v>
      </c>
      <c r="V89" s="50" t="n">
        <f aca="false">IF($A89&lt;1900,0,IF(H89&gt;=I89,1,0))</f>
        <v>1</v>
      </c>
      <c r="W89" s="50" t="n">
        <f aca="false">IF($A89&lt;1900,0,IF(T89&gt;=K89,1,0))</f>
        <v>1</v>
      </c>
      <c r="X89" s="50" t="n">
        <f aca="false">IF($A89&lt;1900,0,IF(L89&lt;=M89,1,0))</f>
        <v>1</v>
      </c>
      <c r="Y89" s="50" t="n">
        <f aca="false">IF($A89&lt;1900,0,IF(N89&lt;=O89,1,0))</f>
        <v>1</v>
      </c>
      <c r="Z89" s="50" t="n">
        <f aca="false">IF($A89&lt;1900,0,IF(P89&lt;=Q89,1,0))</f>
        <v>0</v>
      </c>
      <c r="AA89" s="50" t="n">
        <f aca="false">IF($A89&lt;1900,0,IF(R89&gt;=S89,1,0))</f>
        <v>0</v>
      </c>
      <c r="AB89" s="50" t="n">
        <f aca="false">IF(SUM(U89:Y89)=5,1,0)</f>
        <v>1</v>
      </c>
      <c r="AC89" s="50" t="n">
        <f aca="false">IF(Z89+AA89=2,1,0)</f>
        <v>0</v>
      </c>
      <c r="AD89" s="50" t="n">
        <f aca="false">IF(AND(AB89=1,AC89=1),1,0)</f>
        <v>0</v>
      </c>
      <c r="AE89" s="50" t="n">
        <f aca="false">IF(AD89=1,AE88+1,0)</f>
        <v>0</v>
      </c>
      <c r="AF89" s="50" t="n">
        <f aca="false">IF(AE88&gt;=gulf_years_req,1,0)</f>
        <v>0</v>
      </c>
    </row>
    <row r="90" customFormat="false" ht="14.25" hidden="false" customHeight="false" outlineLevel="0" collapsed="false">
      <c r="A90" s="61" t="n">
        <v>1930</v>
      </c>
      <c r="B90" s="48" t="n">
        <v>10930000</v>
      </c>
      <c r="C90" s="71" t="n">
        <v>0.64</v>
      </c>
      <c r="D90" s="50" t="n">
        <f aca="false">Partners!Q90*(1-IF(AND(OR(oil_compact=0,$A90&lt;compact_year),OR($A90=1931,$A90=1932)),gulf_glut_gdp,0))</f>
        <v>6566.83330537993</v>
      </c>
      <c r="E90" s="50" t="n">
        <f aca="false">IF(AND(gulf_on=1,$A90&gt;=gulf_year),1,0)</f>
        <v>0</v>
      </c>
      <c r="F90" s="48" t="n">
        <v>73</v>
      </c>
      <c r="G90" s="48"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50" t="n">
        <f aca="false">IF($A90&lt;1900,0,IF(F90&lt;=G90,1,0))</f>
        <v>1</v>
      </c>
      <c r="V90" s="50" t="n">
        <f aca="false">IF($A90&lt;1900,0,IF(H90&gt;=I90,1,0))</f>
        <v>1</v>
      </c>
      <c r="W90" s="50" t="n">
        <f aca="false">IF($A90&lt;1900,0,IF(T90&gt;=K90,1,0))</f>
        <v>1</v>
      </c>
      <c r="X90" s="50" t="n">
        <f aca="false">IF($A90&lt;1900,0,IF(L90&lt;=M90,1,0))</f>
        <v>1</v>
      </c>
      <c r="Y90" s="50" t="n">
        <f aca="false">IF($A90&lt;1900,0,IF(N90&lt;=O90,1,0))</f>
        <v>1</v>
      </c>
      <c r="Z90" s="50" t="n">
        <f aca="false">IF($A90&lt;1900,0,IF(P90&lt;=Q90,1,0))</f>
        <v>0</v>
      </c>
      <c r="AA90" s="50" t="n">
        <f aca="false">IF($A90&lt;1900,0,IF(R90&gt;=S90,1,0))</f>
        <v>0</v>
      </c>
      <c r="AB90" s="50" t="n">
        <f aca="false">IF(SUM(U90:Y90)=5,1,0)</f>
        <v>1</v>
      </c>
      <c r="AC90" s="50" t="n">
        <f aca="false">IF(Z90+AA90=2,1,0)</f>
        <v>0</v>
      </c>
      <c r="AD90" s="50" t="n">
        <f aca="false">IF(AND(AB90=1,AC90=1),1,0)</f>
        <v>0</v>
      </c>
      <c r="AE90" s="50" t="n">
        <f aca="false">IF(AD90=1,AE89+1,0)</f>
        <v>0</v>
      </c>
      <c r="AF90" s="50" t="n">
        <f aca="false">IF(AE89&gt;=gulf_years_req,1,0)</f>
        <v>0</v>
      </c>
    </row>
    <row r="91" customFormat="false" ht="14.25" hidden="false" customHeight="false" outlineLevel="0" collapsed="false">
      <c r="A91" s="61" t="n">
        <v>1931</v>
      </c>
      <c r="B91" s="48" t="n">
        <v>11070000</v>
      </c>
      <c r="C91" s="71" t="n">
        <v>0.63</v>
      </c>
      <c r="D91" s="50" t="n">
        <f aca="false">Partners!Q91*(1-IF(AND(OR(oil_compact=0,$A91&lt;compact_year),OR($A91=1931,$A91=1932)),gulf_glut_gdp,0))</f>
        <v>5236.19242473153</v>
      </c>
      <c r="E91" s="50" t="n">
        <f aca="false">IF(AND(gulf_on=1,$A91&gt;=gulf_year),1,0)</f>
        <v>0</v>
      </c>
      <c r="F91" s="48" t="n">
        <v>71.5</v>
      </c>
      <c r="G91" s="48"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50" t="n">
        <f aca="false">IF($A91&lt;1900,0,IF(F91&lt;=G91,1,0))</f>
        <v>1</v>
      </c>
      <c r="V91" s="50" t="n">
        <f aca="false">IF($A91&lt;1900,0,IF(H91&gt;=I91,1,0))</f>
        <v>1</v>
      </c>
      <c r="W91" s="50" t="n">
        <f aca="false">IF($A91&lt;1900,0,IF(T91&gt;=K91,1,0))</f>
        <v>0</v>
      </c>
      <c r="X91" s="50" t="n">
        <f aca="false">IF($A91&lt;1900,0,IF(L91&lt;=M91,1,0))</f>
        <v>1</v>
      </c>
      <c r="Y91" s="50" t="n">
        <f aca="false">IF($A91&lt;1900,0,IF(N91&lt;=O91,1,0))</f>
        <v>1</v>
      </c>
      <c r="Z91" s="50" t="n">
        <f aca="false">IF($A91&lt;1900,0,IF(P91&lt;=Q91,1,0))</f>
        <v>0</v>
      </c>
      <c r="AA91" s="50" t="n">
        <f aca="false">IF($A91&lt;1900,0,IF(R91&gt;=S91,1,0))</f>
        <v>0</v>
      </c>
      <c r="AB91" s="50" t="n">
        <f aca="false">IF(SUM(U91:Y91)=5,1,0)</f>
        <v>0</v>
      </c>
      <c r="AC91" s="50" t="n">
        <f aca="false">IF(Z91+AA91=2,1,0)</f>
        <v>0</v>
      </c>
      <c r="AD91" s="50" t="n">
        <f aca="false">IF(AND(AB91=1,AC91=1),1,0)</f>
        <v>0</v>
      </c>
      <c r="AE91" s="50" t="n">
        <f aca="false">IF(AD91=1,AE90+1,0)</f>
        <v>0</v>
      </c>
      <c r="AF91" s="50" t="n">
        <f aca="false">IF(AE90&gt;=gulf_years_req,1,0)</f>
        <v>0</v>
      </c>
    </row>
    <row r="92" customFormat="false" ht="14.25" hidden="false" customHeight="false" outlineLevel="0" collapsed="false">
      <c r="A92" s="61" t="n">
        <v>1932</v>
      </c>
      <c r="B92" s="48" t="n">
        <v>11200000</v>
      </c>
      <c r="C92" s="71" t="n">
        <v>0.62</v>
      </c>
      <c r="D92" s="50" t="n">
        <f aca="false">Partners!Q92*(1-IF(AND(OR(oil_compact=0,$A92&lt;compact_year),OR($A92=1931,$A92=1932)),gulf_glut_gdp,0))</f>
        <v>4227.16565834522</v>
      </c>
      <c r="E92" s="50" t="n">
        <f aca="false">IF(AND(gulf_on=1,$A92&gt;=gulf_year),1,0)</f>
        <v>0</v>
      </c>
      <c r="F92" s="48" t="n">
        <v>70</v>
      </c>
      <c r="G92" s="48"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50" t="n">
        <f aca="false">IF($A92&lt;1900,0,IF(F92&lt;=G92,1,0))</f>
        <v>1</v>
      </c>
      <c r="V92" s="50" t="n">
        <f aca="false">IF($A92&lt;1900,0,IF(H92&gt;=I92,1,0))</f>
        <v>1</v>
      </c>
      <c r="W92" s="50" t="n">
        <f aca="false">IF($A92&lt;1900,0,IF(T92&gt;=K92,1,0))</f>
        <v>1</v>
      </c>
      <c r="X92" s="50" t="n">
        <f aca="false">IF($A92&lt;1900,0,IF(L92&lt;=M92,1,0))</f>
        <v>1</v>
      </c>
      <c r="Y92" s="50" t="n">
        <f aca="false">IF($A92&lt;1900,0,IF(N92&lt;=O92,1,0))</f>
        <v>1</v>
      </c>
      <c r="Z92" s="50" t="n">
        <f aca="false">IF($A92&lt;1900,0,IF(P92&lt;=Q92,1,0))</f>
        <v>0</v>
      </c>
      <c r="AA92" s="50" t="n">
        <f aca="false">IF($A92&lt;1900,0,IF(R92&gt;=S92,1,0))</f>
        <v>0</v>
      </c>
      <c r="AB92" s="50" t="n">
        <f aca="false">IF(SUM(U92:Y92)=5,1,0)</f>
        <v>1</v>
      </c>
      <c r="AC92" s="50" t="n">
        <f aca="false">IF(Z92+AA92=2,1,0)</f>
        <v>0</v>
      </c>
      <c r="AD92" s="50" t="n">
        <f aca="false">IF(AND(AB92=1,AC92=1),1,0)</f>
        <v>0</v>
      </c>
      <c r="AE92" s="50" t="n">
        <f aca="false">IF(AD92=1,AE91+1,0)</f>
        <v>0</v>
      </c>
      <c r="AF92" s="50"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55" hidden="false" customHeight="false" outlineLevel="0" collapsed="false">
      <c r="A1" s="19" t="s">
        <v>1939</v>
      </c>
    </row>
    <row r="2" customFormat="false" ht="14.25" hidden="false" customHeight="false" outlineLevel="0" collapsed="false">
      <c r="A2" s="3" t="s">
        <v>1940</v>
      </c>
    </row>
    <row r="3" customFormat="false" ht="14.25" hidden="false" customHeight="false" outlineLevel="0" collapsed="false">
      <c r="A3" s="20" t="s">
        <v>1941</v>
      </c>
    </row>
    <row r="5" customFormat="false" ht="14.25" hidden="false" customHeight="false" outlineLevel="0" collapsed="false">
      <c r="B5" s="6" t="s">
        <v>1942</v>
      </c>
      <c r="C5" s="89" t="n">
        <v>1870</v>
      </c>
      <c r="D5" s="89" t="n">
        <v>1900</v>
      </c>
      <c r="E5" s="89" t="n">
        <v>1913</v>
      </c>
      <c r="F5" s="89" t="n">
        <v>1929</v>
      </c>
      <c r="G5" s="89" t="n">
        <v>1932</v>
      </c>
      <c r="H5" s="6" t="s">
        <v>1943</v>
      </c>
    </row>
    <row r="6" customFormat="false" ht="14.25" hidden="false" customHeight="false" outlineLevel="0" collapsed="false">
      <c r="B6" s="4" t="s">
        <v>1944</v>
      </c>
      <c r="C6" s="17" t="n">
        <f aca="false">INDEX(Economy!$O$6:$O$92,MATCH(C$5,Economy!$A$6:$A$92,0))/1000</f>
        <v>0.514476949344264</v>
      </c>
      <c r="D6" s="17" t="n">
        <f aca="false">INDEX(Economy!$O$6:$O$92,MATCH(D$5,Economy!$A$6:$A$92,0))/1000</f>
        <v>4.0553643018443</v>
      </c>
      <c r="E6" s="17" t="n">
        <f aca="false">INDEX(Economy!$O$6:$O$92,MATCH(E$5,Economy!$A$6:$A$92,0))/1000</f>
        <v>13.3141761725515</v>
      </c>
      <c r="F6" s="17" t="n">
        <f aca="false">INDEX(Economy!$O$6:$O$92,MATCH(F$5,Economy!$A$6:$A$92,0))/1000</f>
        <v>50.7813287489817</v>
      </c>
      <c r="G6" s="17" t="n">
        <f aca="false">INDEX(Economy!$O$6:$O$92,MATCH(G$5,Economy!$A$6:$A$92,0))/1000</f>
        <v>39.4953333908374</v>
      </c>
      <c r="H6" s="57" t="s">
        <v>1945</v>
      </c>
    </row>
    <row r="7" customFormat="false" ht="14.25" hidden="false" customHeight="false" outlineLevel="0" collapsed="false">
      <c r="B7" s="10" t="s">
        <v>41</v>
      </c>
      <c r="C7" s="17" t="n">
        <f aca="false">INDEX(Japan!$D$6:$D$92,MATCH(C$5,Japan!$A$6:$A$92,0))/1000</f>
        <v>0.473001250255619</v>
      </c>
      <c r="D7" s="17" t="n">
        <f aca="false">INDEX(Japan!$D$6:$D$92,MATCH(D$5,Japan!$A$6:$A$92,0))/1000</f>
        <v>1.84619861658346</v>
      </c>
      <c r="E7" s="17" t="n">
        <f aca="false">INDEX(Japan!$D$6:$D$92,MATCH(E$5,Japan!$A$6:$A$92,0))/1000</f>
        <v>4.84278116702582</v>
      </c>
      <c r="F7" s="17" t="n">
        <f aca="false">INDEX(Japan!$D$6:$D$92,MATCH(F$5,Japan!$A$6:$A$92,0))/1000</f>
        <v>20.5557978917044</v>
      </c>
      <c r="G7" s="17" t="n">
        <f aca="false">INDEX(Japan!$D$6:$D$92,MATCH(G$5,Japan!$A$6:$A$92,0))/1000</f>
        <v>17.2779710810326</v>
      </c>
      <c r="H7" s="57" t="s">
        <v>1946</v>
      </c>
    </row>
    <row r="8" customFormat="false" ht="14.25" hidden="false" customHeight="false" outlineLevel="0" collapsed="false">
      <c r="B8" s="4" t="s">
        <v>1947</v>
      </c>
      <c r="C8" s="90" t="n">
        <f aca="false">C6+C7</f>
        <v>0.987478199599883</v>
      </c>
      <c r="D8" s="90" t="n">
        <f aca="false">D6+D7</f>
        <v>5.90156291842776</v>
      </c>
      <c r="E8" s="90" t="n">
        <f aca="false">E6+E7</f>
        <v>18.1569573395773</v>
      </c>
      <c r="F8" s="90" t="n">
        <f aca="false">F6+F7</f>
        <v>71.3371266406861</v>
      </c>
      <c r="G8" s="90" t="n">
        <f aca="false">G6+G7</f>
        <v>56.77330447187</v>
      </c>
      <c r="H8" s="57"/>
    </row>
    <row r="9" customFormat="false" ht="14.25" hidden="false" customHeight="false" outlineLevel="0" collapsed="false">
      <c r="B9" s="10" t="s">
        <v>1822</v>
      </c>
      <c r="C9" s="17" t="n">
        <f aca="false">INDEX(Partners!$Y$6:$Y$92,MATCH(C$5,Partners!$A$6:$A$92,0))/1000</f>
        <v>0</v>
      </c>
      <c r="D9" s="17" t="n">
        <f aca="false">INDEX(Partners!$Y$6:$Y$92,MATCH(D$5,Partners!$A$6:$A$92,0))/1000</f>
        <v>0.329439138863004</v>
      </c>
      <c r="E9" s="17" t="n">
        <f aca="false">INDEX(Partners!$Y$6:$Y$92,MATCH(E$5,Partners!$A$6:$A$92,0))/1000</f>
        <v>0.67457744612602</v>
      </c>
      <c r="F9" s="17" t="n">
        <f aca="false">INDEX(Partners!$Y$6:$Y$92,MATCH(F$5,Partners!$A$6:$A$92,0))/1000</f>
        <v>2.66266998197993</v>
      </c>
      <c r="G9" s="17" t="n">
        <f aca="false">INDEX(Partners!$Y$6:$Y$92,MATCH(G$5,Partners!$A$6:$A$92,0))/1000</f>
        <v>2.0678597561965</v>
      </c>
      <c r="H9" s="57" t="s">
        <v>1948</v>
      </c>
    </row>
    <row r="10" customFormat="false" ht="14.25" hidden="false" customHeight="false" outlineLevel="0" collapsed="false">
      <c r="B10" s="10" t="s">
        <v>1949</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2.29990234607758</v>
      </c>
      <c r="F10" s="17" t="n">
        <f aca="false">IF(INDEX(Gulf!$E$6:$E$92,MATCH(F$5,Gulf!$A$6:$A$92,0))=1,0,INDEX(Gulf!$D$6:$D$92,MATCH(F$5,Gulf!$A$6:$A$92,0))/1000)</f>
        <v>7.50285892971787</v>
      </c>
      <c r="G10" s="17" t="n">
        <f aca="false">IF(INDEX(Gulf!$E$6:$E$92,MATCH(G$5,Gulf!$A$6:$A$92,0))=1,0,INDEX(Gulf!$D$6:$D$92,MATCH(G$5,Gulf!$A$6:$A$92,0))/1000)</f>
        <v>4.22716565834522</v>
      </c>
      <c r="H10" s="57" t="s">
        <v>1950</v>
      </c>
    </row>
    <row r="11" customFormat="false" ht="14.25" hidden="false" customHeight="false" outlineLevel="0" collapsed="false">
      <c r="B11" s="10" t="s">
        <v>1951</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1.68127895466132</v>
      </c>
      <c r="G11" s="17" t="n">
        <f aca="false">INDEX(Partners!$AG$6:$AG$92,MATCH(G$5,Partners!$A$6:$A$92,0))/1000</f>
        <v>1.41261005098012</v>
      </c>
      <c r="H11" s="57" t="s">
        <v>1948</v>
      </c>
    </row>
    <row r="12" customFormat="false" ht="14.25" hidden="false" customHeight="false" outlineLevel="0" collapsed="false">
      <c r="B12" s="4" t="s">
        <v>52</v>
      </c>
      <c r="C12" s="90" t="n">
        <f aca="false">C8+C9+C10+C11</f>
        <v>0.987478199599883</v>
      </c>
      <c r="D12" s="90" t="n">
        <f aca="false">D8+D9+D10+D11</f>
        <v>7.10135005729076</v>
      </c>
      <c r="E12" s="90" t="n">
        <f aca="false">E8+E9+E10+E11</f>
        <v>21.1314371317809</v>
      </c>
      <c r="F12" s="90" t="n">
        <f aca="false">F8+F9+F10+F11</f>
        <v>83.1839345070452</v>
      </c>
      <c r="G12" s="90" t="n">
        <f aca="false">G8+G9+G10+G11</f>
        <v>64.4809399373918</v>
      </c>
      <c r="H12" s="57" t="s">
        <v>1952</v>
      </c>
    </row>
    <row r="13" customFormat="false" ht="14.25" hidden="false" customHeight="false" outlineLevel="0" collapsed="false">
      <c r="B13" s="4" t="s">
        <v>1953</v>
      </c>
      <c r="C13" s="17" t="n">
        <f aca="false">INDEX(Labour!$BK$6:$BK$92,MATCH(C$5,Labour!$A$6:$A$92,0))/1000</f>
        <v>5.61397899872189</v>
      </c>
      <c r="D13" s="17" t="n">
        <f aca="false">INDEX(Labour!$BK$6:$BK$92,MATCH(D$5,Labour!$A$6:$A$92,0))/1000</f>
        <v>15.222438770431</v>
      </c>
      <c r="E13" s="17" t="n">
        <f aca="false">INDEX(Labour!$BK$6:$BK$92,MATCH(E$5,Labour!$A$6:$A$92,0))/1000</f>
        <v>29.2521556018677</v>
      </c>
      <c r="F13" s="17" t="n">
        <f aca="false">INDEX(Labour!$BK$6:$BK$92,MATCH(F$5,Labour!$A$6:$A$92,0))/1000</f>
        <v>71.2716606910341</v>
      </c>
      <c r="G13" s="17" t="n">
        <f aca="false">INDEX(Labour!$BK$6:$BK$92,MATCH(G$5,Labour!$A$6:$A$92,0))/1000</f>
        <v>36.7282964940073</v>
      </c>
      <c r="H13" s="57" t="s">
        <v>1954</v>
      </c>
    </row>
    <row r="14" customFormat="false" ht="14.25" hidden="false" customHeight="false" outlineLevel="0" collapsed="false">
      <c r="B14" s="10" t="s">
        <v>660</v>
      </c>
      <c r="C14" s="91" t="n">
        <f aca="false">C$41*(C$45+C$46+IF(C$5&lt;1900,C$44,0))*C$52</f>
        <v>0.792</v>
      </c>
      <c r="D14" s="91" t="n">
        <f aca="false">D$41*(D$45+D$46+IF(D$5&lt;1900,D$44,0))*D$52</f>
        <v>0.6732</v>
      </c>
      <c r="E14" s="91" t="n">
        <f aca="false">E$41*(E$45+E$46+IF(E$5&lt;1900,E$44,0))*E$52</f>
        <v>1.47798</v>
      </c>
      <c r="F14" s="91" t="n">
        <f aca="false">F$41*(F$45+F$46+IF(F$5&lt;1900,F$44,0))*F$52</f>
        <v>3.7656</v>
      </c>
      <c r="G14" s="91" t="n">
        <f aca="false">G$41*(G$45+G$46+IF(G$5&lt;1900,G$44,0))*G$52</f>
        <v>2.0349</v>
      </c>
      <c r="H14" s="57" t="s">
        <v>1955</v>
      </c>
    </row>
    <row r="15" customFormat="false" ht="14.25" hidden="false" customHeight="false" outlineLevel="0" collapsed="false">
      <c r="B15" s="4" t="s">
        <v>54</v>
      </c>
      <c r="C15" s="90" t="n">
        <f aca="false">C$53</f>
        <v>4.9</v>
      </c>
      <c r="D15" s="90" t="n">
        <f aca="false">D$53</f>
        <v>9.4</v>
      </c>
      <c r="E15" s="90" t="n">
        <f aca="false">E$53</f>
        <v>12.2</v>
      </c>
      <c r="F15" s="90" t="n">
        <f aca="false">F$53</f>
        <v>22.9</v>
      </c>
      <c r="G15" s="90" t="n">
        <f aca="false">G$53</f>
        <v>15.3</v>
      </c>
      <c r="H15" s="57"/>
    </row>
    <row r="16" customFormat="false" ht="14.25" hidden="false" customHeight="false" outlineLevel="0" collapsed="false">
      <c r="B16" s="10" t="s">
        <v>55</v>
      </c>
      <c r="C16" s="91" t="n">
        <f aca="false">C$54</f>
        <v>3.3</v>
      </c>
      <c r="D16" s="91" t="n">
        <f aca="false">D$54</f>
        <v>7.9</v>
      </c>
      <c r="E16" s="91" t="n">
        <f aca="false">E$54</f>
        <v>12.4</v>
      </c>
      <c r="F16" s="91" t="n">
        <f aca="false">F$54</f>
        <v>23.3</v>
      </c>
      <c r="G16" s="91" t="n">
        <f aca="false">G$54</f>
        <v>15.2</v>
      </c>
      <c r="H16" s="57"/>
    </row>
    <row r="17" customFormat="false" ht="14.25" hidden="false" customHeight="false" outlineLevel="0" collapsed="false">
      <c r="B17" s="10" t="s">
        <v>775</v>
      </c>
      <c r="C17" s="91" t="n">
        <f aca="false">C$55</f>
        <v>4.2</v>
      </c>
      <c r="D17" s="91" t="n">
        <f aca="false">D$55</f>
        <v>6.4</v>
      </c>
      <c r="E17" s="91" t="n">
        <f aca="false">E$55</f>
        <v>10</v>
      </c>
      <c r="F17" s="91" t="n">
        <f aca="false">F$55</f>
        <v>16.7</v>
      </c>
      <c r="G17" s="91" t="n">
        <f aca="false">G$55</f>
        <v>14.2</v>
      </c>
      <c r="H17" s="57"/>
    </row>
    <row r="18" customFormat="false" ht="14.25" hidden="false" customHeight="false" outlineLevel="0" collapsed="false">
      <c r="B18" s="10" t="s">
        <v>1956</v>
      </c>
      <c r="C18" s="91" t="n">
        <f aca="false">C$56</f>
        <v>5</v>
      </c>
      <c r="D18" s="91" t="n">
        <f aca="false">D$56</f>
        <v>8</v>
      </c>
      <c r="E18" s="91" t="n">
        <f aca="false">E$56</f>
        <v>10.3</v>
      </c>
      <c r="F18" s="91" t="n">
        <f aca="false">F$56</f>
        <v>8</v>
      </c>
      <c r="G18" s="91" t="n">
        <f aca="false">G$56</f>
        <v>7</v>
      </c>
      <c r="H18" s="57"/>
    </row>
    <row r="19" customFormat="false" ht="14.25" hidden="false" customHeight="false" outlineLevel="0" collapsed="false">
      <c r="B19" s="10" t="s">
        <v>705</v>
      </c>
      <c r="C19" s="17" t="n">
        <f aca="false">INDEX(Partners!$AO$6:$AO$92,MATCH(C$5,Partners!$A$6:$A$92,0))/1000</f>
        <v>3.56406378019321</v>
      </c>
      <c r="D19" s="17" t="n">
        <f aca="false">INDEX(Partners!$AO$6:$AO$92,MATCH(D$5,Partners!$A$6:$A$92,0))/1000</f>
        <v>4.72433472958831</v>
      </c>
      <c r="E19" s="17" t="n">
        <f aca="false">INDEX(Partners!$AO$6:$AO$92,MATCH(E$5,Partners!$A$6:$A$92,0))/1000</f>
        <v>6.62106167529526</v>
      </c>
      <c r="F19" s="17" t="n">
        <f aca="false">INDEX(Partners!$AO$6:$AO$92,MATCH(F$5,Partners!$A$6:$A$92,0))/1000</f>
        <v>13.0034642369247</v>
      </c>
      <c r="G19" s="17" t="n">
        <f aca="false">INDEX(Partners!$AO$6:$AO$92,MATCH(G$5,Partners!$A$6:$A$92,0))/1000</f>
        <v>11.8900897912961</v>
      </c>
      <c r="H19" s="57" t="s">
        <v>1957</v>
      </c>
    </row>
    <row r="20" customFormat="false" ht="14.25" hidden="false" customHeight="false" outlineLevel="0" collapsed="false">
      <c r="B20" s="10" t="s">
        <v>749</v>
      </c>
      <c r="C20" s="17" t="n">
        <f aca="false">INDEX(Partners!$AW$6:$AW$92,MATCH(C$5,Partners!$A$6:$A$92,0))/1000</f>
        <v>0.15</v>
      </c>
      <c r="D20" s="17" t="n">
        <f aca="false">INDEX(Partners!$AW$6:$AW$92,MATCH(D$5,Partners!$A$6:$A$92,0))/1000</f>
        <v>0.301598602928751</v>
      </c>
      <c r="E20" s="17" t="n">
        <f aca="false">INDEX(Partners!$AW$6:$AW$92,MATCH(E$5,Partners!$A$6:$A$92,0))/1000</f>
        <v>0.586596957598975</v>
      </c>
      <c r="F20" s="17" t="n">
        <f aca="false">INDEX(Partners!$AW$6:$AW$92,MATCH(F$5,Partners!$A$6:$A$92,0))/1000</f>
        <v>1.94306296682596</v>
      </c>
      <c r="G20" s="17" t="n">
        <f aca="false">INDEX(Partners!$AW$6:$AW$92,MATCH(G$5,Partners!$A$6:$A$92,0))/1000</f>
        <v>1.63874874863817</v>
      </c>
      <c r="H20" s="57" t="s">
        <v>1958</v>
      </c>
    </row>
    <row r="21" customFormat="false" ht="14.25" hidden="false" customHeight="false" outlineLevel="0" collapsed="false">
      <c r="B21" s="10" t="s">
        <v>1824</v>
      </c>
      <c r="C21" s="17" t="n">
        <f aca="false">INDEX(Partners!$BE$6:$BE$92,MATCH(C$5,Partners!$A$6:$A$92,0))/1000</f>
        <v>0.9</v>
      </c>
      <c r="D21" s="17" t="n">
        <f aca="false">INDEX(Partners!$BE$6:$BE$92,MATCH(D$5,Partners!$A$6:$A$92,0))/1000</f>
        <v>2.08767956080511</v>
      </c>
      <c r="E21" s="17" t="n">
        <f aca="false">INDEX(Partners!$BE$6:$BE$92,MATCH(E$5,Partners!$A$6:$A$92,0))/1000</f>
        <v>3.292755248809</v>
      </c>
      <c r="F21" s="17" t="n">
        <f aca="false">INDEX(Partners!$BE$6:$BE$92,MATCH(F$5,Partners!$A$6:$A$92,0))/1000</f>
        <v>7.3620348799316</v>
      </c>
      <c r="G21" s="17" t="n">
        <f aca="false">INDEX(Partners!$BE$6:$BE$92,MATCH(G$5,Partners!$A$6:$A$92,0))/1000</f>
        <v>4.41000457821455</v>
      </c>
      <c r="H21" s="57"/>
    </row>
    <row r="22" customFormat="false" ht="14.25" hidden="false" customHeight="false" outlineLevel="0" collapsed="false">
      <c r="B22" s="10" t="s">
        <v>1825</v>
      </c>
      <c r="C22" s="17" t="n">
        <f aca="false">INDEX(Partners!$BM$6:$BM$92,MATCH(C$5,Partners!$A$6:$A$92,0))/1000</f>
        <v>1</v>
      </c>
      <c r="D22" s="17" t="n">
        <f aca="false">INDEX(Partners!$BM$6:$BM$92,MATCH(D$5,Partners!$A$6:$A$92,0))/1000</f>
        <v>2.33070298201083</v>
      </c>
      <c r="E22" s="17" t="n">
        <f aca="false">INDEX(Partners!$BM$6:$BM$92,MATCH(E$5,Partners!$A$6:$A$92,0))/1000</f>
        <v>4.16997601112844</v>
      </c>
      <c r="F22" s="17" t="n">
        <f aca="false">INDEX(Partners!$BM$6:$BM$92,MATCH(F$5,Partners!$A$6:$A$92,0))/1000</f>
        <v>8.97245302693564</v>
      </c>
      <c r="G22" s="17" t="n">
        <f aca="false">INDEX(Partners!$BM$6:$BM$92,MATCH(G$5,Partners!$A$6:$A$92,0))/1000</f>
        <v>5.27382778173631</v>
      </c>
      <c r="H22" s="57"/>
    </row>
    <row r="23" customFormat="false" ht="14.25" hidden="false" customHeight="false" outlineLevel="0" collapsed="false">
      <c r="B23" s="10" t="s">
        <v>1826</v>
      </c>
      <c r="C23" s="17" t="n">
        <f aca="false">INDEX(Partners!$BU$6:$BU$92,MATCH(C$5,Partners!$A$6:$A$92,0))/1000</f>
        <v>0.5</v>
      </c>
      <c r="D23" s="17" t="n">
        <f aca="false">INDEX(Partners!$BU$6:$BU$92,MATCH(D$5,Partners!$A$6:$A$92,0))/1000</f>
        <v>0.8</v>
      </c>
      <c r="E23" s="17" t="n">
        <f aca="false">INDEX(Partners!$BU$6:$BU$92,MATCH(E$5,Partners!$A$6:$A$92,0))/1000</f>
        <v>1.11771314001741</v>
      </c>
      <c r="F23" s="17" t="n">
        <f aca="false">INDEX(Partners!$BU$6:$BU$92,MATCH(F$5,Partners!$A$6:$A$92,0))/1000</f>
        <v>1.96125184696214</v>
      </c>
      <c r="G23" s="17" t="n">
        <f aca="false">INDEX(Partners!$BU$6:$BU$92,MATCH(G$5,Partners!$A$6:$A$92,0))/1000</f>
        <v>1.55680190571764</v>
      </c>
      <c r="H23" s="57"/>
    </row>
    <row r="25" customFormat="false" ht="14.25" hidden="false" customHeight="false" outlineLevel="0" collapsed="false">
      <c r="B25" s="6" t="s">
        <v>1302</v>
      </c>
      <c r="C25" s="89" t="n">
        <v>1870</v>
      </c>
      <c r="D25" s="89" t="n">
        <v>1900</v>
      </c>
      <c r="E25" s="89" t="n">
        <v>1913</v>
      </c>
      <c r="F25" s="89" t="n">
        <v>1929</v>
      </c>
      <c r="G25" s="89" t="n">
        <v>1932</v>
      </c>
      <c r="H25" s="6" t="s">
        <v>1943</v>
      </c>
    </row>
    <row r="26" customFormat="false" ht="14.25" hidden="false" customHeight="false" outlineLevel="0" collapsed="false">
      <c r="B26" s="10" t="s">
        <v>1959</v>
      </c>
      <c r="C26" s="92" t="n">
        <f aca="false">C6/C15</f>
        <v>0.104995295784544</v>
      </c>
      <c r="D26" s="92" t="n">
        <f aca="false">D6/D15</f>
        <v>0.431421734238755</v>
      </c>
      <c r="E26" s="92" t="n">
        <f aca="false">E6/E15</f>
        <v>1.09132591578291</v>
      </c>
      <c r="F26" s="92" t="n">
        <f aca="false">F6/F15</f>
        <v>2.2175252728813</v>
      </c>
      <c r="G26" s="92" t="n">
        <f aca="false">G6/G15</f>
        <v>2.58139433927042</v>
      </c>
      <c r="H26" s="57"/>
    </row>
    <row r="27" customFormat="false" ht="14.25" hidden="false" customHeight="false" outlineLevel="0" collapsed="false">
      <c r="B27" s="4" t="s">
        <v>1588</v>
      </c>
      <c r="C27" s="35" t="n">
        <f aca="false">C8/C15</f>
        <v>0.20152616318365</v>
      </c>
      <c r="D27" s="35" t="n">
        <f aca="false">D8/D15</f>
        <v>0.627825842385931</v>
      </c>
      <c r="E27" s="35" t="n">
        <f aca="false">E8/E15</f>
        <v>1.48827519176863</v>
      </c>
      <c r="F27" s="35" t="n">
        <f aca="false">F8/F15</f>
        <v>3.11515836858891</v>
      </c>
      <c r="G27" s="35" t="n">
        <f aca="false">G8/G15</f>
        <v>3.71067349489346</v>
      </c>
      <c r="H27" s="57"/>
    </row>
    <row r="28" customFormat="false" ht="14.25" hidden="false" customHeight="false" outlineLevel="0" collapsed="false">
      <c r="B28" s="10" t="s">
        <v>1960</v>
      </c>
      <c r="C28" s="92" t="n">
        <f aca="false">C6/C13</f>
        <v>0.0916421221848876</v>
      </c>
      <c r="D28" s="92" t="n">
        <f aca="false">D6/D13</f>
        <v>0.266407003700464</v>
      </c>
      <c r="E28" s="92" t="n">
        <f aca="false">E6/E13</f>
        <v>0.455151967388735</v>
      </c>
      <c r="F28" s="92" t="n">
        <f aca="false">F6/F13</f>
        <v>0.712503795430291</v>
      </c>
      <c r="G28" s="92" t="n">
        <f aca="false">G6/G13</f>
        <v>1.07533801349272</v>
      </c>
      <c r="H28" s="57"/>
    </row>
    <row r="29" customFormat="false" ht="14.25" hidden="false" customHeight="false" outlineLevel="0" collapsed="false">
      <c r="B29" s="4" t="s">
        <v>1961</v>
      </c>
      <c r="C29" s="35" t="n">
        <f aca="false">C12/C13</f>
        <v>0.175896311657863</v>
      </c>
      <c r="D29" s="35" t="n">
        <f aca="false">D12/D13</f>
        <v>0.466505411149024</v>
      </c>
      <c r="E29" s="35" t="n">
        <f aca="false">E12/E13</f>
        <v>0.722389058071046</v>
      </c>
      <c r="F29" s="35" t="n">
        <f aca="false">F12/F13</f>
        <v>1.16713899606817</v>
      </c>
      <c r="G29" s="35" t="n">
        <f aca="false">G12/G13</f>
        <v>1.75562021908402</v>
      </c>
      <c r="H29" s="57"/>
    </row>
    <row r="30" customFormat="false" ht="14.25" hidden="false" customHeight="false" outlineLevel="0" collapsed="false">
      <c r="B30" s="10" t="s">
        <v>1962</v>
      </c>
      <c r="C30" s="92" t="n">
        <f aca="false">C12/(C15+C16+C17)</f>
        <v>0.0796353386774099</v>
      </c>
      <c r="D30" s="92" t="n">
        <f aca="false">D12/(D15+D16+D17)</f>
        <v>0.299635023514378</v>
      </c>
      <c r="E30" s="92" t="n">
        <f aca="false">E12/(E15+E16+E17)</f>
        <v>0.610735177219101</v>
      </c>
      <c r="F30" s="92" t="n">
        <f aca="false">F12/(F15+F16+F17)</f>
        <v>1.32247908596256</v>
      </c>
      <c r="G30" s="92" t="n">
        <f aca="false">G12/(G15+G16+G17)</f>
        <v>1.44252662052331</v>
      </c>
      <c r="H30" s="57"/>
    </row>
    <row r="32" customFormat="false" ht="14.25" hidden="false" customHeight="false" outlineLevel="0" collapsed="false">
      <c r="B32" s="6" t="s">
        <v>1963</v>
      </c>
      <c r="C32" s="89" t="n">
        <v>1870</v>
      </c>
      <c r="D32" s="89" t="n">
        <v>1900</v>
      </c>
      <c r="E32" s="89" t="n">
        <v>1913</v>
      </c>
      <c r="F32" s="89" t="n">
        <v>1929</v>
      </c>
      <c r="G32" s="89" t="n">
        <v>1932</v>
      </c>
      <c r="H32" s="6" t="s">
        <v>1943</v>
      </c>
    </row>
    <row r="33" customFormat="false" ht="14.25" hidden="false" customHeight="false" outlineLevel="0" collapsed="false">
      <c r="B33" s="10" t="s">
        <v>1944</v>
      </c>
      <c r="C33" s="17" t="n">
        <f aca="false">INDEX(People!$X$6:$X$92,MATCH(C$5,People!$A$6:$A$92,0))/1000000</f>
        <v>1.77114959250971</v>
      </c>
      <c r="D33" s="17" t="n">
        <f aca="false">INDEX(People!$X$6:$X$92,MATCH(D$5,People!$A$6:$A$92,0))/1000000</f>
        <v>8.47527486674524</v>
      </c>
      <c r="E33" s="17" t="n">
        <f aca="false">INDEX(People!$X$6:$X$92,MATCH(E$5,People!$A$6:$A$92,0))/1000000</f>
        <v>15.8251263166441</v>
      </c>
      <c r="F33" s="17" t="n">
        <f aca="false">INDEX(People!$X$6:$X$92,MATCH(F$5,People!$A$6:$A$92,0))/1000000</f>
        <v>26.6957679482515</v>
      </c>
      <c r="G33" s="17" t="n">
        <f aca="false">INDEX(People!$X$6:$X$92,MATCH(G$5,People!$A$6:$A$92,0))/1000000</f>
        <v>28.1741477112578</v>
      </c>
      <c r="H33" s="57"/>
    </row>
    <row r="34" customFormat="false" ht="14.25" hidden="false" customHeight="false" outlineLevel="0" collapsed="false">
      <c r="B34" s="10" t="s">
        <v>41</v>
      </c>
      <c r="C34" s="91" t="n">
        <f aca="false">C$57</f>
        <v>34.8</v>
      </c>
      <c r="D34" s="91" t="n">
        <f aca="false">D$57</f>
        <v>44</v>
      </c>
      <c r="E34" s="91" t="n">
        <f aca="false">E$57</f>
        <v>51.3</v>
      </c>
      <c r="F34" s="91" t="n">
        <f aca="false">F$57</f>
        <v>63.5</v>
      </c>
      <c r="G34" s="91" t="n">
        <f aca="false">G$57</f>
        <v>66.4</v>
      </c>
      <c r="H34" s="57"/>
    </row>
    <row r="35" customFormat="false" ht="14.25" hidden="false" customHeight="false" outlineLevel="0" collapsed="false">
      <c r="B35" s="10" t="s">
        <v>53</v>
      </c>
      <c r="C35" s="17" t="n">
        <f aca="false">INDEX(Labour!$AX$6:$AX$92,MATCH(C$5,Labour!$A$6:$A$92,0))</f>
        <v>29.4</v>
      </c>
      <c r="D35" s="17" t="n">
        <f aca="false">INDEX(Labour!$AX$6:$AX$92,MATCH(D$5,Labour!$A$6:$A$92,0))</f>
        <v>58.6852646810949</v>
      </c>
      <c r="E35" s="17" t="n">
        <f aca="false">INDEX(Labour!$AX$6:$AX$92,MATCH(E$5,Labour!$A$6:$A$92,0))</f>
        <v>73.3883911152412</v>
      </c>
      <c r="F35" s="17" t="n">
        <f aca="false">INDEX(Labour!$AX$6:$AX$92,MATCH(F$5,Labour!$A$6:$A$92,0))</f>
        <v>86.0840218780452</v>
      </c>
      <c r="G35" s="17" t="n">
        <f aca="false">INDEX(Labour!$AX$6:$AX$92,MATCH(G$5,Labour!$A$6:$A$92,0))</f>
        <v>87.9602249380858</v>
      </c>
      <c r="H35" s="57"/>
    </row>
    <row r="36" customFormat="false" ht="14.25" hidden="false" customHeight="false" outlineLevel="0" collapsed="false">
      <c r="B36" s="10" t="s">
        <v>54</v>
      </c>
      <c r="C36" s="91" t="n">
        <f aca="false">C$58</f>
        <v>31.3</v>
      </c>
      <c r="D36" s="91" t="n">
        <f aca="false">D$58</f>
        <v>41.5</v>
      </c>
      <c r="E36" s="91" t="n">
        <f aca="false">E$58</f>
        <v>46</v>
      </c>
      <c r="F36" s="91" t="n">
        <f aca="false">F$58</f>
        <v>46</v>
      </c>
      <c r="G36" s="91" t="n">
        <f aca="false">G$58</f>
        <v>46.3</v>
      </c>
      <c r="H36" s="57"/>
    </row>
    <row r="37" customFormat="false" ht="14.25" hidden="false" customHeight="false" outlineLevel="0" collapsed="false">
      <c r="B37" s="10" t="s">
        <v>55</v>
      </c>
      <c r="C37" s="91" t="n">
        <f aca="false">C$59</f>
        <v>40.8</v>
      </c>
      <c r="D37" s="91" t="n">
        <f aca="false">D$59</f>
        <v>56</v>
      </c>
      <c r="E37" s="91" t="n">
        <f aca="false">E$59</f>
        <v>66</v>
      </c>
      <c r="F37" s="91" t="n">
        <f aca="false">F$59</f>
        <v>66.5</v>
      </c>
      <c r="G37" s="91" t="n">
        <f aca="false">G$59</f>
        <v>67</v>
      </c>
      <c r="H37" s="57"/>
    </row>
    <row r="40" customFormat="false" ht="14.25" hidden="false" customHeight="false" outlineLevel="0" collapsed="false">
      <c r="B40" s="6" t="s">
        <v>1964</v>
      </c>
      <c r="C40" s="89" t="n">
        <v>1870</v>
      </c>
      <c r="D40" s="89" t="n">
        <v>1900</v>
      </c>
      <c r="E40" s="89" t="n">
        <v>1913</v>
      </c>
      <c r="F40" s="89" t="n">
        <v>1929</v>
      </c>
      <c r="G40" s="89" t="n">
        <v>1932</v>
      </c>
      <c r="H40" s="6" t="s">
        <v>1943</v>
      </c>
    </row>
    <row r="41" customFormat="false" ht="14.25" hidden="false" customHeight="false" outlineLevel="0" collapsed="false">
      <c r="B41" s="10" t="s">
        <v>1965</v>
      </c>
      <c r="C41" s="93" t="n">
        <v>6.6</v>
      </c>
      <c r="D41" s="93" t="n">
        <v>18.7</v>
      </c>
      <c r="E41" s="93" t="n">
        <v>39.1</v>
      </c>
      <c r="F41" s="93" t="n">
        <v>104.6</v>
      </c>
      <c r="G41" s="93" t="n">
        <v>59.5</v>
      </c>
      <c r="H41" s="57" t="s">
        <v>1966</v>
      </c>
    </row>
    <row r="42" customFormat="false" ht="14.25" hidden="false" customHeight="false" outlineLevel="0" collapsed="false">
      <c r="B42" s="10" t="s">
        <v>1967</v>
      </c>
      <c r="C42" s="93" t="n">
        <v>38.6</v>
      </c>
      <c r="D42" s="93" t="n">
        <v>76.2</v>
      </c>
      <c r="E42" s="93" t="n">
        <v>97.2</v>
      </c>
      <c r="F42" s="93" t="n">
        <v>121.8</v>
      </c>
      <c r="G42" s="93" t="n">
        <v>124.8</v>
      </c>
      <c r="H42" s="57" t="s">
        <v>1968</v>
      </c>
    </row>
    <row r="43" customFormat="false" ht="14.25" hidden="false" customHeight="false" outlineLevel="0" collapsed="false">
      <c r="B43" s="10" t="s">
        <v>1969</v>
      </c>
      <c r="C43" s="94" t="n">
        <v>0.03</v>
      </c>
      <c r="D43" s="94" t="n">
        <v>0.06</v>
      </c>
      <c r="E43" s="94" t="n">
        <v>0.08</v>
      </c>
      <c r="F43" s="94" t="n">
        <v>0.105</v>
      </c>
      <c r="G43" s="94" t="n">
        <v>0.105</v>
      </c>
      <c r="H43" s="57" t="s">
        <v>1970</v>
      </c>
    </row>
    <row r="44" customFormat="false" ht="14.25" hidden="false" customHeight="false" outlineLevel="0" collapsed="false">
      <c r="B44" s="10" t="s">
        <v>1971</v>
      </c>
      <c r="C44" s="94" t="n">
        <v>0.035</v>
      </c>
      <c r="D44" s="94" t="n">
        <v>0.048</v>
      </c>
      <c r="E44" s="94" t="n">
        <v>0.055</v>
      </c>
      <c r="F44" s="94" t="n">
        <v>0.06</v>
      </c>
      <c r="G44" s="94" t="n">
        <v>0.058</v>
      </c>
      <c r="H44" s="57" t="s">
        <v>1972</v>
      </c>
    </row>
    <row r="45" customFormat="false" ht="14.25" hidden="false" customHeight="false" outlineLevel="0" collapsed="false">
      <c r="B45" s="10" t="s">
        <v>1973</v>
      </c>
      <c r="C45" s="94" t="n">
        <v>0.05</v>
      </c>
      <c r="D45" s="94" t="n">
        <v>0.04</v>
      </c>
      <c r="E45" s="94" t="n">
        <v>0.042</v>
      </c>
      <c r="F45" s="94" t="n">
        <v>0.04</v>
      </c>
      <c r="G45" s="94" t="n">
        <v>0.038</v>
      </c>
      <c r="H45" s="57" t="s">
        <v>1972</v>
      </c>
    </row>
    <row r="46" customFormat="false" ht="14.25" hidden="false" customHeight="false" outlineLevel="0" collapsed="false">
      <c r="B46" s="10" t="s">
        <v>1974</v>
      </c>
      <c r="C46" s="94" t="n">
        <v>0.035</v>
      </c>
      <c r="D46" s="94" t="n">
        <v>0</v>
      </c>
      <c r="E46" s="94" t="n">
        <v>0</v>
      </c>
      <c r="F46" s="94" t="n">
        <v>0</v>
      </c>
      <c r="G46" s="94" t="n">
        <v>0</v>
      </c>
      <c r="H46" s="57" t="s">
        <v>1975</v>
      </c>
    </row>
    <row r="47" customFormat="false" ht="14.25" hidden="false" customHeight="false" outlineLevel="0" collapsed="false">
      <c r="B47" s="10" t="s">
        <v>1976</v>
      </c>
      <c r="C47" s="94" t="n">
        <v>0.024</v>
      </c>
      <c r="D47" s="94" t="n">
        <v>0.047</v>
      </c>
      <c r="E47" s="94" t="n">
        <v>0.058</v>
      </c>
      <c r="F47" s="94" t="n">
        <v>0.087</v>
      </c>
      <c r="G47" s="94" t="n">
        <v>0.088</v>
      </c>
      <c r="H47" s="57" t="s">
        <v>1968</v>
      </c>
    </row>
    <row r="48" customFormat="false" ht="14.25" hidden="false" customHeight="false" outlineLevel="0" collapsed="false">
      <c r="B48" s="10" t="s">
        <v>1977</v>
      </c>
      <c r="C48" s="94" t="n">
        <v>0.053</v>
      </c>
      <c r="D48" s="94" t="n">
        <v>0.075</v>
      </c>
      <c r="E48" s="94" t="n">
        <v>0.072</v>
      </c>
      <c r="F48" s="94" t="n">
        <v>0.08</v>
      </c>
      <c r="G48" s="94" t="n">
        <v>0.08</v>
      </c>
      <c r="H48" s="57" t="s">
        <v>1968</v>
      </c>
    </row>
    <row r="49" customFormat="false" ht="14.25" hidden="false" customHeight="false" outlineLevel="0" collapsed="false">
      <c r="B49" s="10" t="s">
        <v>1978</v>
      </c>
      <c r="C49" s="94" t="n">
        <v>0.101</v>
      </c>
      <c r="D49" s="94" t="n">
        <v>0.098</v>
      </c>
      <c r="E49" s="94" t="n">
        <v>0.087</v>
      </c>
      <c r="F49" s="94" t="n">
        <v>0.088</v>
      </c>
      <c r="G49" s="94" t="n">
        <v>0.088</v>
      </c>
      <c r="H49" s="57" t="s">
        <v>1968</v>
      </c>
    </row>
    <row r="50" customFormat="false" ht="14.25" hidden="false" customHeight="false" outlineLevel="0" collapsed="false">
      <c r="B50" s="10" t="s">
        <v>1979</v>
      </c>
      <c r="C50" s="94" t="n">
        <v>0.06</v>
      </c>
      <c r="D50" s="94" t="n">
        <v>0</v>
      </c>
      <c r="E50" s="94" t="n">
        <v>0</v>
      </c>
      <c r="F50" s="94" t="n">
        <v>0</v>
      </c>
      <c r="G50" s="94" t="n">
        <v>0</v>
      </c>
      <c r="H50" s="57" t="s">
        <v>1968</v>
      </c>
    </row>
    <row r="51" customFormat="false" ht="14.25" hidden="false" customHeight="false" outlineLevel="0" collapsed="false">
      <c r="B51" s="10" t="s">
        <v>1980</v>
      </c>
      <c r="C51" s="21" t="n">
        <v>1</v>
      </c>
      <c r="D51" s="21" t="n">
        <v>1</v>
      </c>
      <c r="E51" s="21" t="n">
        <v>1.1</v>
      </c>
      <c r="F51" s="21" t="n">
        <v>1.1</v>
      </c>
      <c r="G51" s="21" t="n">
        <v>1.15</v>
      </c>
      <c r="H51" s="57" t="s">
        <v>1981</v>
      </c>
    </row>
    <row r="52" customFormat="false" ht="14.25" hidden="false" customHeight="false" outlineLevel="0" collapsed="false">
      <c r="B52" s="10" t="s">
        <v>1982</v>
      </c>
      <c r="C52" s="21" t="n">
        <v>1</v>
      </c>
      <c r="D52" s="21" t="n">
        <v>0.9</v>
      </c>
      <c r="E52" s="21" t="n">
        <v>0.9</v>
      </c>
      <c r="F52" s="21" t="n">
        <v>0.9</v>
      </c>
      <c r="G52" s="21" t="n">
        <v>0.9</v>
      </c>
      <c r="H52" s="57" t="s">
        <v>1983</v>
      </c>
    </row>
    <row r="53" customFormat="false" ht="14.25" hidden="false" customHeight="false" outlineLevel="0" collapsed="false">
      <c r="B53" s="10" t="s">
        <v>1984</v>
      </c>
      <c r="C53" s="93" t="n">
        <v>4.9</v>
      </c>
      <c r="D53" s="93" t="n">
        <v>9.4</v>
      </c>
      <c r="E53" s="93" t="n">
        <v>12.2</v>
      </c>
      <c r="F53" s="93" t="n">
        <v>22.9</v>
      </c>
      <c r="G53" s="93" t="n">
        <v>15.3</v>
      </c>
      <c r="H53" s="57" t="s">
        <v>1985</v>
      </c>
    </row>
    <row r="54" customFormat="false" ht="14.25" hidden="false" customHeight="false" outlineLevel="0" collapsed="false">
      <c r="B54" s="10" t="s">
        <v>1986</v>
      </c>
      <c r="C54" s="93" t="n">
        <v>3.3</v>
      </c>
      <c r="D54" s="93" t="n">
        <v>7.9</v>
      </c>
      <c r="E54" s="93" t="n">
        <v>12.4</v>
      </c>
      <c r="F54" s="93" t="n">
        <v>23.3</v>
      </c>
      <c r="G54" s="93" t="n">
        <v>15.2</v>
      </c>
      <c r="H54" s="57" t="s">
        <v>1987</v>
      </c>
    </row>
    <row r="55" customFormat="false" ht="14.25" hidden="false" customHeight="false" outlineLevel="0" collapsed="false">
      <c r="B55" s="10" t="s">
        <v>1988</v>
      </c>
      <c r="C55" s="93" t="n">
        <v>4.2</v>
      </c>
      <c r="D55" s="93" t="n">
        <v>6.4</v>
      </c>
      <c r="E55" s="93" t="n">
        <v>10</v>
      </c>
      <c r="F55" s="93" t="n">
        <v>16.7</v>
      </c>
      <c r="G55" s="93" t="n">
        <v>14.2</v>
      </c>
      <c r="H55" s="57" t="s">
        <v>1989</v>
      </c>
    </row>
    <row r="56" customFormat="false" ht="14.25" hidden="false" customHeight="false" outlineLevel="0" collapsed="false">
      <c r="B56" s="10" t="s">
        <v>1990</v>
      </c>
      <c r="C56" s="93" t="n">
        <v>5</v>
      </c>
      <c r="D56" s="93" t="n">
        <v>8</v>
      </c>
      <c r="E56" s="93" t="n">
        <v>10.3</v>
      </c>
      <c r="F56" s="93" t="n">
        <v>8</v>
      </c>
      <c r="G56" s="93" t="n">
        <v>7</v>
      </c>
      <c r="H56" s="57" t="s">
        <v>1991</v>
      </c>
    </row>
    <row r="57" customFormat="false" ht="14.25" hidden="false" customHeight="false" outlineLevel="0" collapsed="false">
      <c r="B57" s="10" t="s">
        <v>1992</v>
      </c>
      <c r="C57" s="93" t="n">
        <v>34.8</v>
      </c>
      <c r="D57" s="93" t="n">
        <v>44</v>
      </c>
      <c r="E57" s="93" t="n">
        <v>51.3</v>
      </c>
      <c r="F57" s="93" t="n">
        <v>63.5</v>
      </c>
      <c r="G57" s="93" t="n">
        <v>66.4</v>
      </c>
      <c r="H57" s="57" t="s">
        <v>1993</v>
      </c>
    </row>
    <row r="58" customFormat="false" ht="14.25" hidden="false" customHeight="false" outlineLevel="0" collapsed="false">
      <c r="B58" s="10" t="s">
        <v>1994</v>
      </c>
      <c r="C58" s="93" t="n">
        <v>31.3</v>
      </c>
      <c r="D58" s="93" t="n">
        <v>41.5</v>
      </c>
      <c r="E58" s="93" t="n">
        <v>46</v>
      </c>
      <c r="F58" s="93" t="n">
        <v>46</v>
      </c>
      <c r="G58" s="93" t="n">
        <v>46.3</v>
      </c>
      <c r="H58" s="57" t="s">
        <v>1995</v>
      </c>
    </row>
    <row r="59" customFormat="false" ht="14.25" hidden="false" customHeight="false" outlineLevel="0" collapsed="false">
      <c r="B59" s="10" t="s">
        <v>1996</v>
      </c>
      <c r="C59" s="93" t="n">
        <v>40.8</v>
      </c>
      <c r="D59" s="93" t="n">
        <v>56</v>
      </c>
      <c r="E59" s="93" t="n">
        <v>66</v>
      </c>
      <c r="F59" s="93" t="n">
        <v>66.5</v>
      </c>
      <c r="G59" s="93" t="n">
        <v>67</v>
      </c>
      <c r="H59" s="57" t="s">
        <v>1997</v>
      </c>
    </row>
    <row r="60" customFormat="false" ht="14.25" hidden="false" customHeight="false" outlineLevel="0" collapsed="false">
      <c r="B60" s="10" t="s">
        <v>1998</v>
      </c>
      <c r="C60" s="95" t="n">
        <f aca="false">INDEX(Labour!$BL$6:$BL$92,MATCH(C$5,Labour!$A$6:$A$92,0))</f>
        <v>0.00431918540414311</v>
      </c>
      <c r="D60" s="95" t="n">
        <f aca="false">INDEX(Labour!$BL$6:$BL$92,MATCH(D$5,Labour!$A$6:$A$92,0))</f>
        <v>0.0460182965163526</v>
      </c>
      <c r="E60" s="95" t="n">
        <f aca="false">INDEX(Labour!$BL$6:$BL$92,MATCH(E$5,Labour!$A$6:$A$92,0))</f>
        <v>0.0924606682166211</v>
      </c>
      <c r="F60" s="95" t="n">
        <f aca="false">INDEX(Labour!$BL$6:$BL$92,MATCH(F$5,Labour!$A$6:$A$92,0))</f>
        <v>0.142662129221584</v>
      </c>
      <c r="G60" s="95" t="n">
        <f aca="false">INDEX(Labour!$BL$6:$BL$92,MATCH(G$5,Labour!$A$6:$A$92,0))</f>
        <v>0.226654010618773</v>
      </c>
      <c r="H60" s="57" t="s">
        <v>1999</v>
      </c>
    </row>
    <row r="80" customFormat="false" ht="14.25" hidden="false" customHeight="false" outlineLevel="0" collapsed="false">
      <c r="B80" s="6" t="s">
        <v>2000</v>
      </c>
      <c r="C80" s="7" t="n">
        <v>1905</v>
      </c>
      <c r="D80" s="7" t="n">
        <v>1913</v>
      </c>
      <c r="E80" s="7" t="n">
        <v>1919</v>
      </c>
      <c r="F80" s="7" t="n">
        <v>1929</v>
      </c>
      <c r="G80" s="7" t="n">
        <v>1932</v>
      </c>
      <c r="H80" s="7" t="s">
        <v>1943</v>
      </c>
    </row>
    <row r="81" customFormat="false" ht="14.25" hidden="false" customHeight="false" outlineLevel="0" collapsed="false">
      <c r="B81" s="10" t="s">
        <v>50</v>
      </c>
      <c r="C81" s="96" t="n">
        <f aca="false">INDEX(Navy!$AA$6:$AA$92,MATCH(C$80,Navy!$A$6:$A$92,0))</f>
        <v>2</v>
      </c>
      <c r="D81" s="96" t="n">
        <f aca="false">INDEX(Navy!$AA$6:$AA$92,MATCH(D$80,Navy!$A$6:$A$92,0))</f>
        <v>9</v>
      </c>
      <c r="E81" s="96" t="n">
        <f aca="false">INDEX(Navy!$AA$6:$AA$92,MATCH(E$80,Navy!$A$6:$A$92,0))</f>
        <v>14</v>
      </c>
      <c r="F81" s="96" t="n">
        <f aca="false">INDEX(Navy!$AA$6:$AA$92,MATCH(F$80,Navy!$A$6:$A$92,0))</f>
        <v>14</v>
      </c>
      <c r="G81" s="96" t="n">
        <f aca="false">INDEX(Navy!$AA$6:$AA$92,MATCH(G$80,Navy!$A$6:$A$92,0))</f>
        <v>14</v>
      </c>
      <c r="H81" s="57" t="s">
        <v>2001</v>
      </c>
    </row>
    <row r="82" customFormat="false" ht="14.25" hidden="false" customHeight="false" outlineLevel="0" collapsed="false">
      <c r="B82" s="10" t="s">
        <v>41</v>
      </c>
      <c r="C82" s="96" t="n">
        <f aca="false">INDEX('Navy plan'!$T$6:$T$92,MATCH(C$80,'Navy plan'!$A$6:$A$92,0))</f>
        <v>0</v>
      </c>
      <c r="D82" s="96" t="n">
        <f aca="false">INDEX('Navy plan'!$T$6:$T$92,MATCH(D$80,'Navy plan'!$A$6:$A$92,0))</f>
        <v>4</v>
      </c>
      <c r="E82" s="96" t="n">
        <f aca="false">INDEX('Navy plan'!$T$6:$T$92,MATCH(E$80,'Navy plan'!$A$6:$A$92,0))</f>
        <v>10</v>
      </c>
      <c r="F82" s="96" t="n">
        <f aca="false">INDEX('Navy plan'!$T$6:$T$92,MATCH(F$80,'Navy plan'!$A$6:$A$92,0))</f>
        <v>10</v>
      </c>
      <c r="G82" s="96" t="n">
        <f aca="false">INDEX('Navy plan'!$T$6:$T$92,MATCH(G$80,'Navy plan'!$A$6:$A$92,0))</f>
        <v>10</v>
      </c>
    </row>
    <row r="83" customFormat="false" ht="14.25" hidden="false" customHeight="false" outlineLevel="0" collapsed="false">
      <c r="B83" s="4" t="s">
        <v>51</v>
      </c>
      <c r="C83" s="96" t="n">
        <f aca="false">INDEX(Navy!$AB$6:$AB$92,MATCH(C$80,Navy!$A$6:$A$92,0))</f>
        <v>2</v>
      </c>
      <c r="D83" s="96" t="n">
        <f aca="false">INDEX(Navy!$AB$6:$AB$92,MATCH(D$80,Navy!$A$6:$A$92,0))</f>
        <v>13</v>
      </c>
      <c r="E83" s="96" t="n">
        <f aca="false">INDEX(Navy!$AB$6:$AB$92,MATCH(E$80,Navy!$A$6:$A$92,0))</f>
        <v>24</v>
      </c>
      <c r="F83" s="96" t="n">
        <f aca="false">INDEX(Navy!$AB$6:$AB$92,MATCH(F$80,Navy!$A$6:$A$92,0))</f>
        <v>24</v>
      </c>
      <c r="G83" s="96" t="n">
        <f aca="false">INDEX(Navy!$AB$6:$AB$92,MATCH(G$80,Navy!$A$6:$A$92,0))</f>
        <v>24</v>
      </c>
    </row>
    <row r="84" customFormat="false" ht="14.25" hidden="false" customHeight="false" outlineLevel="0" collapsed="false">
      <c r="B84" s="10" t="s">
        <v>54</v>
      </c>
      <c r="C84" s="96" t="n">
        <f aca="false">INDEX(Navy!$AC$6:$AC$92,MATCH(C$80,Navy!$A$6:$A$92,0))</f>
        <v>0</v>
      </c>
      <c r="D84" s="96" t="n">
        <f aca="false">INDEX(Navy!$AC$6:$AC$92,MATCH(D$80,Navy!$A$6:$A$92,0))</f>
        <v>22</v>
      </c>
      <c r="E84" s="96" t="n">
        <f aca="false">INDEX(Navy!$AC$6:$AC$92,MATCH(E$80,Navy!$A$6:$A$92,0))</f>
        <v>42</v>
      </c>
      <c r="F84" s="96" t="n">
        <f aca="false">INDEX(Navy!$AC$6:$AC$92,MATCH(F$80,Navy!$A$6:$A$92,0))</f>
        <v>24</v>
      </c>
      <c r="G84" s="96" t="n">
        <f aca="false">INDEX(Navy!$AC$6:$AC$92,MATCH(G$80,Navy!$A$6:$A$92,0))</f>
        <v>24</v>
      </c>
    </row>
    <row r="85" customFormat="false" ht="14.25" hidden="false" customHeight="false" outlineLevel="0" collapsed="false">
      <c r="B85" s="10" t="s">
        <v>53</v>
      </c>
      <c r="C85" s="96" t="n">
        <f aca="false">INDEX(Navy!$AD$6:$AD$92,MATCH(C$80,Navy!$A$6:$A$92,0))</f>
        <v>0</v>
      </c>
      <c r="D85" s="96" t="n">
        <f aca="false">INDEX(Navy!$AD$6:$AD$92,MATCH(D$80,Navy!$A$6:$A$92,0))</f>
        <v>6</v>
      </c>
      <c r="E85" s="96" t="n">
        <f aca="false">INDEX(Navy!$AD$6:$AD$92,MATCH(E$80,Navy!$A$6:$A$92,0))</f>
        <v>12</v>
      </c>
      <c r="F85" s="96" t="n">
        <f aca="false">INDEX(Navy!$AD$6:$AD$92,MATCH(F$80,Navy!$A$6:$A$92,0))</f>
        <v>21</v>
      </c>
      <c r="G85" s="96" t="n">
        <f aca="false">INDEX(Navy!$AD$6:$AD$92,MATCH(G$80,Navy!$A$6:$A$92,0))</f>
        <v>21</v>
      </c>
    </row>
    <row r="86" customFormat="false" ht="14.25" hidden="false" customHeight="false" outlineLevel="0" collapsed="false">
      <c r="B86" s="10" t="s">
        <v>55</v>
      </c>
      <c r="C86" s="96" t="n">
        <f aca="false">INDEX('Navy plan'!$W$6:$W$92,MATCH(C$80,'Navy plan'!$A$6:$A$92,0))</f>
        <v>0</v>
      </c>
      <c r="D86" s="96" t="n">
        <f aca="false">INDEX('Navy plan'!$W$6:$W$92,MATCH(D$80,'Navy plan'!$A$6:$A$92,0))</f>
        <v>12</v>
      </c>
      <c r="E86" s="96" t="n">
        <f aca="false">INDEX('Navy plan'!$W$6:$W$92,MATCH(E$80,'Navy plan'!$A$6:$A$92,0))</f>
        <v>24</v>
      </c>
      <c r="F86" s="96" t="n">
        <f aca="false">INDEX('Navy plan'!$W$6:$W$92,MATCH(F$80,'Navy plan'!$A$6:$A$92,0))</f>
        <v>16</v>
      </c>
      <c r="G86" s="96"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I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55" hidden="false" customHeight="false" outlineLevel="0" collapsed="false">
      <c r="A1" s="19" t="s">
        <v>47</v>
      </c>
    </row>
    <row r="2" customFormat="false" ht="14.25" hidden="false" customHeight="false" outlineLevel="0" collapsed="false">
      <c r="A2" s="3" t="s">
        <v>2002</v>
      </c>
    </row>
    <row r="3" customFormat="false" ht="14.25" hidden="false" customHeight="false" outlineLevel="0" collapsed="false">
      <c r="A3" s="20" t="s">
        <v>1166</v>
      </c>
    </row>
    <row r="4" customFormat="false" ht="14.25" hidden="false" customHeight="false" outlineLevel="0" collapsed="false">
      <c r="B4" s="58" t="s">
        <v>2003</v>
      </c>
      <c r="C4" s="58"/>
      <c r="D4" s="58"/>
      <c r="E4" s="58" t="s">
        <v>2004</v>
      </c>
      <c r="F4" s="58"/>
      <c r="G4" s="58"/>
      <c r="H4" s="58"/>
      <c r="I4" s="58"/>
      <c r="J4" s="58"/>
      <c r="K4" s="58" t="s">
        <v>2005</v>
      </c>
      <c r="L4" s="58"/>
      <c r="M4" s="58"/>
      <c r="N4" s="58"/>
      <c r="O4" s="58"/>
      <c r="P4" s="58" t="s">
        <v>2006</v>
      </c>
      <c r="Q4" s="58"/>
      <c r="R4" s="58"/>
      <c r="S4" s="59" t="s">
        <v>2007</v>
      </c>
    </row>
    <row r="5" customFormat="false" ht="54" hidden="false" customHeight="true" outlineLevel="0" collapsed="false">
      <c r="A5" s="60" t="s">
        <v>103</v>
      </c>
      <c r="B5" s="7" t="s">
        <v>2008</v>
      </c>
      <c r="C5" s="7" t="s">
        <v>2009</v>
      </c>
      <c r="D5" s="7" t="s">
        <v>2010</v>
      </c>
      <c r="E5" s="7" t="s">
        <v>31</v>
      </c>
      <c r="F5" s="7" t="s">
        <v>2011</v>
      </c>
      <c r="G5" s="7" t="s">
        <v>1323</v>
      </c>
      <c r="H5" s="7" t="s">
        <v>2012</v>
      </c>
      <c r="I5" s="7" t="s">
        <v>29</v>
      </c>
      <c r="J5" s="7" t="s">
        <v>2013</v>
      </c>
      <c r="K5" s="7" t="s">
        <v>2014</v>
      </c>
      <c r="L5" s="7" t="s">
        <v>2015</v>
      </c>
      <c r="M5" s="7" t="s">
        <v>2016</v>
      </c>
      <c r="N5" s="7" t="s">
        <v>46</v>
      </c>
      <c r="O5" s="7" t="s">
        <v>2017</v>
      </c>
      <c r="P5" s="7" t="s">
        <v>2018</v>
      </c>
      <c r="Q5" s="7" t="s">
        <v>2019</v>
      </c>
      <c r="R5" s="7" t="s">
        <v>2020</v>
      </c>
      <c r="S5" s="7" t="s">
        <v>2021</v>
      </c>
      <c r="T5" s="73" t="s">
        <v>2022</v>
      </c>
      <c r="U5" s="73" t="s">
        <v>2023</v>
      </c>
      <c r="V5" s="73" t="s">
        <v>2024</v>
      </c>
      <c r="W5" s="73" t="s">
        <v>2025</v>
      </c>
      <c r="X5" s="73" t="s">
        <v>2026</v>
      </c>
      <c r="Y5" s="73" t="s">
        <v>2027</v>
      </c>
      <c r="Z5" s="73" t="s">
        <v>2028</v>
      </c>
      <c r="AA5" s="73" t="s">
        <v>2029</v>
      </c>
      <c r="AB5" s="73" t="s">
        <v>2030</v>
      </c>
      <c r="AC5" s="73" t="s">
        <v>2031</v>
      </c>
      <c r="AD5" s="73" t="s">
        <v>2032</v>
      </c>
      <c r="AE5" s="73" t="s">
        <v>2033</v>
      </c>
      <c r="AF5" s="73" t="s">
        <v>2034</v>
      </c>
      <c r="AG5" s="73" t="s">
        <v>2035</v>
      </c>
      <c r="AH5" s="73" t="s">
        <v>2036</v>
      </c>
      <c r="AI5" s="73" t="s">
        <v>2037</v>
      </c>
    </row>
    <row r="6" customFormat="false" ht="14.9" hidden="false" customHeight="false" outlineLevel="0" collapsed="false">
      <c r="A6" s="61" t="n">
        <v>1846</v>
      </c>
      <c r="B6" s="97" t="str">
        <f aca="false">IF(ABS(People!L6-(People!B6+People!C6+People!D6+People!K6))&lt;1,"OK","Check")</f>
        <v>OK</v>
      </c>
      <c r="C6" s="97" t="str">
        <f aca="false">IF(ABS('Debt &amp; cash'!M6-'Debt &amp; cash'!E6)&lt;0.001,"OK","Check")</f>
        <v>OK</v>
      </c>
      <c r="D6" s="97" t="str">
        <f aca="false">IF('Debt &amp; cash'!S6&gt;=-0.001,"OK","Check")</f>
        <v>OK</v>
      </c>
      <c r="E6" s="98" t="n">
        <f aca="false">'Debt &amp; cash'!V6</f>
        <v>0.00468767968823762</v>
      </c>
      <c r="F6" s="97" t="str">
        <f aca="false">IF($A6&lt;1887,"n/a",IF(E6&lt;=cap_debt,"OK","Check"))</f>
        <v>n/a</v>
      </c>
      <c r="G6" s="98" t="n">
        <f aca="false">'Debt &amp; cash'!W6</f>
        <v>0</v>
      </c>
      <c r="H6" s="97" t="str">
        <f aca="false">IF($A6&lt;1887,"n/a",IF(G6&lt;=cap_int,"OK","Check"))</f>
        <v>n/a</v>
      </c>
      <c r="I6" s="98" t="n">
        <f aca="false">Budget!AC6</f>
        <v>0.0135599786914621</v>
      </c>
      <c r="J6" s="97" t="str">
        <f aca="false">IF($A6&lt;1887,"n/a",IF(Paths!AC6=1,"War year",IF(I6&lt;=cap_def,"OK","Check")))</f>
        <v>n/a</v>
      </c>
      <c r="K6" s="66" t="n">
        <f aca="false">'Debt &amp; cash'!Y6/Economy!O6</f>
        <v>0.00468767968823762</v>
      </c>
      <c r="L6" s="97" t="str">
        <f aca="false">IF('Debt &amp; cash'!Y6*issue_price&lt;=mkt_capacity*Economy!O6+foreign_capacity,"OK","Check")</f>
        <v>OK</v>
      </c>
      <c r="M6" s="97" t="str">
        <f aca="false">IF($A6&lt;1900,"n/a",IF('Gold &amp; money'!K6&gt;=0,"OK","Check"))</f>
        <v>n/a</v>
      </c>
      <c r="N6" s="98" t="n">
        <f aca="false">Japan!AA6</f>
        <v>0</v>
      </c>
      <c r="O6" s="97" t="str">
        <f aca="false">IF(N6&lt;=1,"OK","Check")</f>
        <v>OK</v>
      </c>
      <c r="P6" s="97" t="str">
        <f aca="false">IF($A6&lt;1922,"n/a",IF(AND(Navy!AE6&gt;=0.95,Navy!AE6&lt;=1.1),"OK","Check"))</f>
        <v>n/a</v>
      </c>
      <c r="Q6" s="97" t="str">
        <f aca="false">IF(Navy!Z6=0,"n/a",IF(Resources!K6&gt;=Navy!Z6,"OK","Check"))</f>
        <v>n/a</v>
      </c>
      <c r="R6" s="97" t="str">
        <f aca="false">IF(AND(gulf_on=1,$A6=gulf_year),IF(Gulf!AF6=1,"OK","Check"),"n/a")</f>
        <v>n/a</v>
      </c>
      <c r="S6" s="50" t="n">
        <f aca="false">COUNTIF(B6:R6,"Check")+COUNTIF(T6:AG6,"Check")+AH6+COUNTIF(AI6,"Check")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29" t="n">
        <f aca="false">COUNTIF(AA6:AG6,"Unverified")</f>
        <v>0</v>
      </c>
      <c r="AI6" s="1" t="str">
        <f aca="false">IF(OR($A6&lt;1918,$A6&gt;1932),"n/a",INDEX(Siberia!$H$38:$H$52,MATCH($A6,Siberia!$A$38:$A$52,0)))</f>
        <v>n/a</v>
      </c>
    </row>
    <row r="7" customFormat="false" ht="14.9" hidden="false" customHeight="false" outlineLevel="0" collapsed="false">
      <c r="A7" s="61" t="n">
        <v>1847</v>
      </c>
      <c r="B7" s="97" t="str">
        <f aca="false">IF(ABS(People!L7-(People!B7+People!C7+People!D7+People!K7))&lt;1,"OK","Check")</f>
        <v>OK</v>
      </c>
      <c r="C7" s="97" t="str">
        <f aca="false">IF(ABS('Debt &amp; cash'!M7-'Debt &amp; cash'!E7)&lt;0.001,"OK","Check")</f>
        <v>OK</v>
      </c>
      <c r="D7" s="97" t="str">
        <f aca="false">IF('Debt &amp; cash'!S7&gt;=-0.001,"OK","Check")</f>
        <v>OK</v>
      </c>
      <c r="E7" s="98" t="n">
        <f aca="false">'Debt &amp; cash'!V7</f>
        <v>0.0289474372438602</v>
      </c>
      <c r="F7" s="97" t="str">
        <f aca="false">IF($A7&lt;1887,"n/a",IF(E7&lt;=cap_debt,"OK","Check"))</f>
        <v>n/a</v>
      </c>
      <c r="G7" s="98" t="n">
        <f aca="false">'Debt &amp; cash'!W7</f>
        <v>0.00564569018088081</v>
      </c>
      <c r="H7" s="97" t="str">
        <f aca="false">IF($A7&lt;1887,"n/a",IF(G7&lt;=cap_int,"OK","Check"))</f>
        <v>n/a</v>
      </c>
      <c r="I7" s="98" t="n">
        <f aca="false">Budget!AC7</f>
        <v>0.0386452667685487</v>
      </c>
      <c r="J7" s="97" t="str">
        <f aca="false">IF($A7&lt;1887,"n/a",IF(Paths!AC7=1,"War year",IF(I7&lt;=cap_def,"OK","Check")))</f>
        <v>n/a</v>
      </c>
      <c r="K7" s="66" t="n">
        <f aca="false">'Debt &amp; cash'!Y7/Economy!O7</f>
        <v>0.0246447503543626</v>
      </c>
      <c r="L7" s="97" t="str">
        <f aca="false">IF('Debt &amp; cash'!Y7*issue_price&lt;=mkt_capacity*Economy!O7+foreign_capacity,"OK","Check")</f>
        <v>OK</v>
      </c>
      <c r="M7" s="97" t="str">
        <f aca="false">IF($A7&lt;1900,"n/a",IF('Gold &amp; money'!K7&gt;=0,"OK","Check"))</f>
        <v>n/a</v>
      </c>
      <c r="N7" s="98" t="n">
        <f aca="false">Japan!AA7</f>
        <v>0</v>
      </c>
      <c r="O7" s="97" t="str">
        <f aca="false">IF(N7&lt;=1,"OK","Check")</f>
        <v>OK</v>
      </c>
      <c r="P7" s="97" t="str">
        <f aca="false">IF($A7&lt;1922,"n/a",IF(AND(Navy!AE7&gt;=0.95,Navy!AE7&lt;=1.1),"OK","Check"))</f>
        <v>n/a</v>
      </c>
      <c r="Q7" s="97" t="str">
        <f aca="false">IF(Navy!Z7=0,"n/a",IF(Resources!K7&gt;=Navy!Z7,"OK","Check"))</f>
        <v>n/a</v>
      </c>
      <c r="R7" s="97" t="str">
        <f aca="false">IF(AND(gulf_on=1,$A7=gulf_year),IF(Gulf!AF7=1,"OK","Check"),"n/a")</f>
        <v>n/a</v>
      </c>
      <c r="S7" s="50" t="n">
        <f aca="false">COUNTIF(B7:R7,"Check")+COUNTIF(T7:AG7,"Check")+AH7+COUNTIF(AI7,"Check")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29" t="n">
        <f aca="false">COUNTIF(AA7:AG7,"Unverified")</f>
        <v>0</v>
      </c>
      <c r="AI7" s="1" t="str">
        <f aca="false">IF(OR($A7&lt;1918,$A7&gt;1932),"n/a",INDEX(Siberia!$H$38:$H$52,MATCH($A7,Siberia!$A$38:$A$52,0)))</f>
        <v>n/a</v>
      </c>
    </row>
    <row r="8" customFormat="false" ht="14.9" hidden="false" customHeight="false" outlineLevel="0" collapsed="false">
      <c r="A8" s="61" t="n">
        <v>1848</v>
      </c>
      <c r="B8" s="97" t="str">
        <f aca="false">IF(ABS(People!L8-(People!B8+People!C8+People!D8+People!K8))&lt;1,"OK","Check")</f>
        <v>OK</v>
      </c>
      <c r="C8" s="97" t="str">
        <f aca="false">IF(ABS('Debt &amp; cash'!M8-'Debt &amp; cash'!E8)&lt;0.001,"OK","Check")</f>
        <v>OK</v>
      </c>
      <c r="D8" s="97" t="str">
        <f aca="false">IF('Debt &amp; cash'!S8&gt;=-0.001,"OK","Check")</f>
        <v>OK</v>
      </c>
      <c r="E8" s="98" t="n">
        <f aca="false">'Debt &amp; cash'!V8</f>
        <v>0.537272203686124</v>
      </c>
      <c r="F8" s="97" t="str">
        <f aca="false">IF($A8&lt;1887,"n/a",IF(E8&lt;=cap_debt,"OK","Check"))</f>
        <v>n/a</v>
      </c>
      <c r="G8" s="98" t="n">
        <f aca="false">'Debt &amp; cash'!W8</f>
        <v>0.028016383501274</v>
      </c>
      <c r="H8" s="97" t="str">
        <f aca="false">IF($A8&lt;1887,"n/a",IF(G8&lt;=cap_int,"OK","Check"))</f>
        <v>n/a</v>
      </c>
      <c r="I8" s="98" t="n">
        <f aca="false">Budget!AC8</f>
        <v>0.0184266879676119</v>
      </c>
      <c r="J8" s="97" t="str">
        <f aca="false">IF($A8&lt;1887,"n/a",IF(Paths!AC8=1,"War year",IF(I8&lt;=cap_def,"OK","Check")))</f>
        <v>n/a</v>
      </c>
      <c r="K8" s="66" t="n">
        <f aca="false">'Debt &amp; cash'!Y8/Economy!O8</f>
        <v>0.019519664827195</v>
      </c>
      <c r="L8" s="97" t="str">
        <f aca="false">IF('Debt &amp; cash'!Y8*issue_price&lt;=mkt_capacity*Economy!O8+foreign_capacity,"OK","Check")</f>
        <v>OK</v>
      </c>
      <c r="M8" s="97" t="str">
        <f aca="false">IF($A8&lt;1900,"n/a",IF('Gold &amp; money'!K8&gt;=0,"OK","Check"))</f>
        <v>n/a</v>
      </c>
      <c r="N8" s="98" t="n">
        <f aca="false">Japan!AA8</f>
        <v>0</v>
      </c>
      <c r="O8" s="97" t="str">
        <f aca="false">IF(N8&lt;=1,"OK","Check")</f>
        <v>OK</v>
      </c>
      <c r="P8" s="97" t="str">
        <f aca="false">IF($A8&lt;1922,"n/a",IF(AND(Navy!AE8&gt;=0.95,Navy!AE8&lt;=1.1),"OK","Check"))</f>
        <v>n/a</v>
      </c>
      <c r="Q8" s="97" t="str">
        <f aca="false">IF(Navy!Z8=0,"n/a",IF(Resources!K8&gt;=Navy!Z8,"OK","Check"))</f>
        <v>n/a</v>
      </c>
      <c r="R8" s="97" t="str">
        <f aca="false">IF(AND(gulf_on=1,$A8=gulf_year),IF(Gulf!AF8=1,"OK","Check"),"n/a")</f>
        <v>n/a</v>
      </c>
      <c r="S8" s="50" t="n">
        <f aca="false">COUNTIF(B8:R8,"Check")+COUNTIF(T8:AG8,"Check")+AH8+COUNTIF(AI8,"Check")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29" t="n">
        <f aca="false">COUNTIF(AA8:AG8,"Unverified")</f>
        <v>0</v>
      </c>
      <c r="AI8" s="1" t="str">
        <f aca="false">IF(OR($A8&lt;1918,$A8&gt;1932),"n/a",INDEX(Siberia!$H$38:$H$52,MATCH($A8,Siberia!$A$38:$A$52,0)))</f>
        <v>n/a</v>
      </c>
    </row>
    <row r="9" customFormat="false" ht="14.9" hidden="false" customHeight="false" outlineLevel="0" collapsed="false">
      <c r="A9" s="61" t="n">
        <v>1849</v>
      </c>
      <c r="B9" s="97" t="str">
        <f aca="false">IF(ABS(People!L9-(People!B9+People!C9+People!D9+People!K9))&lt;1,"OK","Check")</f>
        <v>OK</v>
      </c>
      <c r="C9" s="97" t="str">
        <f aca="false">IF(ABS('Debt &amp; cash'!M9-'Debt &amp; cash'!E9)&lt;0.001,"OK","Check")</f>
        <v>OK</v>
      </c>
      <c r="D9" s="97" t="str">
        <f aca="false">IF('Debt &amp; cash'!S9&gt;=-0.001,"OK","Check")</f>
        <v>OK</v>
      </c>
      <c r="E9" s="98" t="n">
        <f aca="false">'Debt &amp; cash'!V9</f>
        <v>0.226586080043798</v>
      </c>
      <c r="F9" s="97" t="str">
        <f aca="false">IF($A9&lt;1887,"n/a",IF(E9&lt;=cap_debt,"OK","Check"))</f>
        <v>n/a</v>
      </c>
      <c r="G9" s="98" t="n">
        <f aca="false">'Debt &amp; cash'!W9</f>
        <v>0.149337827726067</v>
      </c>
      <c r="H9" s="97" t="str">
        <f aca="false">IF($A9&lt;1887,"n/a",IF(G9&lt;=cap_int,"OK","Check"))</f>
        <v>n/a</v>
      </c>
      <c r="I9" s="98" t="n">
        <f aca="false">Budget!AC9</f>
        <v>0.0148331100115513</v>
      </c>
      <c r="J9" s="97" t="str">
        <f aca="false">IF($A9&lt;1887,"n/a",IF(Paths!AC9=1,"War year",IF(I9&lt;=cap_def,"OK","Check")))</f>
        <v>n/a</v>
      </c>
      <c r="K9" s="66" t="n">
        <f aca="false">'Debt &amp; cash'!Y9/Economy!O9</f>
        <v>0.00733856180991715</v>
      </c>
      <c r="L9" s="97" t="str">
        <f aca="false">IF('Debt &amp; cash'!Y9*issue_price&lt;=mkt_capacity*Economy!O9+foreign_capacity,"OK","Check")</f>
        <v>OK</v>
      </c>
      <c r="M9" s="97" t="str">
        <f aca="false">IF($A9&lt;1900,"n/a",IF('Gold &amp; money'!K9&gt;=0,"OK","Check"))</f>
        <v>n/a</v>
      </c>
      <c r="N9" s="98" t="n">
        <f aca="false">Japan!AA9</f>
        <v>0</v>
      </c>
      <c r="O9" s="97" t="str">
        <f aca="false">IF(N9&lt;=1,"OK","Check")</f>
        <v>OK</v>
      </c>
      <c r="P9" s="97" t="str">
        <f aca="false">IF($A9&lt;1922,"n/a",IF(AND(Navy!AE9&gt;=0.95,Navy!AE9&lt;=1.1),"OK","Check"))</f>
        <v>n/a</v>
      </c>
      <c r="Q9" s="97" t="str">
        <f aca="false">IF(Navy!Z9=0,"n/a",IF(Resources!K9&gt;=Navy!Z9,"OK","Check"))</f>
        <v>n/a</v>
      </c>
      <c r="R9" s="97" t="str">
        <f aca="false">IF(AND(gulf_on=1,$A9=gulf_year),IF(Gulf!AF9=1,"OK","Check"),"n/a")</f>
        <v>n/a</v>
      </c>
      <c r="S9" s="50" t="n">
        <f aca="false">COUNTIF(B9:R9,"Check")+COUNTIF(T9:AG9,"Check")+AH9+COUNTIF(AI9,"Check")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29" t="n">
        <f aca="false">COUNTIF(AA9:AG9,"Unverified")</f>
        <v>0</v>
      </c>
      <c r="AI9" s="1" t="str">
        <f aca="false">IF(OR($A9&lt;1918,$A9&gt;1932),"n/a",INDEX(Siberia!$H$38:$H$52,MATCH($A9,Siberia!$A$38:$A$52,0)))</f>
        <v>n/a</v>
      </c>
    </row>
    <row r="10" customFormat="false" ht="14.9" hidden="false" customHeight="false" outlineLevel="0" collapsed="false">
      <c r="A10" s="61" t="n">
        <v>1850</v>
      </c>
      <c r="B10" s="97" t="str">
        <f aca="false">IF(ABS(People!L10-(People!B10+People!C10+People!D10+People!K10))&lt;1,"OK","Check")</f>
        <v>OK</v>
      </c>
      <c r="C10" s="97" t="str">
        <f aca="false">IF(ABS('Debt &amp; cash'!M10-'Debt &amp; cash'!E10)&lt;0.001,"OK","Check")</f>
        <v>OK</v>
      </c>
      <c r="D10" s="97" t="str">
        <f aca="false">IF('Debt &amp; cash'!S10&gt;=-0.001,"OK","Check")</f>
        <v>OK</v>
      </c>
      <c r="E10" s="98" t="n">
        <f aca="false">'Debt &amp; cash'!V10</f>
        <v>0.199824308986399</v>
      </c>
      <c r="F10" s="97" t="str">
        <f aca="false">IF($A10&lt;1887,"n/a",IF(E10&lt;=cap_debt,"OK","Check"))</f>
        <v>n/a</v>
      </c>
      <c r="G10" s="98" t="n">
        <f aca="false">'Debt &amp; cash'!W10</f>
        <v>0.141161647468038</v>
      </c>
      <c r="H10" s="97" t="str">
        <f aca="false">IF($A10&lt;1887,"n/a",IF(G10&lt;=cap_int,"OK","Check"))</f>
        <v>n/a</v>
      </c>
      <c r="I10" s="98" t="n">
        <f aca="false">Budget!AC10</f>
        <v>0.0157878337436002</v>
      </c>
      <c r="J10" s="97" t="str">
        <f aca="false">IF($A10&lt;1887,"n/a",IF(Paths!AC10=1,"War year",IF(I10&lt;=cap_def,"OK","Check")))</f>
        <v>n/a</v>
      </c>
      <c r="K10" s="66" t="n">
        <f aca="false">'Debt &amp; cash'!Y10/Economy!O10</f>
        <v>0</v>
      </c>
      <c r="L10" s="97" t="str">
        <f aca="false">IF('Debt &amp; cash'!Y10*issue_price&lt;=mkt_capacity*Economy!O10+foreign_capacity,"OK","Check")</f>
        <v>OK</v>
      </c>
      <c r="M10" s="97" t="str">
        <f aca="false">IF($A10&lt;1900,"n/a",IF('Gold &amp; money'!K10&gt;=0,"OK","Check"))</f>
        <v>n/a</v>
      </c>
      <c r="N10" s="98" t="n">
        <f aca="false">Japan!AA10</f>
        <v>0</v>
      </c>
      <c r="O10" s="97" t="str">
        <f aca="false">IF(N10&lt;=1,"OK","Check")</f>
        <v>OK</v>
      </c>
      <c r="P10" s="97" t="str">
        <f aca="false">IF($A10&lt;1922,"n/a",IF(AND(Navy!AE10&gt;=0.95,Navy!AE10&lt;=1.1),"OK","Check"))</f>
        <v>n/a</v>
      </c>
      <c r="Q10" s="97" t="str">
        <f aca="false">IF(Navy!Z10=0,"n/a",IF(Resources!K10&gt;=Navy!Z10,"OK","Check"))</f>
        <v>n/a</v>
      </c>
      <c r="R10" s="97" t="str">
        <f aca="false">IF(AND(gulf_on=1,$A10=gulf_year),IF(Gulf!AF10=1,"OK","Check"),"n/a")</f>
        <v>n/a</v>
      </c>
      <c r="S10" s="50" t="n">
        <f aca="false">COUNTIF(B10:R10,"Check")+COUNTIF(T10:AG10,"Check")+AH10+COUNTIF(AI10,"Check")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29" t="n">
        <f aca="false">COUNTIF(AA10:AG10,"Unverified")</f>
        <v>0</v>
      </c>
      <c r="AI10" s="1" t="str">
        <f aca="false">IF(OR($A10&lt;1918,$A10&gt;1932),"n/a",INDEX(Siberia!$H$38:$H$52,MATCH($A10,Siberia!$A$38:$A$52,0)))</f>
        <v>n/a</v>
      </c>
    </row>
    <row r="11" customFormat="false" ht="14.9" hidden="false" customHeight="false" outlineLevel="0" collapsed="false">
      <c r="A11" s="61" t="n">
        <v>1851</v>
      </c>
      <c r="B11" s="97" t="str">
        <f aca="false">IF(ABS(People!L11-(People!B11+People!C11+People!D11+People!K11))&lt;1,"OK","Check")</f>
        <v>OK</v>
      </c>
      <c r="C11" s="97" t="str">
        <f aca="false">IF(ABS('Debt &amp; cash'!M11-'Debt &amp; cash'!E11)&lt;0.001,"OK","Check")</f>
        <v>OK</v>
      </c>
      <c r="D11" s="97" t="str">
        <f aca="false">IF('Debt &amp; cash'!S11&gt;=-0.001,"OK","Check")</f>
        <v>OK</v>
      </c>
      <c r="E11" s="98" t="n">
        <f aca="false">'Debt &amp; cash'!V11</f>
        <v>0.13901936986176</v>
      </c>
      <c r="F11" s="97" t="str">
        <f aca="false">IF($A11&lt;1887,"n/a",IF(E11&lt;=cap_debt,"OK","Check"))</f>
        <v>n/a</v>
      </c>
      <c r="G11" s="98" t="n">
        <f aca="false">'Debt &amp; cash'!W11</f>
        <v>0.102595446809888</v>
      </c>
      <c r="H11" s="97" t="str">
        <f aca="false">IF($A11&lt;1887,"n/a",IF(G11&lt;=cap_int,"OK","Check"))</f>
        <v>n/a</v>
      </c>
      <c r="I11" s="98" t="n">
        <f aca="false">Budget!AC11</f>
        <v>0.0177171992354177</v>
      </c>
      <c r="J11" s="97" t="str">
        <f aca="false">IF($A11&lt;1887,"n/a",IF(Paths!AC11=1,"War year",IF(I11&lt;=cap_def,"OK","Check")))</f>
        <v>n/a</v>
      </c>
      <c r="K11" s="66" t="n">
        <f aca="false">'Debt &amp; cash'!Y11/Economy!O11</f>
        <v>0</v>
      </c>
      <c r="L11" s="97" t="str">
        <f aca="false">IF('Debt &amp; cash'!Y11*issue_price&lt;=mkt_capacity*Economy!O11+foreign_capacity,"OK","Check")</f>
        <v>OK</v>
      </c>
      <c r="M11" s="97" t="str">
        <f aca="false">IF($A11&lt;1900,"n/a",IF('Gold &amp; money'!K11&gt;=0,"OK","Check"))</f>
        <v>n/a</v>
      </c>
      <c r="N11" s="98" t="n">
        <f aca="false">Japan!AA11</f>
        <v>0</v>
      </c>
      <c r="O11" s="97" t="str">
        <f aca="false">IF(N11&lt;=1,"OK","Check")</f>
        <v>OK</v>
      </c>
      <c r="P11" s="97" t="str">
        <f aca="false">IF($A11&lt;1922,"n/a",IF(AND(Navy!AE11&gt;=0.95,Navy!AE11&lt;=1.1),"OK","Check"))</f>
        <v>n/a</v>
      </c>
      <c r="Q11" s="97" t="str">
        <f aca="false">IF(Navy!Z11=0,"n/a",IF(Resources!K11&gt;=Navy!Z11,"OK","Check"))</f>
        <v>n/a</v>
      </c>
      <c r="R11" s="97" t="str">
        <f aca="false">IF(AND(gulf_on=1,$A11=gulf_year),IF(Gulf!AF11=1,"OK","Check"),"n/a")</f>
        <v>n/a</v>
      </c>
      <c r="S11" s="50" t="n">
        <f aca="false">COUNTIF(B11:R11,"Check")+COUNTIF(T11:AG11,"Check")+AH11+COUNTIF(AI11,"Check")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29" t="n">
        <f aca="false">COUNTIF(AA11:AG11,"Unverified")</f>
        <v>0</v>
      </c>
      <c r="AI11" s="1" t="str">
        <f aca="false">IF(OR($A11&lt;1918,$A11&gt;1932),"n/a",INDEX(Siberia!$H$38:$H$52,MATCH($A11,Siberia!$A$38:$A$52,0)))</f>
        <v>n/a</v>
      </c>
    </row>
    <row r="12" customFormat="false" ht="14.9" hidden="false" customHeight="false" outlineLevel="0" collapsed="false">
      <c r="A12" s="61" t="n">
        <v>1852</v>
      </c>
      <c r="B12" s="97" t="str">
        <f aca="false">IF(ABS(People!L12-(People!B12+People!C12+People!D12+People!K12))&lt;1,"OK","Check")</f>
        <v>OK</v>
      </c>
      <c r="C12" s="97" t="str">
        <f aca="false">IF(ABS('Debt &amp; cash'!M12-'Debt &amp; cash'!E12)&lt;0.001,"OK","Check")</f>
        <v>OK</v>
      </c>
      <c r="D12" s="97" t="str">
        <f aca="false">IF('Debt &amp; cash'!S12&gt;=-0.001,"OK","Check")</f>
        <v>OK</v>
      </c>
      <c r="E12" s="98" t="n">
        <f aca="false">'Debt &amp; cash'!V12</f>
        <v>0.114011280791637</v>
      </c>
      <c r="F12" s="97" t="str">
        <f aca="false">IF($A12&lt;1887,"n/a",IF(E12&lt;=cap_debt,"OK","Check"))</f>
        <v>n/a</v>
      </c>
      <c r="G12" s="98" t="n">
        <f aca="false">'Debt &amp; cash'!W12</f>
        <v>0.0742080251140909</v>
      </c>
      <c r="H12" s="97" t="str">
        <f aca="false">IF($A12&lt;1887,"n/a",IF(G12&lt;=cap_int,"OK","Check"))</f>
        <v>n/a</v>
      </c>
      <c r="I12" s="98" t="n">
        <f aca="false">Budget!AC12</f>
        <v>0.0231931430033323</v>
      </c>
      <c r="J12" s="97" t="str">
        <f aca="false">IF($A12&lt;1887,"n/a",IF(Paths!AC12=1,"War year",IF(I12&lt;=cap_def,"OK","Check")))</f>
        <v>n/a</v>
      </c>
      <c r="K12" s="66" t="n">
        <f aca="false">'Debt &amp; cash'!Y12/Economy!O12</f>
        <v>0</v>
      </c>
      <c r="L12" s="97" t="str">
        <f aca="false">IF('Debt &amp; cash'!Y12*issue_price&lt;=mkt_capacity*Economy!O12+foreign_capacity,"OK","Check")</f>
        <v>OK</v>
      </c>
      <c r="M12" s="97" t="str">
        <f aca="false">IF($A12&lt;1900,"n/a",IF('Gold &amp; money'!K12&gt;=0,"OK","Check"))</f>
        <v>n/a</v>
      </c>
      <c r="N12" s="98" t="n">
        <f aca="false">Japan!AA12</f>
        <v>0</v>
      </c>
      <c r="O12" s="97" t="str">
        <f aca="false">IF(N12&lt;=1,"OK","Check")</f>
        <v>OK</v>
      </c>
      <c r="P12" s="97" t="str">
        <f aca="false">IF($A12&lt;1922,"n/a",IF(AND(Navy!AE12&gt;=0.95,Navy!AE12&lt;=1.1),"OK","Check"))</f>
        <v>n/a</v>
      </c>
      <c r="Q12" s="97" t="str">
        <f aca="false">IF(Navy!Z12=0,"n/a",IF(Resources!K12&gt;=Navy!Z12,"OK","Check"))</f>
        <v>n/a</v>
      </c>
      <c r="R12" s="97" t="str">
        <f aca="false">IF(AND(gulf_on=1,$A12=gulf_year),IF(Gulf!AF12=1,"OK","Check"),"n/a")</f>
        <v>n/a</v>
      </c>
      <c r="S12" s="50" t="n">
        <f aca="false">COUNTIF(B12:R12,"Check")+COUNTIF(T12:AG12,"Check")+AH12+COUNTIF(AI12,"Check")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29" t="n">
        <f aca="false">COUNTIF(AA12:AG12,"Unverified")</f>
        <v>0</v>
      </c>
      <c r="AI12" s="1" t="str">
        <f aca="false">IF(OR($A12&lt;1918,$A12&gt;1932),"n/a",INDEX(Siberia!$H$38:$H$52,MATCH($A12,Siberia!$A$38:$A$52,0)))</f>
        <v>n/a</v>
      </c>
    </row>
    <row r="13" customFormat="false" ht="14.9" hidden="false" customHeight="false" outlineLevel="0" collapsed="false">
      <c r="A13" s="61" t="n">
        <v>1853</v>
      </c>
      <c r="B13" s="97" t="str">
        <f aca="false">IF(ABS(People!L13-(People!B13+People!C13+People!D13+People!K13))&lt;1,"OK","Check")</f>
        <v>OK</v>
      </c>
      <c r="C13" s="97" t="str">
        <f aca="false">IF(ABS('Debt &amp; cash'!M13-'Debt &amp; cash'!E13)&lt;0.001,"OK","Check")</f>
        <v>OK</v>
      </c>
      <c r="D13" s="97" t="str">
        <f aca="false">IF('Debt &amp; cash'!S13&gt;=-0.001,"OK","Check")</f>
        <v>OK</v>
      </c>
      <c r="E13" s="98" t="n">
        <f aca="false">'Debt &amp; cash'!V13</f>
        <v>0.0988282886098774</v>
      </c>
      <c r="F13" s="97" t="str">
        <f aca="false">IF($A13&lt;1887,"n/a",IF(E13&lt;=cap_debt,"OK","Check"))</f>
        <v>n/a</v>
      </c>
      <c r="G13" s="98" t="n">
        <f aca="false">'Debt &amp; cash'!W13</f>
        <v>0.06849446952835</v>
      </c>
      <c r="H13" s="97" t="str">
        <f aca="false">IF($A13&lt;1887,"n/a",IF(G13&lt;=cap_int,"OK","Check"))</f>
        <v>n/a</v>
      </c>
      <c r="I13" s="98" t="n">
        <f aca="false">Budget!AC13</f>
        <v>0.0278548990454449</v>
      </c>
      <c r="J13" s="97" t="str">
        <f aca="false">IF($A13&lt;1887,"n/a",IF(Paths!AC13=1,"War year",IF(I13&lt;=cap_def,"OK","Check")))</f>
        <v>n/a</v>
      </c>
      <c r="K13" s="66" t="n">
        <f aca="false">'Debt &amp; cash'!Y13/Economy!O13</f>
        <v>0</v>
      </c>
      <c r="L13" s="97" t="str">
        <f aca="false">IF('Debt &amp; cash'!Y13*issue_price&lt;=mkt_capacity*Economy!O13+foreign_capacity,"OK","Check")</f>
        <v>OK</v>
      </c>
      <c r="M13" s="97" t="str">
        <f aca="false">IF($A13&lt;1900,"n/a",IF('Gold &amp; money'!K13&gt;=0,"OK","Check"))</f>
        <v>n/a</v>
      </c>
      <c r="N13" s="98" t="n">
        <f aca="false">Japan!AA13</f>
        <v>0</v>
      </c>
      <c r="O13" s="97" t="str">
        <f aca="false">IF(N13&lt;=1,"OK","Check")</f>
        <v>OK</v>
      </c>
      <c r="P13" s="97" t="str">
        <f aca="false">IF($A13&lt;1922,"n/a",IF(AND(Navy!AE13&gt;=0.95,Navy!AE13&lt;=1.1),"OK","Check"))</f>
        <v>n/a</v>
      </c>
      <c r="Q13" s="97" t="str">
        <f aca="false">IF(Navy!Z13=0,"n/a",IF(Resources!K13&gt;=Navy!Z13,"OK","Check"))</f>
        <v>n/a</v>
      </c>
      <c r="R13" s="97" t="str">
        <f aca="false">IF(AND(gulf_on=1,$A13=gulf_year),IF(Gulf!AF13=1,"OK","Check"),"n/a")</f>
        <v>n/a</v>
      </c>
      <c r="S13" s="50" t="n">
        <f aca="false">COUNTIF(B13:R13,"Check")+COUNTIF(T13:AG13,"Check")+AH13+COUNTIF(AI13,"Check")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29" t="n">
        <f aca="false">COUNTIF(AA13:AG13,"Unverified")</f>
        <v>0</v>
      </c>
      <c r="AI13" s="1" t="str">
        <f aca="false">IF(OR($A13&lt;1918,$A13&gt;1932),"n/a",INDEX(Siberia!$H$38:$H$52,MATCH($A13,Siberia!$A$38:$A$52,0)))</f>
        <v>n/a</v>
      </c>
    </row>
    <row r="14" customFormat="false" ht="14.9" hidden="false" customHeight="false" outlineLevel="0" collapsed="false">
      <c r="A14" s="61" t="n">
        <v>1854</v>
      </c>
      <c r="B14" s="97" t="str">
        <f aca="false">IF(ABS(People!L14-(People!B14+People!C14+People!D14+People!K14))&lt;1,"OK","Check")</f>
        <v>OK</v>
      </c>
      <c r="C14" s="97" t="str">
        <f aca="false">IF(ABS('Debt &amp; cash'!M14-'Debt &amp; cash'!E14)&lt;0.001,"OK","Check")</f>
        <v>OK</v>
      </c>
      <c r="D14" s="97" t="str">
        <f aca="false">IF('Debt &amp; cash'!S14&gt;=-0.001,"OK","Check")</f>
        <v>OK</v>
      </c>
      <c r="E14" s="98" t="n">
        <f aca="false">'Debt &amp; cash'!V14</f>
        <v>0.0796071791272472</v>
      </c>
      <c r="F14" s="97" t="str">
        <f aca="false">IF($A14&lt;1887,"n/a",IF(E14&lt;=cap_debt,"OK","Check"))</f>
        <v>n/a</v>
      </c>
      <c r="G14" s="98" t="n">
        <f aca="false">'Debt &amp; cash'!W14</f>
        <v>0.0559743687323756</v>
      </c>
      <c r="H14" s="97" t="str">
        <f aca="false">IF($A14&lt;1887,"n/a",IF(G14&lt;=cap_int,"OK","Check"))</f>
        <v>n/a</v>
      </c>
      <c r="I14" s="98" t="n">
        <f aca="false">Budget!AC14</f>
        <v>0.0304596697351776</v>
      </c>
      <c r="J14" s="97" t="str">
        <f aca="false">IF($A14&lt;1887,"n/a",IF(Paths!AC14=1,"War year",IF(I14&lt;=cap_def,"OK","Check")))</f>
        <v>n/a</v>
      </c>
      <c r="K14" s="66" t="n">
        <f aca="false">'Debt &amp; cash'!Y14/Economy!O14</f>
        <v>0</v>
      </c>
      <c r="L14" s="97" t="str">
        <f aca="false">IF('Debt &amp; cash'!Y14*issue_price&lt;=mkt_capacity*Economy!O14+foreign_capacity,"OK","Check")</f>
        <v>OK</v>
      </c>
      <c r="M14" s="97" t="str">
        <f aca="false">IF($A14&lt;1900,"n/a",IF('Gold &amp; money'!K14&gt;=0,"OK","Check"))</f>
        <v>n/a</v>
      </c>
      <c r="N14" s="98" t="n">
        <f aca="false">Japan!AA14</f>
        <v>0</v>
      </c>
      <c r="O14" s="97" t="str">
        <f aca="false">IF(N14&lt;=1,"OK","Check")</f>
        <v>OK</v>
      </c>
      <c r="P14" s="97" t="str">
        <f aca="false">IF($A14&lt;1922,"n/a",IF(AND(Navy!AE14&gt;=0.95,Navy!AE14&lt;=1.1),"OK","Check"))</f>
        <v>n/a</v>
      </c>
      <c r="Q14" s="97" t="str">
        <f aca="false">IF(Navy!Z14=0,"n/a",IF(Resources!K14&gt;=Navy!Z14,"OK","Check"))</f>
        <v>n/a</v>
      </c>
      <c r="R14" s="97" t="str">
        <f aca="false">IF(AND(gulf_on=1,$A14=gulf_year),IF(Gulf!AF14=1,"OK","Check"),"n/a")</f>
        <v>n/a</v>
      </c>
      <c r="S14" s="50" t="n">
        <f aca="false">COUNTIF(B14:R14,"Check")+COUNTIF(T14:AG14,"Check")+AH14+COUNTIF(AI14,"Check")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29" t="n">
        <f aca="false">COUNTIF(AA14:AG14,"Unverified")</f>
        <v>0</v>
      </c>
      <c r="AI14" s="1" t="str">
        <f aca="false">IF(OR($A14&lt;1918,$A14&gt;1932),"n/a",INDEX(Siberia!$H$38:$H$52,MATCH($A14,Siberia!$A$38:$A$52,0)))</f>
        <v>n/a</v>
      </c>
    </row>
    <row r="15" customFormat="false" ht="14.9" hidden="false" customHeight="false" outlineLevel="0" collapsed="false">
      <c r="A15" s="61" t="n">
        <v>1855</v>
      </c>
      <c r="B15" s="97" t="str">
        <f aca="false">IF(ABS(People!L15-(People!B15+People!C15+People!D15+People!K15))&lt;1,"OK","Check")</f>
        <v>OK</v>
      </c>
      <c r="C15" s="97" t="str">
        <f aca="false">IF(ABS('Debt &amp; cash'!M15-'Debt &amp; cash'!E15)&lt;0.001,"OK","Check")</f>
        <v>OK</v>
      </c>
      <c r="D15" s="97" t="str">
        <f aca="false">IF('Debt &amp; cash'!S15&gt;=-0.001,"OK","Check")</f>
        <v>OK</v>
      </c>
      <c r="E15" s="98" t="n">
        <f aca="false">'Debt &amp; cash'!V15</f>
        <v>0.0693812938543913</v>
      </c>
      <c r="F15" s="97" t="str">
        <f aca="false">IF($A15&lt;1887,"n/a",IF(E15&lt;=cap_debt,"OK","Check"))</f>
        <v>n/a</v>
      </c>
      <c r="G15" s="98" t="n">
        <f aca="false">'Debt &amp; cash'!W15</f>
        <v>0.0469727093856792</v>
      </c>
      <c r="H15" s="97" t="str">
        <f aca="false">IF($A15&lt;1887,"n/a",IF(G15&lt;=cap_int,"OK","Check"))</f>
        <v>n/a</v>
      </c>
      <c r="I15" s="98" t="n">
        <f aca="false">Budget!AC15</f>
        <v>0.0345431440641055</v>
      </c>
      <c r="J15" s="97" t="str">
        <f aca="false">IF($A15&lt;1887,"n/a",IF(Paths!AC15=1,"War year",IF(I15&lt;=cap_def,"OK","Check")))</f>
        <v>n/a</v>
      </c>
      <c r="K15" s="66" t="n">
        <f aca="false">'Debt &amp; cash'!Y15/Economy!O15</f>
        <v>0</v>
      </c>
      <c r="L15" s="97" t="str">
        <f aca="false">IF('Debt &amp; cash'!Y15*issue_price&lt;=mkt_capacity*Economy!O15+foreign_capacity,"OK","Check")</f>
        <v>OK</v>
      </c>
      <c r="M15" s="97" t="str">
        <f aca="false">IF($A15&lt;1900,"n/a",IF('Gold &amp; money'!K15&gt;=0,"OK","Check"))</f>
        <v>n/a</v>
      </c>
      <c r="N15" s="98" t="n">
        <f aca="false">Japan!AA15</f>
        <v>0</v>
      </c>
      <c r="O15" s="97" t="str">
        <f aca="false">IF(N15&lt;=1,"OK","Check")</f>
        <v>OK</v>
      </c>
      <c r="P15" s="97" t="str">
        <f aca="false">IF($A15&lt;1922,"n/a",IF(AND(Navy!AE15&gt;=0.95,Navy!AE15&lt;=1.1),"OK","Check"))</f>
        <v>n/a</v>
      </c>
      <c r="Q15" s="97" t="str">
        <f aca="false">IF(Navy!Z15=0,"n/a",IF(Resources!K15&gt;=Navy!Z15,"OK","Check"))</f>
        <v>n/a</v>
      </c>
      <c r="R15" s="97" t="str">
        <f aca="false">IF(AND(gulf_on=1,$A15=gulf_year),IF(Gulf!AF15=1,"OK","Check"),"n/a")</f>
        <v>n/a</v>
      </c>
      <c r="S15" s="50" t="n">
        <f aca="false">COUNTIF(B15:R15,"Check")+COUNTIF(T15:AG15,"Check")+AH15+COUNTIF(AI15,"Check")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29" t="n">
        <f aca="false">COUNTIF(AA15:AG15,"Unverified")</f>
        <v>0</v>
      </c>
      <c r="AI15" s="1" t="str">
        <f aca="false">IF(OR($A15&lt;1918,$A15&gt;1932),"n/a",INDEX(Siberia!$H$38:$H$52,MATCH($A15,Siberia!$A$38:$A$52,0)))</f>
        <v>n/a</v>
      </c>
    </row>
    <row r="16" customFormat="false" ht="14.9" hidden="false" customHeight="false" outlineLevel="0" collapsed="false">
      <c r="A16" s="61" t="n">
        <v>1856</v>
      </c>
      <c r="B16" s="97" t="str">
        <f aca="false">IF(ABS(People!L16-(People!B16+People!C16+People!D16+People!K16))&lt;1,"OK","Check")</f>
        <v>OK</v>
      </c>
      <c r="C16" s="97" t="str">
        <f aca="false">IF(ABS('Debt &amp; cash'!M16-'Debt &amp; cash'!E16)&lt;0.001,"OK","Check")</f>
        <v>OK</v>
      </c>
      <c r="D16" s="97" t="str">
        <f aca="false">IF('Debt &amp; cash'!S16&gt;=-0.001,"OK","Check")</f>
        <v>OK</v>
      </c>
      <c r="E16" s="98" t="n">
        <f aca="false">'Debt &amp; cash'!V16</f>
        <v>0.052383798102975</v>
      </c>
      <c r="F16" s="97" t="str">
        <f aca="false">IF($A16&lt;1887,"n/a",IF(E16&lt;=cap_debt,"OK","Check"))</f>
        <v>n/a</v>
      </c>
      <c r="G16" s="98" t="n">
        <f aca="false">'Debt &amp; cash'!W16</f>
        <v>0.0360577480348045</v>
      </c>
      <c r="H16" s="97" t="str">
        <f aca="false">IF($A16&lt;1887,"n/a",IF(G16&lt;=cap_int,"OK","Check"))</f>
        <v>n/a</v>
      </c>
      <c r="I16" s="98" t="n">
        <f aca="false">Budget!AC16</f>
        <v>0.0359735585239679</v>
      </c>
      <c r="J16" s="97" t="str">
        <f aca="false">IF($A16&lt;1887,"n/a",IF(Paths!AC16=1,"War year",IF(I16&lt;=cap_def,"OK","Check")))</f>
        <v>n/a</v>
      </c>
      <c r="K16" s="66" t="n">
        <f aca="false">'Debt &amp; cash'!Y16/Economy!O16</f>
        <v>0</v>
      </c>
      <c r="L16" s="97" t="str">
        <f aca="false">IF('Debt &amp; cash'!Y16*issue_price&lt;=mkt_capacity*Economy!O16+foreign_capacity,"OK","Check")</f>
        <v>OK</v>
      </c>
      <c r="M16" s="97" t="str">
        <f aca="false">IF($A16&lt;1900,"n/a",IF('Gold &amp; money'!K16&gt;=0,"OK","Check"))</f>
        <v>n/a</v>
      </c>
      <c r="N16" s="98" t="n">
        <f aca="false">Japan!AA16</f>
        <v>0</v>
      </c>
      <c r="O16" s="97" t="str">
        <f aca="false">IF(N16&lt;=1,"OK","Check")</f>
        <v>OK</v>
      </c>
      <c r="P16" s="97" t="str">
        <f aca="false">IF($A16&lt;1922,"n/a",IF(AND(Navy!AE16&gt;=0.95,Navy!AE16&lt;=1.1),"OK","Check"))</f>
        <v>n/a</v>
      </c>
      <c r="Q16" s="97" t="str">
        <f aca="false">IF(Navy!Z16=0,"n/a",IF(Resources!K16&gt;=Navy!Z16,"OK","Check"))</f>
        <v>n/a</v>
      </c>
      <c r="R16" s="97" t="str">
        <f aca="false">IF(AND(gulf_on=1,$A16=gulf_year),IF(Gulf!AF16=1,"OK","Check"),"n/a")</f>
        <v>n/a</v>
      </c>
      <c r="S16" s="50" t="n">
        <f aca="false">COUNTIF(B16:R16,"Check")+COUNTIF(T16:AG16,"Check")+AH16+COUNTIF(AI16,"Check")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29" t="n">
        <f aca="false">COUNTIF(AA16:AG16,"Unverified")</f>
        <v>0</v>
      </c>
      <c r="AI16" s="1" t="str">
        <f aca="false">IF(OR($A16&lt;1918,$A16&gt;1932),"n/a",INDEX(Siberia!$H$38:$H$52,MATCH($A16,Siberia!$A$38:$A$52,0)))</f>
        <v>n/a</v>
      </c>
    </row>
    <row r="17" customFormat="false" ht="14.9" hidden="false" customHeight="false" outlineLevel="0" collapsed="false">
      <c r="A17" s="61" t="n">
        <v>1857</v>
      </c>
      <c r="B17" s="97" t="str">
        <f aca="false">IF(ABS(People!L17-(People!B17+People!C17+People!D17+People!K17))&lt;1,"OK","Check")</f>
        <v>OK</v>
      </c>
      <c r="C17" s="97" t="str">
        <f aca="false">IF(ABS('Debt &amp; cash'!M17-'Debt &amp; cash'!E17)&lt;0.001,"OK","Check")</f>
        <v>OK</v>
      </c>
      <c r="D17" s="97" t="str">
        <f aca="false">IF('Debt &amp; cash'!S17&gt;=-0.001,"OK","Check")</f>
        <v>OK</v>
      </c>
      <c r="E17" s="98" t="n">
        <f aca="false">'Debt &amp; cash'!V17</f>
        <v>0.0481632027972187</v>
      </c>
      <c r="F17" s="97" t="str">
        <f aca="false">IF($A17&lt;1887,"n/a",IF(E17&lt;=cap_debt,"OK","Check"))</f>
        <v>n/a</v>
      </c>
      <c r="G17" s="98" t="n">
        <f aca="false">'Debt &amp; cash'!W17</f>
        <v>0.0302338385733164</v>
      </c>
      <c r="H17" s="97" t="str">
        <f aca="false">IF($A17&lt;1887,"n/a",IF(G17&lt;=cap_int,"OK","Check"))</f>
        <v>n/a</v>
      </c>
      <c r="I17" s="98" t="n">
        <f aca="false">Budget!AC17</f>
        <v>0.0463212510574523</v>
      </c>
      <c r="J17" s="97" t="str">
        <f aca="false">IF($A17&lt;1887,"n/a",IF(Paths!AC17=1,"War year",IF(I17&lt;=cap_def,"OK","Check")))</f>
        <v>n/a</v>
      </c>
      <c r="K17" s="66" t="n">
        <f aca="false">'Debt &amp; cash'!Y17/Economy!O17</f>
        <v>0</v>
      </c>
      <c r="L17" s="97" t="str">
        <f aca="false">IF('Debt &amp; cash'!Y17*issue_price&lt;=mkt_capacity*Economy!O17+foreign_capacity,"OK","Check")</f>
        <v>OK</v>
      </c>
      <c r="M17" s="97" t="str">
        <f aca="false">IF($A17&lt;1900,"n/a",IF('Gold &amp; money'!K17&gt;=0,"OK","Check"))</f>
        <v>n/a</v>
      </c>
      <c r="N17" s="98" t="n">
        <f aca="false">Japan!AA17</f>
        <v>0</v>
      </c>
      <c r="O17" s="97" t="str">
        <f aca="false">IF(N17&lt;=1,"OK","Check")</f>
        <v>OK</v>
      </c>
      <c r="P17" s="97" t="str">
        <f aca="false">IF($A17&lt;1922,"n/a",IF(AND(Navy!AE17&gt;=0.95,Navy!AE17&lt;=1.1),"OK","Check"))</f>
        <v>n/a</v>
      </c>
      <c r="Q17" s="97" t="str">
        <f aca="false">IF(Navy!Z17=0,"n/a",IF(Resources!K17&gt;=Navy!Z17,"OK","Check"))</f>
        <v>n/a</v>
      </c>
      <c r="R17" s="97" t="str">
        <f aca="false">IF(AND(gulf_on=1,$A17=gulf_year),IF(Gulf!AF17=1,"OK","Check"),"n/a")</f>
        <v>n/a</v>
      </c>
      <c r="S17" s="50" t="n">
        <f aca="false">COUNTIF(B17:R17,"Check")+COUNTIF(T17:AG17,"Check")+AH17+COUNTIF(AI17,"Check")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29" t="n">
        <f aca="false">COUNTIF(AA17:AG17,"Unverified")</f>
        <v>0</v>
      </c>
      <c r="AI17" s="1" t="str">
        <f aca="false">IF(OR($A17&lt;1918,$A17&gt;1932),"n/a",INDEX(Siberia!$H$38:$H$52,MATCH($A17,Siberia!$A$38:$A$52,0)))</f>
        <v>n/a</v>
      </c>
    </row>
    <row r="18" customFormat="false" ht="14.9" hidden="false" customHeight="false" outlineLevel="0" collapsed="false">
      <c r="A18" s="61" t="n">
        <v>1858</v>
      </c>
      <c r="B18" s="97" t="str">
        <f aca="false">IF(ABS(People!L18-(People!B18+People!C18+People!D18+People!K18))&lt;1,"OK","Check")</f>
        <v>OK</v>
      </c>
      <c r="C18" s="97" t="str">
        <f aca="false">IF(ABS('Debt &amp; cash'!M18-'Debt &amp; cash'!E18)&lt;0.001,"OK","Check")</f>
        <v>OK</v>
      </c>
      <c r="D18" s="97" t="str">
        <f aca="false">IF('Debt &amp; cash'!S18&gt;=-0.001,"OK","Check")</f>
        <v>OK</v>
      </c>
      <c r="E18" s="98" t="n">
        <f aca="false">'Debt &amp; cash'!V18</f>
        <v>0.0435025863589227</v>
      </c>
      <c r="F18" s="97" t="str">
        <f aca="false">IF($A18&lt;1887,"n/a",IF(E18&lt;=cap_debt,"OK","Check"))</f>
        <v>n/a</v>
      </c>
      <c r="G18" s="98" t="n">
        <f aca="false">'Debt &amp; cash'!W18</f>
        <v>0.0262755161522089</v>
      </c>
      <c r="H18" s="97" t="str">
        <f aca="false">IF($A18&lt;1887,"n/a",IF(G18&lt;=cap_int,"OK","Check"))</f>
        <v>n/a</v>
      </c>
      <c r="I18" s="98" t="n">
        <f aca="false">Budget!AC18</f>
        <v>0.0505942695232845</v>
      </c>
      <c r="J18" s="97" t="str">
        <f aca="false">IF($A18&lt;1887,"n/a",IF(Paths!AC18=1,"War year",IF(I18&lt;=cap_def,"OK","Check")))</f>
        <v>n/a</v>
      </c>
      <c r="K18" s="66" t="n">
        <f aca="false">'Debt &amp; cash'!Y18/Economy!O18</f>
        <v>0</v>
      </c>
      <c r="L18" s="97" t="str">
        <f aca="false">IF('Debt &amp; cash'!Y18*issue_price&lt;=mkt_capacity*Economy!O18+foreign_capacity,"OK","Check")</f>
        <v>OK</v>
      </c>
      <c r="M18" s="97" t="str">
        <f aca="false">IF($A18&lt;1900,"n/a",IF('Gold &amp; money'!K18&gt;=0,"OK","Check"))</f>
        <v>n/a</v>
      </c>
      <c r="N18" s="98" t="n">
        <f aca="false">Japan!AA18</f>
        <v>0</v>
      </c>
      <c r="O18" s="97" t="str">
        <f aca="false">IF(N18&lt;=1,"OK","Check")</f>
        <v>OK</v>
      </c>
      <c r="P18" s="97" t="str">
        <f aca="false">IF($A18&lt;1922,"n/a",IF(AND(Navy!AE18&gt;=0.95,Navy!AE18&lt;=1.1),"OK","Check"))</f>
        <v>n/a</v>
      </c>
      <c r="Q18" s="97" t="str">
        <f aca="false">IF(Navy!Z18=0,"n/a",IF(Resources!K18&gt;=Navy!Z18,"OK","Check"))</f>
        <v>n/a</v>
      </c>
      <c r="R18" s="97" t="str">
        <f aca="false">IF(AND(gulf_on=1,$A18=gulf_year),IF(Gulf!AF18=1,"OK","Check"),"n/a")</f>
        <v>n/a</v>
      </c>
      <c r="S18" s="50" t="n">
        <f aca="false">COUNTIF(B18:R18,"Check")+COUNTIF(T18:AG18,"Check")+AH18+COUNTIF(AI18,"Check")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29" t="n">
        <f aca="false">COUNTIF(AA18:AG18,"Unverified")</f>
        <v>0</v>
      </c>
      <c r="AI18" s="1" t="str">
        <f aca="false">IF(OR($A18&lt;1918,$A18&gt;1932),"n/a",INDEX(Siberia!$H$38:$H$52,MATCH($A18,Siberia!$A$38:$A$52,0)))</f>
        <v>n/a</v>
      </c>
    </row>
    <row r="19" customFormat="false" ht="14.9" hidden="false" customHeight="false" outlineLevel="0" collapsed="false">
      <c r="A19" s="61" t="n">
        <v>1859</v>
      </c>
      <c r="B19" s="97" t="str">
        <f aca="false">IF(ABS(People!L19-(People!B19+People!C19+People!D19+People!K19))&lt;1,"OK","Check")</f>
        <v>OK</v>
      </c>
      <c r="C19" s="97" t="str">
        <f aca="false">IF(ABS('Debt &amp; cash'!M19-'Debt &amp; cash'!E19)&lt;0.001,"OK","Check")</f>
        <v>OK</v>
      </c>
      <c r="D19" s="97" t="str">
        <f aca="false">IF('Debt &amp; cash'!S19&gt;=-0.001,"OK","Check")</f>
        <v>OK</v>
      </c>
      <c r="E19" s="98" t="n">
        <f aca="false">'Debt &amp; cash'!V19</f>
        <v>0.0399642816066637</v>
      </c>
      <c r="F19" s="97" t="str">
        <f aca="false">IF($A19&lt;1887,"n/a",IF(E19&lt;=cap_debt,"OK","Check"))</f>
        <v>n/a</v>
      </c>
      <c r="G19" s="98" t="n">
        <f aca="false">'Debt &amp; cash'!W19</f>
        <v>0.0243352731194089</v>
      </c>
      <c r="H19" s="97" t="str">
        <f aca="false">IF($A19&lt;1887,"n/a",IF(G19&lt;=cap_int,"OK","Check"))</f>
        <v>n/a</v>
      </c>
      <c r="I19" s="98" t="n">
        <f aca="false">Budget!AC19</f>
        <v>0.0558871172861427</v>
      </c>
      <c r="J19" s="97" t="str">
        <f aca="false">IF($A19&lt;1887,"n/a",IF(Paths!AC19=1,"War year",IF(I19&lt;=cap_def,"OK","Check")))</f>
        <v>n/a</v>
      </c>
      <c r="K19" s="66" t="n">
        <f aca="false">'Debt &amp; cash'!Y19/Economy!O19</f>
        <v>0</v>
      </c>
      <c r="L19" s="97" t="str">
        <f aca="false">IF('Debt &amp; cash'!Y19*issue_price&lt;=mkt_capacity*Economy!O19+foreign_capacity,"OK","Check")</f>
        <v>OK</v>
      </c>
      <c r="M19" s="97" t="str">
        <f aca="false">IF($A19&lt;1900,"n/a",IF('Gold &amp; money'!K19&gt;=0,"OK","Check"))</f>
        <v>n/a</v>
      </c>
      <c r="N19" s="98" t="n">
        <f aca="false">Japan!AA19</f>
        <v>0</v>
      </c>
      <c r="O19" s="97" t="str">
        <f aca="false">IF(N19&lt;=1,"OK","Check")</f>
        <v>OK</v>
      </c>
      <c r="P19" s="97" t="str">
        <f aca="false">IF($A19&lt;1922,"n/a",IF(AND(Navy!AE19&gt;=0.95,Navy!AE19&lt;=1.1),"OK","Check"))</f>
        <v>n/a</v>
      </c>
      <c r="Q19" s="97" t="str">
        <f aca="false">IF(Navy!Z19=0,"n/a",IF(Resources!K19&gt;=Navy!Z19,"OK","Check"))</f>
        <v>n/a</v>
      </c>
      <c r="R19" s="97" t="str">
        <f aca="false">IF(AND(gulf_on=1,$A19=gulf_year),IF(Gulf!AF19=1,"OK","Check"),"n/a")</f>
        <v>n/a</v>
      </c>
      <c r="S19" s="50" t="n">
        <f aca="false">COUNTIF(B19:R19,"Check")+COUNTIF(T19:AG19,"Check")+AH19+COUNTIF(AI19,"Check")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29" t="n">
        <f aca="false">COUNTIF(AA19:AG19,"Unverified")</f>
        <v>0</v>
      </c>
      <c r="AI19" s="1" t="str">
        <f aca="false">IF(OR($A19&lt;1918,$A19&gt;1932),"n/a",INDEX(Siberia!$H$38:$H$52,MATCH($A19,Siberia!$A$38:$A$52,0)))</f>
        <v>n/a</v>
      </c>
    </row>
    <row r="20" customFormat="false" ht="14.9" hidden="false" customHeight="false" outlineLevel="0" collapsed="false">
      <c r="A20" s="61" t="n">
        <v>1860</v>
      </c>
      <c r="B20" s="97" t="str">
        <f aca="false">IF(ABS(People!L20-(People!B20+People!C20+People!D20+People!K20))&lt;1,"OK","Check")</f>
        <v>OK</v>
      </c>
      <c r="C20" s="97" t="str">
        <f aca="false">IF(ABS('Debt &amp; cash'!M20-'Debt &amp; cash'!E20)&lt;0.001,"OK","Check")</f>
        <v>OK</v>
      </c>
      <c r="D20" s="97" t="str">
        <f aca="false">IF('Debt &amp; cash'!S20&gt;=-0.001,"OK","Check")</f>
        <v>OK</v>
      </c>
      <c r="E20" s="98" t="n">
        <f aca="false">'Debt &amp; cash'!V20</f>
        <v>0.0608487310652439</v>
      </c>
      <c r="F20" s="97" t="str">
        <f aca="false">IF($A20&lt;1887,"n/a",IF(E20&lt;=cap_debt,"OK","Check"))</f>
        <v>n/a</v>
      </c>
      <c r="G20" s="98" t="n">
        <f aca="false">'Debt &amp; cash'!W20</f>
        <v>0.0228704883424894</v>
      </c>
      <c r="H20" s="97" t="str">
        <f aca="false">IF($A20&lt;1887,"n/a",IF(G20&lt;=cap_int,"OK","Check"))</f>
        <v>n/a</v>
      </c>
      <c r="I20" s="98" t="n">
        <f aca="false">Budget!AC20</f>
        <v>0.0726123443767346</v>
      </c>
      <c r="J20" s="97" t="str">
        <f aca="false">IF($A20&lt;1887,"n/a",IF(Paths!AC20=1,"War year",IF(I20&lt;=cap_def,"OK","Check")))</f>
        <v>n/a</v>
      </c>
      <c r="K20" s="66" t="n">
        <f aca="false">'Debt &amp; cash'!Y20/Economy!O20</f>
        <v>0.0236883809680295</v>
      </c>
      <c r="L20" s="97" t="str">
        <f aca="false">IF('Debt &amp; cash'!Y20*issue_price&lt;=mkt_capacity*Economy!O20+foreign_capacity,"OK","Check")</f>
        <v>OK</v>
      </c>
      <c r="M20" s="97" t="str">
        <f aca="false">IF($A20&lt;1900,"n/a",IF('Gold &amp; money'!K20&gt;=0,"OK","Check"))</f>
        <v>n/a</v>
      </c>
      <c r="N20" s="98" t="n">
        <f aca="false">Japan!AA20</f>
        <v>0</v>
      </c>
      <c r="O20" s="97" t="str">
        <f aca="false">IF(N20&lt;=1,"OK","Check")</f>
        <v>OK</v>
      </c>
      <c r="P20" s="97" t="str">
        <f aca="false">IF($A20&lt;1922,"n/a",IF(AND(Navy!AE20&gt;=0.95,Navy!AE20&lt;=1.1),"OK","Check"))</f>
        <v>n/a</v>
      </c>
      <c r="Q20" s="97" t="str">
        <f aca="false">IF(Navy!Z20=0,"n/a",IF(Resources!K20&gt;=Navy!Z20,"OK","Check"))</f>
        <v>n/a</v>
      </c>
      <c r="R20" s="97" t="str">
        <f aca="false">IF(AND(gulf_on=1,$A20=gulf_year),IF(Gulf!AF20=1,"OK","Check"),"n/a")</f>
        <v>n/a</v>
      </c>
      <c r="S20" s="50" t="n">
        <f aca="false">COUNTIF(B20:R20,"Check")+COUNTIF(T20:AG20,"Check")+AH20+COUNTIF(AI20,"Check")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29" t="n">
        <f aca="false">COUNTIF(AA20:AG20,"Unverified")</f>
        <v>0</v>
      </c>
      <c r="AI20" s="1" t="str">
        <f aca="false">IF(OR($A20&lt;1918,$A20&gt;1932),"n/a",INDEX(Siberia!$H$38:$H$52,MATCH($A20,Siberia!$A$38:$A$52,0)))</f>
        <v>n/a</v>
      </c>
    </row>
    <row r="21" customFormat="false" ht="14.9" hidden="false" customHeight="false" outlineLevel="0" collapsed="false">
      <c r="A21" s="64" t="n">
        <v>1861</v>
      </c>
      <c r="B21" s="97" t="str">
        <f aca="false">IF(ABS(People!L21-(People!B21+People!C21+People!D21+People!K21))&lt;1,"OK","Check")</f>
        <v>OK</v>
      </c>
      <c r="C21" s="97" t="str">
        <f aca="false">IF(ABS('Debt &amp; cash'!M21-'Debt &amp; cash'!E21)&lt;0.001,"OK","Check")</f>
        <v>OK</v>
      </c>
      <c r="D21" s="97" t="str">
        <f aca="false">IF('Debt &amp; cash'!S21&gt;=-0.001,"OK","Check")</f>
        <v>OK</v>
      </c>
      <c r="E21" s="98" t="n">
        <f aca="false">'Debt &amp; cash'!V21</f>
        <v>0.116931402761615</v>
      </c>
      <c r="F21" s="97" t="str">
        <f aca="false">IF($A21&lt;1887,"n/a",IF(E21&lt;=cap_debt,"OK","Check"))</f>
        <v>n/a</v>
      </c>
      <c r="G21" s="98" t="n">
        <f aca="false">'Debt &amp; cash'!W21</f>
        <v>0.0288788169163892</v>
      </c>
      <c r="H21" s="97" t="str">
        <f aca="false">IF($A21&lt;1887,"n/a",IF(G21&lt;=cap_int,"OK","Check"))</f>
        <v>n/a</v>
      </c>
      <c r="I21" s="98" t="n">
        <f aca="false">Budget!AC21</f>
        <v>0.122359680369461</v>
      </c>
      <c r="J21" s="97" t="str">
        <f aca="false">IF($A21&lt;1887,"n/a",IF(Paths!AC21=1,"War year",IF(I21&lt;=cap_def,"OK","Check")))</f>
        <v>n/a</v>
      </c>
      <c r="K21" s="66" t="n">
        <f aca="false">'Debt &amp; cash'!Y21/Economy!O21</f>
        <v>0.0591043102696175</v>
      </c>
      <c r="L21" s="97" t="str">
        <f aca="false">IF('Debt &amp; cash'!Y21*issue_price&lt;=mkt_capacity*Economy!O21+foreign_capacity,"OK","Check")</f>
        <v>OK</v>
      </c>
      <c r="M21" s="97" t="str">
        <f aca="false">IF($A21&lt;1900,"n/a",IF('Gold &amp; money'!K21&gt;=0,"OK","Check"))</f>
        <v>n/a</v>
      </c>
      <c r="N21" s="98" t="n">
        <f aca="false">Japan!AA21</f>
        <v>0</v>
      </c>
      <c r="O21" s="97" t="str">
        <f aca="false">IF(N21&lt;=1,"OK","Check")</f>
        <v>OK</v>
      </c>
      <c r="P21" s="97" t="str">
        <f aca="false">IF($A21&lt;1922,"n/a",IF(AND(Navy!AE21&gt;=0.95,Navy!AE21&lt;=1.1),"OK","Check"))</f>
        <v>n/a</v>
      </c>
      <c r="Q21" s="97" t="str">
        <f aca="false">IF(Navy!Z21=0,"n/a",IF(Resources!K21&gt;=Navy!Z21,"OK","Check"))</f>
        <v>n/a</v>
      </c>
      <c r="R21" s="97" t="str">
        <f aca="false">IF(AND(gulf_on=1,$A21=gulf_year),IF(Gulf!AF21=1,"OK","Check"),"n/a")</f>
        <v>n/a</v>
      </c>
      <c r="S21" s="50" t="n">
        <f aca="false">COUNTIF(B21:R21,"Check")+COUNTIF(T21:AG21,"Check")+AH21+COUNTIF(AI21,"Check")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29" t="n">
        <f aca="false">COUNTIF(AA21:AG21,"Unverified")</f>
        <v>0</v>
      </c>
      <c r="AI21" s="1" t="str">
        <f aca="false">IF(OR($A21&lt;1918,$A21&gt;1932),"n/a",INDEX(Siberia!$H$38:$H$52,MATCH($A21,Siberia!$A$38:$A$52,0)))</f>
        <v>n/a</v>
      </c>
    </row>
    <row r="22" customFormat="false" ht="14.9" hidden="false" customHeight="false" outlineLevel="0" collapsed="false">
      <c r="A22" s="64" t="n">
        <v>1862</v>
      </c>
      <c r="B22" s="97" t="str">
        <f aca="false">IF(ABS(People!L22-(People!B22+People!C22+People!D22+People!K22))&lt;1,"OK","Check")</f>
        <v>OK</v>
      </c>
      <c r="C22" s="97" t="str">
        <f aca="false">IF(ABS('Debt &amp; cash'!M22-'Debt &amp; cash'!E22)&lt;0.001,"OK","Check")</f>
        <v>OK</v>
      </c>
      <c r="D22" s="97" t="str">
        <f aca="false">IF('Debt &amp; cash'!S22&gt;=-0.001,"OK","Check")</f>
        <v>OK</v>
      </c>
      <c r="E22" s="98" t="n">
        <f aca="false">'Debt &amp; cash'!V22</f>
        <v>0.197823577673404</v>
      </c>
      <c r="F22" s="97" t="str">
        <f aca="false">IF($A22&lt;1887,"n/a",IF(E22&lt;=cap_debt,"OK","Check"))</f>
        <v>n/a</v>
      </c>
      <c r="G22" s="98" t="n">
        <f aca="false">'Debt &amp; cash'!W22</f>
        <v>0.0497916190828563</v>
      </c>
      <c r="H22" s="97" t="str">
        <f aca="false">IF($A22&lt;1887,"n/a",IF(G22&lt;=cap_int,"OK","Check"))</f>
        <v>n/a</v>
      </c>
      <c r="I22" s="98" t="n">
        <f aca="false">Budget!AC22</f>
        <v>0.158524398431693</v>
      </c>
      <c r="J22" s="97" t="str">
        <f aca="false">IF($A22&lt;1887,"n/a",IF(Paths!AC22=1,"War year",IF(I22&lt;=cap_def,"OK","Check")))</f>
        <v>n/a</v>
      </c>
      <c r="K22" s="66" t="n">
        <f aca="false">'Debt &amp; cash'!Y22/Economy!O22</f>
        <v>0.0983785858191596</v>
      </c>
      <c r="L22" s="97" t="str">
        <f aca="false">IF('Debt &amp; cash'!Y22*issue_price&lt;=mkt_capacity*Economy!O22+foreign_capacity,"OK","Check")</f>
        <v>OK</v>
      </c>
      <c r="M22" s="97" t="str">
        <f aca="false">IF($A22&lt;1900,"n/a",IF('Gold &amp; money'!K22&gt;=0,"OK","Check"))</f>
        <v>n/a</v>
      </c>
      <c r="N22" s="98" t="n">
        <f aca="false">Japan!AA22</f>
        <v>0</v>
      </c>
      <c r="O22" s="97" t="str">
        <f aca="false">IF(N22&lt;=1,"OK","Check")</f>
        <v>OK</v>
      </c>
      <c r="P22" s="97" t="str">
        <f aca="false">IF($A22&lt;1922,"n/a",IF(AND(Navy!AE22&gt;=0.95,Navy!AE22&lt;=1.1),"OK","Check"))</f>
        <v>n/a</v>
      </c>
      <c r="Q22" s="97" t="str">
        <f aca="false">IF(Navy!Z22=0,"n/a",IF(Resources!K22&gt;=Navy!Z22,"OK","Check"))</f>
        <v>n/a</v>
      </c>
      <c r="R22" s="97" t="str">
        <f aca="false">IF(AND(gulf_on=1,$A22=gulf_year),IF(Gulf!AF22=1,"OK","Check"),"n/a")</f>
        <v>n/a</v>
      </c>
      <c r="S22" s="50" t="n">
        <f aca="false">COUNTIF(B22:R22,"Check")+COUNTIF(T22:AG22,"Check")+AH22+COUNTIF(AI22,"Check")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29" t="n">
        <f aca="false">COUNTIF(AA22:AG22,"Unverified")</f>
        <v>0</v>
      </c>
      <c r="AI22" s="1" t="str">
        <f aca="false">IF(OR($A22&lt;1918,$A22&gt;1932),"n/a",INDEX(Siberia!$H$38:$H$52,MATCH($A22,Siberia!$A$38:$A$52,0)))</f>
        <v>n/a</v>
      </c>
    </row>
    <row r="23" customFormat="false" ht="14.9" hidden="false" customHeight="false" outlineLevel="0" collapsed="false">
      <c r="A23" s="64" t="n">
        <v>1863</v>
      </c>
      <c r="B23" s="97" t="str">
        <f aca="false">IF(ABS(People!L23-(People!B23+People!C23+People!D23+People!K23))&lt;1,"OK","Check")</f>
        <v>OK</v>
      </c>
      <c r="C23" s="97" t="str">
        <f aca="false">IF(ABS('Debt &amp; cash'!M23-'Debt &amp; cash'!E23)&lt;0.001,"OK","Check")</f>
        <v>OK</v>
      </c>
      <c r="D23" s="97" t="str">
        <f aca="false">IF('Debt &amp; cash'!S23&gt;=-0.001,"OK","Check")</f>
        <v>OK</v>
      </c>
      <c r="E23" s="98" t="n">
        <f aca="false">'Debt &amp; cash'!V23</f>
        <v>0.24596803025192</v>
      </c>
      <c r="F23" s="97" t="str">
        <f aca="false">IF($A23&lt;1887,"n/a",IF(E23&lt;=cap_debt,"OK","Check"))</f>
        <v>n/a</v>
      </c>
      <c r="G23" s="98" t="n">
        <f aca="false">'Debt &amp; cash'!W23</f>
        <v>0.0783507403769207</v>
      </c>
      <c r="H23" s="97" t="str">
        <f aca="false">IF($A23&lt;1887,"n/a",IF(G23&lt;=cap_int,"OK","Check"))</f>
        <v>n/a</v>
      </c>
      <c r="I23" s="98" t="n">
        <f aca="false">Budget!AC23</f>
        <v>0.144848796984264</v>
      </c>
      <c r="J23" s="97" t="str">
        <f aca="false">IF($A23&lt;1887,"n/a",IF(Paths!AC23=1,"War year",IF(I23&lt;=cap_def,"OK","Check")))</f>
        <v>n/a</v>
      </c>
      <c r="K23" s="66" t="n">
        <f aca="false">'Debt &amp; cash'!Y23/Economy!O23</f>
        <v>0.090401828681854</v>
      </c>
      <c r="L23" s="97" t="str">
        <f aca="false">IF('Debt &amp; cash'!Y23*issue_price&lt;=mkt_capacity*Economy!O23+foreign_capacity,"OK","Check")</f>
        <v>OK</v>
      </c>
      <c r="M23" s="97" t="str">
        <f aca="false">IF($A23&lt;1900,"n/a",IF('Gold &amp; money'!K23&gt;=0,"OK","Check"))</f>
        <v>n/a</v>
      </c>
      <c r="N23" s="98" t="n">
        <f aca="false">Japan!AA23</f>
        <v>0</v>
      </c>
      <c r="O23" s="97" t="str">
        <f aca="false">IF(N23&lt;=1,"OK","Check")</f>
        <v>OK</v>
      </c>
      <c r="P23" s="97" t="str">
        <f aca="false">IF($A23&lt;1922,"n/a",IF(AND(Navy!AE23&gt;=0.95,Navy!AE23&lt;=1.1),"OK","Check"))</f>
        <v>n/a</v>
      </c>
      <c r="Q23" s="97" t="str">
        <f aca="false">IF(Navy!Z23=0,"n/a",IF(Resources!K23&gt;=Navy!Z23,"OK","Check"))</f>
        <v>n/a</v>
      </c>
      <c r="R23" s="97" t="str">
        <f aca="false">IF(AND(gulf_on=1,$A23=gulf_year),IF(Gulf!AF23=1,"OK","Check"),"n/a")</f>
        <v>n/a</v>
      </c>
      <c r="S23" s="50" t="n">
        <f aca="false">COUNTIF(B23:R23,"Check")+COUNTIF(T23:AG23,"Check")+AH23+COUNTIF(AI23,"Check")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29" t="n">
        <f aca="false">COUNTIF(AA23:AG23,"Unverified")</f>
        <v>0</v>
      </c>
      <c r="AI23" s="1" t="str">
        <f aca="false">IF(OR($A23&lt;1918,$A23&gt;1932),"n/a",INDEX(Siberia!$H$38:$H$52,MATCH($A23,Siberia!$A$38:$A$52,0)))</f>
        <v>n/a</v>
      </c>
    </row>
    <row r="24" customFormat="false" ht="14.9" hidden="false" customHeight="false" outlineLevel="0" collapsed="false">
      <c r="A24" s="64" t="n">
        <v>1864</v>
      </c>
      <c r="B24" s="97" t="str">
        <f aca="false">IF(ABS(People!L24-(People!B24+People!C24+People!D24+People!K24))&lt;1,"OK","Check")</f>
        <v>OK</v>
      </c>
      <c r="C24" s="97" t="str">
        <f aca="false">IF(ABS('Debt &amp; cash'!M24-'Debt &amp; cash'!E24)&lt;0.001,"OK","Check")</f>
        <v>OK</v>
      </c>
      <c r="D24" s="97" t="str">
        <f aca="false">IF('Debt &amp; cash'!S24&gt;=-0.001,"OK","Check")</f>
        <v>OK</v>
      </c>
      <c r="E24" s="98" t="n">
        <f aca="false">'Debt &amp; cash'!V24</f>
        <v>0.27026598151663</v>
      </c>
      <c r="F24" s="97" t="str">
        <f aca="false">IF($A24&lt;1887,"n/a",IF(E24&lt;=cap_debt,"OK","Check"))</f>
        <v>n/a</v>
      </c>
      <c r="G24" s="98" t="n">
        <f aca="false">'Debt &amp; cash'!W24</f>
        <v>0.101850847977822</v>
      </c>
      <c r="H24" s="97" t="str">
        <f aca="false">IF($A24&lt;1887,"n/a",IF(G24&lt;=cap_int,"OK","Check"))</f>
        <v>n/a</v>
      </c>
      <c r="I24" s="98" t="n">
        <f aca="false">Budget!AC24</f>
        <v>0.122916606902316</v>
      </c>
      <c r="J24" s="97" t="str">
        <f aca="false">IF($A24&lt;1887,"n/a",IF(Paths!AC24=1,"War year",IF(I24&lt;=cap_def,"OK","Check")))</f>
        <v>n/a</v>
      </c>
      <c r="K24" s="66" t="n">
        <f aca="false">'Debt &amp; cash'!Y24/Economy!O24</f>
        <v>0.0716272326190132</v>
      </c>
      <c r="L24" s="97" t="str">
        <f aca="false">IF('Debt &amp; cash'!Y24*issue_price&lt;=mkt_capacity*Economy!O24+foreign_capacity,"OK","Check")</f>
        <v>OK</v>
      </c>
      <c r="M24" s="97" t="str">
        <f aca="false">IF($A24&lt;1900,"n/a",IF('Gold &amp; money'!K24&gt;=0,"OK","Check"))</f>
        <v>n/a</v>
      </c>
      <c r="N24" s="98" t="n">
        <f aca="false">Japan!AA24</f>
        <v>0</v>
      </c>
      <c r="O24" s="97" t="str">
        <f aca="false">IF(N24&lt;=1,"OK","Check")</f>
        <v>OK</v>
      </c>
      <c r="P24" s="97" t="str">
        <f aca="false">IF($A24&lt;1922,"n/a",IF(AND(Navy!AE24&gt;=0.95,Navy!AE24&lt;=1.1),"OK","Check"))</f>
        <v>n/a</v>
      </c>
      <c r="Q24" s="97" t="str">
        <f aca="false">IF(Navy!Z24=0,"n/a",IF(Resources!K24&gt;=Navy!Z24,"OK","Check"))</f>
        <v>n/a</v>
      </c>
      <c r="R24" s="97" t="str">
        <f aca="false">IF(AND(gulf_on=1,$A24=gulf_year),IF(Gulf!AF24=1,"OK","Check"),"n/a")</f>
        <v>n/a</v>
      </c>
      <c r="S24" s="50" t="n">
        <f aca="false">COUNTIF(B24:R24,"Check")+COUNTIF(T24:AG24,"Check")+AH24+COUNTIF(AI24,"Check")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29" t="n">
        <f aca="false">COUNTIF(AA24:AG24,"Unverified")</f>
        <v>0</v>
      </c>
      <c r="AI24" s="1" t="str">
        <f aca="false">IF(OR($A24&lt;1918,$A24&gt;1932),"n/a",INDEX(Siberia!$H$38:$H$52,MATCH($A24,Siberia!$A$38:$A$52,0)))</f>
        <v>n/a</v>
      </c>
    </row>
    <row r="25" customFormat="false" ht="14.9" hidden="false" customHeight="false" outlineLevel="0" collapsed="false">
      <c r="A25" s="64" t="n">
        <v>1865</v>
      </c>
      <c r="B25" s="97" t="str">
        <f aca="false">IF(ABS(People!L25-(People!B25+People!C25+People!D25+People!K25))&lt;1,"OK","Check")</f>
        <v>OK</v>
      </c>
      <c r="C25" s="97" t="str">
        <f aca="false">IF(ABS('Debt &amp; cash'!M25-'Debt &amp; cash'!E25)&lt;0.001,"OK","Check")</f>
        <v>OK</v>
      </c>
      <c r="D25" s="97" t="str">
        <f aca="false">IF('Debt &amp; cash'!S25&gt;=-0.001,"OK","Check")</f>
        <v>OK</v>
      </c>
      <c r="E25" s="98" t="n">
        <f aca="false">'Debt &amp; cash'!V25</f>
        <v>0.272848278666824</v>
      </c>
      <c r="F25" s="97" t="str">
        <f aca="false">IF($A25&lt;1887,"n/a",IF(E25&lt;=cap_debt,"OK","Check"))</f>
        <v>n/a</v>
      </c>
      <c r="G25" s="98" t="n">
        <f aca="false">'Debt &amp; cash'!W25</f>
        <v>0.124973009487516</v>
      </c>
      <c r="H25" s="97" t="str">
        <f aca="false">IF($A25&lt;1887,"n/a",IF(G25&lt;=cap_int,"OK","Check"))</f>
        <v>n/a</v>
      </c>
      <c r="I25" s="98" t="n">
        <f aca="false">Budget!AC25</f>
        <v>0.0779938908431348</v>
      </c>
      <c r="J25" s="97" t="str">
        <f aca="false">IF($A25&lt;1887,"n/a",IF(Paths!AC25=1,"War year",IF(I25&lt;=cap_def,"OK","Check")))</f>
        <v>n/a</v>
      </c>
      <c r="K25" s="66" t="n">
        <f aca="false">'Debt &amp; cash'!Y25/Economy!O25</f>
        <v>0.0301180309579111</v>
      </c>
      <c r="L25" s="97" t="str">
        <f aca="false">IF('Debt &amp; cash'!Y25*issue_price&lt;=mkt_capacity*Economy!O25+foreign_capacity,"OK","Check")</f>
        <v>OK</v>
      </c>
      <c r="M25" s="97" t="str">
        <f aca="false">IF($A25&lt;1900,"n/a",IF('Gold &amp; money'!K25&gt;=0,"OK","Check"))</f>
        <v>n/a</v>
      </c>
      <c r="N25" s="98" t="n">
        <f aca="false">Japan!AA25</f>
        <v>0</v>
      </c>
      <c r="O25" s="97" t="str">
        <f aca="false">IF(N25&lt;=1,"OK","Check")</f>
        <v>OK</v>
      </c>
      <c r="P25" s="97" t="str">
        <f aca="false">IF($A25&lt;1922,"n/a",IF(AND(Navy!AE25&gt;=0.95,Navy!AE25&lt;=1.1),"OK","Check"))</f>
        <v>n/a</v>
      </c>
      <c r="Q25" s="97" t="str">
        <f aca="false">IF(Navy!Z25=0,"n/a",IF(Resources!K25&gt;=Navy!Z25,"OK","Check"))</f>
        <v>n/a</v>
      </c>
      <c r="R25" s="97" t="str">
        <f aca="false">IF(AND(gulf_on=1,$A25=gulf_year),IF(Gulf!AF25=1,"OK","Check"),"n/a")</f>
        <v>n/a</v>
      </c>
      <c r="S25" s="50" t="n">
        <f aca="false">COUNTIF(B25:R25,"Check")+COUNTIF(T25:AG25,"Check")+AH25+COUNTIF(AI25,"Check")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29" t="n">
        <f aca="false">COUNTIF(AA25:AG25,"Unverified")</f>
        <v>0</v>
      </c>
      <c r="AI25" s="1" t="str">
        <f aca="false">IF(OR($A25&lt;1918,$A25&gt;1932),"n/a",INDEX(Siberia!$H$38:$H$52,MATCH($A25,Siberia!$A$38:$A$52,0)))</f>
        <v>n/a</v>
      </c>
    </row>
    <row r="26" customFormat="false" ht="14.9" hidden="false" customHeight="false" outlineLevel="0" collapsed="false">
      <c r="A26" s="61" t="n">
        <v>1866</v>
      </c>
      <c r="B26" s="97" t="str">
        <f aca="false">IF(ABS(People!L26-(People!B26+People!C26+People!D26+People!K26))&lt;1,"OK","Check")</f>
        <v>OK</v>
      </c>
      <c r="C26" s="97" t="str">
        <f aca="false">IF(ABS('Debt &amp; cash'!M26-'Debt &amp; cash'!E26)&lt;0.001,"OK","Check")</f>
        <v>OK</v>
      </c>
      <c r="D26" s="97" t="str">
        <f aca="false">IF('Debt &amp; cash'!S26&gt;=-0.001,"OK","Check")</f>
        <v>OK</v>
      </c>
      <c r="E26" s="98" t="n">
        <f aca="false">'Debt &amp; cash'!V26</f>
        <v>0.272521633136306</v>
      </c>
      <c r="F26" s="97" t="str">
        <f aca="false">IF($A26&lt;1887,"n/a",IF(E26&lt;=cap_debt,"OK","Check"))</f>
        <v>n/a</v>
      </c>
      <c r="G26" s="98" t="n">
        <f aca="false">'Debt &amp; cash'!W26</f>
        <v>0.131195612522325</v>
      </c>
      <c r="H26" s="97" t="str">
        <f aca="false">IF($A26&lt;1887,"n/a",IF(G26&lt;=cap_int,"OK","Check"))</f>
        <v>n/a</v>
      </c>
      <c r="I26" s="98" t="n">
        <f aca="false">Budget!AC26</f>
        <v>0.0549643929734915</v>
      </c>
      <c r="J26" s="97" t="str">
        <f aca="false">IF($A26&lt;1887,"n/a",IF(Paths!AC26=1,"War year",IF(I26&lt;=cap_def,"OK","Check")))</f>
        <v>n/a</v>
      </c>
      <c r="K26" s="66" t="n">
        <f aca="false">'Debt &amp; cash'!Y26/Economy!O26</f>
        <v>0.0223311876253226</v>
      </c>
      <c r="L26" s="97" t="str">
        <f aca="false">IF('Debt &amp; cash'!Y26*issue_price&lt;=mkt_capacity*Economy!O26+foreign_capacity,"OK","Check")</f>
        <v>OK</v>
      </c>
      <c r="M26" s="97" t="str">
        <f aca="false">IF($A26&lt;1900,"n/a",IF('Gold &amp; money'!K26&gt;=0,"OK","Check"))</f>
        <v>n/a</v>
      </c>
      <c r="N26" s="98" t="n">
        <f aca="false">Japan!AA26</f>
        <v>0</v>
      </c>
      <c r="O26" s="97" t="str">
        <f aca="false">IF(N26&lt;=1,"OK","Check")</f>
        <v>OK</v>
      </c>
      <c r="P26" s="97" t="str">
        <f aca="false">IF($A26&lt;1922,"n/a",IF(AND(Navy!AE26&gt;=0.95,Navy!AE26&lt;=1.1),"OK","Check"))</f>
        <v>n/a</v>
      </c>
      <c r="Q26" s="97" t="str">
        <f aca="false">IF(Navy!Z26=0,"n/a",IF(Resources!K26&gt;=Navy!Z26,"OK","Check"))</f>
        <v>n/a</v>
      </c>
      <c r="R26" s="97" t="str">
        <f aca="false">IF(AND(gulf_on=1,$A26=gulf_year),IF(Gulf!AF26=1,"OK","Check"),"n/a")</f>
        <v>n/a</v>
      </c>
      <c r="S26" s="50" t="n">
        <f aca="false">COUNTIF(B26:R26,"Check")+COUNTIF(T26:AG26,"Check")+AH26+COUNTIF(AI26,"Check")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29" t="n">
        <f aca="false">COUNTIF(AA26:AG26,"Unverified")</f>
        <v>0</v>
      </c>
      <c r="AI26" s="1" t="str">
        <f aca="false">IF(OR($A26&lt;1918,$A26&gt;1932),"n/a",INDEX(Siberia!$H$38:$H$52,MATCH($A26,Siberia!$A$38:$A$52,0)))</f>
        <v>n/a</v>
      </c>
    </row>
    <row r="27" customFormat="false" ht="14.9" hidden="false" customHeight="false" outlineLevel="0" collapsed="false">
      <c r="A27" s="61" t="n">
        <v>1867</v>
      </c>
      <c r="B27" s="97" t="str">
        <f aca="false">IF(ABS(People!L27-(People!B27+People!C27+People!D27+People!K27))&lt;1,"OK","Check")</f>
        <v>OK</v>
      </c>
      <c r="C27" s="97" t="str">
        <f aca="false">IF(ABS('Debt &amp; cash'!M27-'Debt &amp; cash'!E27)&lt;0.001,"OK","Check")</f>
        <v>OK</v>
      </c>
      <c r="D27" s="97" t="str">
        <f aca="false">IF('Debt &amp; cash'!S27&gt;=-0.001,"OK","Check")</f>
        <v>OK</v>
      </c>
      <c r="E27" s="98" t="n">
        <f aca="false">'Debt &amp; cash'!V27</f>
        <v>0.307871686903192</v>
      </c>
      <c r="F27" s="97" t="str">
        <f aca="false">IF($A27&lt;1887,"n/a",IF(E27&lt;=cap_debt,"OK","Check"))</f>
        <v>n/a</v>
      </c>
      <c r="G27" s="98" t="n">
        <f aca="false">'Debt &amp; cash'!W27</f>
        <v>0.127141973541453</v>
      </c>
      <c r="H27" s="97" t="str">
        <f aca="false">IF($A27&lt;1887,"n/a",IF(G27&lt;=cap_int,"OK","Check"))</f>
        <v>n/a</v>
      </c>
      <c r="I27" s="98" t="n">
        <f aca="false">Budget!AC27</f>
        <v>0.0462818999349583</v>
      </c>
      <c r="J27" s="97" t="str">
        <f aca="false">IF($A27&lt;1887,"n/a",IF(Paths!AC27=1,"War year",IF(I27&lt;=cap_def,"OK","Check")))</f>
        <v>n/a</v>
      </c>
      <c r="K27" s="66" t="n">
        <f aca="false">'Debt &amp; cash'!Y27/Economy!O27</f>
        <v>0.0623235324067975</v>
      </c>
      <c r="L27" s="97" t="str">
        <f aca="false">IF('Debt &amp; cash'!Y27*issue_price&lt;=mkt_capacity*Economy!O27+foreign_capacity,"OK","Check")</f>
        <v>OK</v>
      </c>
      <c r="M27" s="97" t="str">
        <f aca="false">IF($A27&lt;1900,"n/a",IF('Gold &amp; money'!K27&gt;=0,"OK","Check"))</f>
        <v>n/a</v>
      </c>
      <c r="N27" s="98" t="n">
        <f aca="false">Japan!AA27</f>
        <v>0</v>
      </c>
      <c r="O27" s="97" t="str">
        <f aca="false">IF(N27&lt;=1,"OK","Check")</f>
        <v>OK</v>
      </c>
      <c r="P27" s="97" t="str">
        <f aca="false">IF($A27&lt;1922,"n/a",IF(AND(Navy!AE27&gt;=0.95,Navy!AE27&lt;=1.1),"OK","Check"))</f>
        <v>n/a</v>
      </c>
      <c r="Q27" s="97" t="str">
        <f aca="false">IF(Navy!Z27=0,"n/a",IF(Resources!K27&gt;=Navy!Z27,"OK","Check"))</f>
        <v>n/a</v>
      </c>
      <c r="R27" s="97" t="str">
        <f aca="false">IF(AND(gulf_on=1,$A27=gulf_year),IF(Gulf!AF27=1,"OK","Check"),"n/a")</f>
        <v>n/a</v>
      </c>
      <c r="S27" s="50" t="n">
        <f aca="false">COUNTIF(B27:R27,"Check")+COUNTIF(T27:AG27,"Check")+AH27+COUNTIF(AI27,"Check")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29" t="n">
        <f aca="false">COUNTIF(AA27:AG27,"Unverified")</f>
        <v>0</v>
      </c>
      <c r="AI27" s="1" t="str">
        <f aca="false">IF(OR($A27&lt;1918,$A27&gt;1932),"n/a",INDEX(Siberia!$H$38:$H$52,MATCH($A27,Siberia!$A$38:$A$52,0)))</f>
        <v>n/a</v>
      </c>
    </row>
    <row r="28" customFormat="false" ht="14.9" hidden="false" customHeight="false" outlineLevel="0" collapsed="false">
      <c r="A28" s="61" t="n">
        <v>1868</v>
      </c>
      <c r="B28" s="97" t="str">
        <f aca="false">IF(ABS(People!L28-(People!B28+People!C28+People!D28+People!K28))&lt;1,"OK","Check")</f>
        <v>OK</v>
      </c>
      <c r="C28" s="97" t="str">
        <f aca="false">IF(ABS('Debt &amp; cash'!M28-'Debt &amp; cash'!E28)&lt;0.001,"OK","Check")</f>
        <v>OK</v>
      </c>
      <c r="D28" s="97" t="str">
        <f aca="false">IF('Debt &amp; cash'!S28&gt;=-0.001,"OK","Check")</f>
        <v>OK</v>
      </c>
      <c r="E28" s="98" t="n">
        <f aca="false">'Debt &amp; cash'!V28</f>
        <v>0.295153970846543</v>
      </c>
      <c r="F28" s="97" t="str">
        <f aca="false">IF($A28&lt;1887,"n/a",IF(E28&lt;=cap_debt,"OK","Check"))</f>
        <v>n/a</v>
      </c>
      <c r="G28" s="98" t="n">
        <f aca="false">'Debt &amp; cash'!W28</f>
        <v>0.140328304947109</v>
      </c>
      <c r="H28" s="97" t="str">
        <f aca="false">IF($A28&lt;1887,"n/a",IF(G28&lt;=cap_int,"OK","Check"))</f>
        <v>n/a</v>
      </c>
      <c r="I28" s="98" t="n">
        <f aca="false">Budget!AC28</f>
        <v>0.0467015695793896</v>
      </c>
      <c r="J28" s="97" t="str">
        <f aca="false">IF($A28&lt;1887,"n/a",IF(Paths!AC28=1,"War year",IF(I28&lt;=cap_def,"OK","Check")))</f>
        <v>n/a</v>
      </c>
      <c r="K28" s="66" t="n">
        <f aca="false">'Debt &amp; cash'!Y28/Economy!O28</f>
        <v>0.0180087301738948</v>
      </c>
      <c r="L28" s="97" t="str">
        <f aca="false">IF('Debt &amp; cash'!Y28*issue_price&lt;=mkt_capacity*Economy!O28+foreign_capacity,"OK","Check")</f>
        <v>OK</v>
      </c>
      <c r="M28" s="97" t="str">
        <f aca="false">IF($A28&lt;1900,"n/a",IF('Gold &amp; money'!K28&gt;=0,"OK","Check"))</f>
        <v>n/a</v>
      </c>
      <c r="N28" s="98" t="n">
        <f aca="false">Japan!AA28</f>
        <v>0</v>
      </c>
      <c r="O28" s="97" t="str">
        <f aca="false">IF(N28&lt;=1,"OK","Check")</f>
        <v>OK</v>
      </c>
      <c r="P28" s="97" t="str">
        <f aca="false">IF($A28&lt;1922,"n/a",IF(AND(Navy!AE28&gt;=0.95,Navy!AE28&lt;=1.1),"OK","Check"))</f>
        <v>n/a</v>
      </c>
      <c r="Q28" s="97" t="str">
        <f aca="false">IF(Navy!Z28=0,"n/a",IF(Resources!K28&gt;=Navy!Z28,"OK","Check"))</f>
        <v>n/a</v>
      </c>
      <c r="R28" s="97" t="str">
        <f aca="false">IF(AND(gulf_on=1,$A28=gulf_year),IF(Gulf!AF28=1,"OK","Check"),"n/a")</f>
        <v>n/a</v>
      </c>
      <c r="S28" s="50" t="n">
        <f aca="false">COUNTIF(B28:R28,"Check")+COUNTIF(T28:AG28,"Check")+AH28+COUNTIF(AI28,"Check")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29" t="n">
        <f aca="false">COUNTIF(AA28:AG28,"Unverified")</f>
        <v>0</v>
      </c>
      <c r="AI28" s="1" t="str">
        <f aca="false">IF(OR($A28&lt;1918,$A28&gt;1932),"n/a",INDEX(Siberia!$H$38:$H$52,MATCH($A28,Siberia!$A$38:$A$52,0)))</f>
        <v>n/a</v>
      </c>
    </row>
    <row r="29" customFormat="false" ht="14.9" hidden="false" customHeight="false" outlineLevel="0" collapsed="false">
      <c r="A29" s="61" t="n">
        <v>1869</v>
      </c>
      <c r="B29" s="97" t="str">
        <f aca="false">IF(ABS(People!L29-(People!B29+People!C29+People!D29+People!K29))&lt;1,"OK","Check")</f>
        <v>OK</v>
      </c>
      <c r="C29" s="97" t="str">
        <f aca="false">IF(ABS('Debt &amp; cash'!M29-'Debt &amp; cash'!E29)&lt;0.001,"OK","Check")</f>
        <v>OK</v>
      </c>
      <c r="D29" s="97" t="str">
        <f aca="false">IF('Debt &amp; cash'!S29&gt;=-0.001,"OK","Check")</f>
        <v>OK</v>
      </c>
      <c r="E29" s="98" t="n">
        <f aca="false">'Debt &amp; cash'!V29</f>
        <v>0.280376810643015</v>
      </c>
      <c r="F29" s="97" t="str">
        <f aca="false">IF($A29&lt;1887,"n/a",IF(E29&lt;=cap_debt,"OK","Check"))</f>
        <v>n/a</v>
      </c>
      <c r="G29" s="98" t="n">
        <f aca="false">'Debt &amp; cash'!W29</f>
        <v>0.133419049431909</v>
      </c>
      <c r="H29" s="97" t="str">
        <f aca="false">IF($A29&lt;1887,"n/a",IF(G29&lt;=cap_int,"OK","Check"))</f>
        <v>n/a</v>
      </c>
      <c r="I29" s="98" t="n">
        <f aca="false">Budget!AC29</f>
        <v>0.0449083560802971</v>
      </c>
      <c r="J29" s="97" t="str">
        <f aca="false">IF($A29&lt;1887,"n/a",IF(Paths!AC29=1,"War year",IF(I29&lt;=cap_def,"OK","Check")))</f>
        <v>n/a</v>
      </c>
      <c r="K29" s="66" t="n">
        <f aca="false">'Debt &amp; cash'!Y29/Economy!O29</f>
        <v>0.0140344157884285</v>
      </c>
      <c r="L29" s="97" t="str">
        <f aca="false">IF('Debt &amp; cash'!Y29*issue_price&lt;=mkt_capacity*Economy!O29+foreign_capacity,"OK","Check")</f>
        <v>OK</v>
      </c>
      <c r="M29" s="97" t="str">
        <f aca="false">IF($A29&lt;1900,"n/a",IF('Gold &amp; money'!K29&gt;=0,"OK","Check"))</f>
        <v>n/a</v>
      </c>
      <c r="N29" s="98" t="n">
        <f aca="false">Japan!AA29</f>
        <v>0</v>
      </c>
      <c r="O29" s="97" t="str">
        <f aca="false">IF(N29&lt;=1,"OK","Check")</f>
        <v>OK</v>
      </c>
      <c r="P29" s="97" t="str">
        <f aca="false">IF($A29&lt;1922,"n/a",IF(AND(Navy!AE29&gt;=0.95,Navy!AE29&lt;=1.1),"OK","Check"))</f>
        <v>n/a</v>
      </c>
      <c r="Q29" s="97" t="str">
        <f aca="false">IF(Navy!Z29=0,"n/a",IF(Resources!K29&gt;=Navy!Z29,"OK","Check"))</f>
        <v>n/a</v>
      </c>
      <c r="R29" s="97" t="str">
        <f aca="false">IF(AND(gulf_on=1,$A29=gulf_year),IF(Gulf!AF29=1,"OK","Check"),"n/a")</f>
        <v>n/a</v>
      </c>
      <c r="S29" s="50" t="n">
        <f aca="false">COUNTIF(B29:R29,"Check")+COUNTIF(T29:AG29,"Check")+AH29+COUNTIF(AI29,"Check")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29" t="n">
        <f aca="false">COUNTIF(AA29:AG29,"Unverified")</f>
        <v>0</v>
      </c>
      <c r="AI29" s="1" t="str">
        <f aca="false">IF(OR($A29&lt;1918,$A29&gt;1932),"n/a",INDEX(Siberia!$H$38:$H$52,MATCH($A29,Siberia!$A$38:$A$52,0)))</f>
        <v>n/a</v>
      </c>
    </row>
    <row r="30" customFormat="false" ht="14.9" hidden="false" customHeight="false" outlineLevel="0" collapsed="false">
      <c r="A30" s="64" t="n">
        <v>1870</v>
      </c>
      <c r="B30" s="97" t="str">
        <f aca="false">IF(ABS(People!L30-(People!B30+People!C30+People!D30+People!K30))&lt;1,"OK","Check")</f>
        <v>OK</v>
      </c>
      <c r="C30" s="97" t="str">
        <f aca="false">IF(ABS('Debt &amp; cash'!M30-'Debt &amp; cash'!E30)&lt;0.001,"OK","Check")</f>
        <v>OK</v>
      </c>
      <c r="D30" s="97" t="str">
        <f aca="false">IF('Debt &amp; cash'!S30&gt;=-0.001,"OK","Check")</f>
        <v>OK</v>
      </c>
      <c r="E30" s="98" t="n">
        <f aca="false">'Debt &amp; cash'!V30</f>
        <v>0.278904485453034</v>
      </c>
      <c r="F30" s="97" t="str">
        <f aca="false">IF($A30&lt;1887,"n/a",IF(E30&lt;=cap_debt,"OK","Check"))</f>
        <v>n/a</v>
      </c>
      <c r="G30" s="98" t="n">
        <f aca="false">'Debt &amp; cash'!W30</f>
        <v>0.124949900144089</v>
      </c>
      <c r="H30" s="97" t="str">
        <f aca="false">IF($A30&lt;1887,"n/a",IF(G30&lt;=cap_int,"OK","Check"))</f>
        <v>n/a</v>
      </c>
      <c r="I30" s="98" t="n">
        <f aca="false">Budget!AC30</f>
        <v>0.0504371284915164</v>
      </c>
      <c r="J30" s="97" t="str">
        <f aca="false">IF($A30&lt;1887,"n/a",IF(Paths!AC30=1,"War year",IF(I30&lt;=cap_def,"OK","Check")))</f>
        <v>n/a</v>
      </c>
      <c r="K30" s="66" t="n">
        <f aca="false">'Debt &amp; cash'!Y30/Economy!O30</f>
        <v>0.027028274494556</v>
      </c>
      <c r="L30" s="97" t="str">
        <f aca="false">IF('Debt &amp; cash'!Y30*issue_price&lt;=mkt_capacity*Economy!O30+foreign_capacity,"OK","Check")</f>
        <v>OK</v>
      </c>
      <c r="M30" s="97" t="str">
        <f aca="false">IF($A30&lt;1900,"n/a",IF('Gold &amp; money'!K30&gt;=0,"OK","Check"))</f>
        <v>n/a</v>
      </c>
      <c r="N30" s="98" t="n">
        <f aca="false">Japan!AA30</f>
        <v>0.0105707965830913</v>
      </c>
      <c r="O30" s="97" t="str">
        <f aca="false">IF(N30&lt;=1,"OK","Check")</f>
        <v>OK</v>
      </c>
      <c r="P30" s="97" t="str">
        <f aca="false">IF($A30&lt;1922,"n/a",IF(AND(Navy!AE30&gt;=0.95,Navy!AE30&lt;=1.1),"OK","Check"))</f>
        <v>n/a</v>
      </c>
      <c r="Q30" s="97" t="str">
        <f aca="false">IF(Navy!Z30=0,"n/a",IF(Resources!K30&gt;=Navy!Z30,"OK","Check"))</f>
        <v>n/a</v>
      </c>
      <c r="R30" s="97" t="str">
        <f aca="false">IF(AND(gulf_on=1,$A30=gulf_year),IF(Gulf!AF30=1,"OK","Check"),"n/a")</f>
        <v>n/a</v>
      </c>
      <c r="S30" s="50" t="n">
        <f aca="false">COUNTIF(B30:R30,"Check")+COUNTIF(T30:AG30,"Check")+AH30+COUNTIF(AI30,"Check")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29" t="n">
        <f aca="false">COUNTIF(AA30:AG30,"Unverified")</f>
        <v>0</v>
      </c>
      <c r="AI30" s="1" t="str">
        <f aca="false">IF(OR($A30&lt;1918,$A30&gt;1932),"n/a",INDEX(Siberia!$H$38:$H$52,MATCH($A30,Siberia!$A$38:$A$52,0)))</f>
        <v>n/a</v>
      </c>
    </row>
    <row r="31" customFormat="false" ht="14.9" hidden="false" customHeight="false" outlineLevel="0" collapsed="false">
      <c r="A31" s="64" t="n">
        <v>1871</v>
      </c>
      <c r="B31" s="97" t="str">
        <f aca="false">IF(ABS(People!L31-(People!B31+People!C31+People!D31+People!K31))&lt;1,"OK","Check")</f>
        <v>OK</v>
      </c>
      <c r="C31" s="97" t="str">
        <f aca="false">IF(ABS('Debt &amp; cash'!M31-'Debt &amp; cash'!E31)&lt;0.001,"OK","Check")</f>
        <v>OK</v>
      </c>
      <c r="D31" s="97" t="str">
        <f aca="false">IF('Debt &amp; cash'!S31&gt;=-0.001,"OK","Check")</f>
        <v>OK</v>
      </c>
      <c r="E31" s="98" t="n">
        <f aca="false">'Debt &amp; cash'!V31</f>
        <v>0.291110589375906</v>
      </c>
      <c r="F31" s="97" t="str">
        <f aca="false">IF($A31&lt;1887,"n/a",IF(E31&lt;=cap_debt,"OK","Check"))</f>
        <v>n/a</v>
      </c>
      <c r="G31" s="98" t="n">
        <f aca="false">'Debt &amp; cash'!W31</f>
        <v>0.124389216125491</v>
      </c>
      <c r="H31" s="97" t="str">
        <f aca="false">IF($A31&lt;1887,"n/a",IF(G31&lt;=cap_int,"OK","Check"))</f>
        <v>n/a</v>
      </c>
      <c r="I31" s="98" t="n">
        <f aca="false">Budget!AC31</f>
        <v>0.0471716432441727</v>
      </c>
      <c r="J31" s="97" t="str">
        <f aca="false">IF($A31&lt;1887,"n/a",IF(Paths!AC31=1,"War year",IF(I31&lt;=cap_def,"OK","Check")))</f>
        <v>n/a</v>
      </c>
      <c r="K31" s="66" t="n">
        <f aca="false">'Debt &amp; cash'!Y31/Economy!O31</f>
        <v>0.0368216905972118</v>
      </c>
      <c r="L31" s="97" t="str">
        <f aca="false">IF('Debt &amp; cash'!Y31*issue_price&lt;=mkt_capacity*Economy!O31+foreign_capacity,"OK","Check")</f>
        <v>OK</v>
      </c>
      <c r="M31" s="97" t="str">
        <f aca="false">IF($A31&lt;1900,"n/a",IF('Gold &amp; money'!K31&gt;=0,"OK","Check"))</f>
        <v>n/a</v>
      </c>
      <c r="N31" s="98" t="n">
        <f aca="false">Japan!AA31</f>
        <v>0.0100006975906212</v>
      </c>
      <c r="O31" s="97" t="str">
        <f aca="false">IF(N31&lt;=1,"OK","Check")</f>
        <v>OK</v>
      </c>
      <c r="P31" s="97" t="str">
        <f aca="false">IF($A31&lt;1922,"n/a",IF(AND(Navy!AE31&gt;=0.95,Navy!AE31&lt;=1.1),"OK","Check"))</f>
        <v>n/a</v>
      </c>
      <c r="Q31" s="97" t="str">
        <f aca="false">IF(Navy!Z31=0,"n/a",IF(Resources!K31&gt;=Navy!Z31,"OK","Check"))</f>
        <v>n/a</v>
      </c>
      <c r="R31" s="97" t="str">
        <f aca="false">IF(AND(gulf_on=1,$A31=gulf_year),IF(Gulf!AF31=1,"OK","Check"),"n/a")</f>
        <v>n/a</v>
      </c>
      <c r="S31" s="50" t="n">
        <f aca="false">COUNTIF(B31:R31,"Check")+COUNTIF(T31:AG31,"Check")+AH31+COUNTIF(AI31,"Check")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29" t="n">
        <f aca="false">COUNTIF(AA31:AG31,"Unverified")</f>
        <v>0</v>
      </c>
      <c r="AI31" s="1" t="str">
        <f aca="false">IF(OR($A31&lt;1918,$A31&gt;1932),"n/a",INDEX(Siberia!$H$38:$H$52,MATCH($A31,Siberia!$A$38:$A$52,0)))</f>
        <v>n/a</v>
      </c>
    </row>
    <row r="32" customFormat="false" ht="14.9" hidden="false" customHeight="false" outlineLevel="0" collapsed="false">
      <c r="A32" s="61" t="n">
        <v>1872</v>
      </c>
      <c r="B32" s="97" t="str">
        <f aca="false">IF(ABS(People!L32-(People!B32+People!C32+People!D32+People!K32))&lt;1,"OK","Check")</f>
        <v>OK</v>
      </c>
      <c r="C32" s="97" t="str">
        <f aca="false">IF(ABS('Debt &amp; cash'!M32-'Debt &amp; cash'!E32)&lt;0.001,"OK","Check")</f>
        <v>OK</v>
      </c>
      <c r="D32" s="97" t="str">
        <f aca="false">IF('Debt &amp; cash'!S32&gt;=-0.001,"OK","Check")</f>
        <v>OK</v>
      </c>
      <c r="E32" s="98" t="n">
        <f aca="false">'Debt &amp; cash'!V32</f>
        <v>0.292060292420566</v>
      </c>
      <c r="F32" s="97" t="str">
        <f aca="false">IF($A32&lt;1887,"n/a",IF(E32&lt;=cap_debt,"OK","Check"))</f>
        <v>n/a</v>
      </c>
      <c r="G32" s="98" t="n">
        <f aca="false">'Debt &amp; cash'!W32</f>
        <v>0.127862351835735</v>
      </c>
      <c r="H32" s="97" t="str">
        <f aca="false">IF($A32&lt;1887,"n/a",IF(G32&lt;=cap_int,"OK","Check"))</f>
        <v>n/a</v>
      </c>
      <c r="I32" s="98" t="n">
        <f aca="false">Budget!AC32</f>
        <v>0.0346175771246794</v>
      </c>
      <c r="J32" s="97" t="str">
        <f aca="false">IF($A32&lt;1887,"n/a",IF(Paths!AC32=1,"War year",IF(I32&lt;=cap_def,"OK","Check")))</f>
        <v>n/a</v>
      </c>
      <c r="K32" s="66" t="n">
        <f aca="false">'Debt &amp; cash'!Y32/Economy!O32</f>
        <v>0.025838473166473</v>
      </c>
      <c r="L32" s="97" t="str">
        <f aca="false">IF('Debt &amp; cash'!Y32*issue_price&lt;=mkt_capacity*Economy!O32+foreign_capacity,"OK","Check")</f>
        <v>OK</v>
      </c>
      <c r="M32" s="97" t="str">
        <f aca="false">IF($A32&lt;1900,"n/a",IF('Gold &amp; money'!K32&gt;=0,"OK","Check"))</f>
        <v>n/a</v>
      </c>
      <c r="N32" s="98" t="n">
        <f aca="false">Japan!AA32</f>
        <v>0.00944175394574448</v>
      </c>
      <c r="O32" s="97" t="str">
        <f aca="false">IF(N32&lt;=1,"OK","Check")</f>
        <v>OK</v>
      </c>
      <c r="P32" s="97" t="str">
        <f aca="false">IF($A32&lt;1922,"n/a",IF(AND(Navy!AE32&gt;=0.95,Navy!AE32&lt;=1.1),"OK","Check"))</f>
        <v>n/a</v>
      </c>
      <c r="Q32" s="97" t="str">
        <f aca="false">IF(Navy!Z32=0,"n/a",IF(Resources!K32&gt;=Navy!Z32,"OK","Check"))</f>
        <v>n/a</v>
      </c>
      <c r="R32" s="97" t="str">
        <f aca="false">IF(AND(gulf_on=1,$A32=gulf_year),IF(Gulf!AF32=1,"OK","Check"),"n/a")</f>
        <v>n/a</v>
      </c>
      <c r="S32" s="50" t="n">
        <f aca="false">COUNTIF(B32:R32,"Check")+COUNTIF(T32:AG32,"Check")+AH32+COUNTIF(AI32,"Check")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29" t="n">
        <f aca="false">COUNTIF(AA32:AG32,"Unverified")</f>
        <v>0</v>
      </c>
      <c r="AI32" s="1" t="str">
        <f aca="false">IF(OR($A32&lt;1918,$A32&gt;1932),"n/a",INDEX(Siberia!$H$38:$H$52,MATCH($A32,Siberia!$A$38:$A$52,0)))</f>
        <v>n/a</v>
      </c>
    </row>
    <row r="33" customFormat="false" ht="14.9" hidden="false" customHeight="false" outlineLevel="0" collapsed="false">
      <c r="A33" s="61" t="n">
        <v>1873</v>
      </c>
      <c r="B33" s="97" t="str">
        <f aca="false">IF(ABS(People!L33-(People!B33+People!C33+People!D33+People!K33))&lt;1,"OK","Check")</f>
        <v>OK</v>
      </c>
      <c r="C33" s="97" t="str">
        <f aca="false">IF(ABS('Debt &amp; cash'!M33-'Debt &amp; cash'!E33)&lt;0.001,"OK","Check")</f>
        <v>OK</v>
      </c>
      <c r="D33" s="97" t="str">
        <f aca="false">IF('Debt &amp; cash'!S33&gt;=-0.001,"OK","Check")</f>
        <v>OK</v>
      </c>
      <c r="E33" s="98" t="n">
        <f aca="false">'Debt &amp; cash'!V33</f>
        <v>0.262874396749088</v>
      </c>
      <c r="F33" s="97" t="str">
        <f aca="false">IF($A33&lt;1887,"n/a",IF(E33&lt;=cap_debt,"OK","Check"))</f>
        <v>n/a</v>
      </c>
      <c r="G33" s="98" t="n">
        <f aca="false">'Debt &amp; cash'!W33</f>
        <v>0.135675903650191</v>
      </c>
      <c r="H33" s="97" t="str">
        <f aca="false">IF($A33&lt;1887,"n/a",IF(G33&lt;=cap_int,"OK","Check"))</f>
        <v>n/a</v>
      </c>
      <c r="I33" s="98" t="n">
        <f aca="false">Budget!AC33</f>
        <v>0.033311234288005</v>
      </c>
      <c r="J33" s="97" t="str">
        <f aca="false">IF($A33&lt;1887,"n/a",IF(Paths!AC33=1,"War year",IF(I33&lt;=cap_def,"OK","Check")))</f>
        <v>n/a</v>
      </c>
      <c r="K33" s="66" t="n">
        <f aca="false">'Debt &amp; cash'!Y33/Economy!O33</f>
        <v>0</v>
      </c>
      <c r="L33" s="97" t="str">
        <f aca="false">IF('Debt &amp; cash'!Y33*issue_price&lt;=mkt_capacity*Economy!O33+foreign_capacity,"OK","Check")</f>
        <v>OK</v>
      </c>
      <c r="M33" s="97" t="str">
        <f aca="false">IF($A33&lt;1900,"n/a",IF('Gold &amp; money'!K33&gt;=0,"OK","Check"))</f>
        <v>n/a</v>
      </c>
      <c r="N33" s="98" t="n">
        <f aca="false">Japan!AA33</f>
        <v>0.00893287897022386</v>
      </c>
      <c r="O33" s="97" t="str">
        <f aca="false">IF(N33&lt;=1,"OK","Check")</f>
        <v>OK</v>
      </c>
      <c r="P33" s="97" t="str">
        <f aca="false">IF($A33&lt;1922,"n/a",IF(AND(Navy!AE33&gt;=0.95,Navy!AE33&lt;=1.1),"OK","Check"))</f>
        <v>n/a</v>
      </c>
      <c r="Q33" s="97" t="str">
        <f aca="false">IF(Navy!Z33=0,"n/a",IF(Resources!K33&gt;=Navy!Z33,"OK","Check"))</f>
        <v>n/a</v>
      </c>
      <c r="R33" s="97" t="str">
        <f aca="false">IF(AND(gulf_on=1,$A33=gulf_year),IF(Gulf!AF33=1,"OK","Check"),"n/a")</f>
        <v>n/a</v>
      </c>
      <c r="S33" s="50" t="n">
        <f aca="false">COUNTIF(B33:R33,"Check")+COUNTIF(T33:AG33,"Check")+AH33+COUNTIF(AI33,"Check")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29" t="n">
        <f aca="false">COUNTIF(AA33:AG33,"Unverified")</f>
        <v>0</v>
      </c>
      <c r="AI33" s="1" t="str">
        <f aca="false">IF(OR($A33&lt;1918,$A33&gt;1932),"n/a",INDEX(Siberia!$H$38:$H$52,MATCH($A33,Siberia!$A$38:$A$52,0)))</f>
        <v>n/a</v>
      </c>
    </row>
    <row r="34" customFormat="false" ht="14.9" hidden="false" customHeight="false" outlineLevel="0" collapsed="false">
      <c r="A34" s="61" t="n">
        <v>1874</v>
      </c>
      <c r="B34" s="97" t="str">
        <f aca="false">IF(ABS(People!L34-(People!B34+People!C34+People!D34+People!K34))&lt;1,"OK","Check")</f>
        <v>OK</v>
      </c>
      <c r="C34" s="97" t="str">
        <f aca="false">IF(ABS('Debt &amp; cash'!M34-'Debt &amp; cash'!E34)&lt;0.001,"OK","Check")</f>
        <v>OK</v>
      </c>
      <c r="D34" s="97" t="str">
        <f aca="false">IF('Debt &amp; cash'!S34&gt;=-0.001,"OK","Check")</f>
        <v>OK</v>
      </c>
      <c r="E34" s="98" t="n">
        <f aca="false">'Debt &amp; cash'!V34</f>
        <v>0.238069815398265</v>
      </c>
      <c r="F34" s="97" t="str">
        <f aca="false">IF($A34&lt;1887,"n/a",IF(E34&lt;=cap_debt,"OK","Check"))</f>
        <v>n/a</v>
      </c>
      <c r="G34" s="98" t="n">
        <f aca="false">'Debt &amp; cash'!W34</f>
        <v>0.120578480605219</v>
      </c>
      <c r="H34" s="97" t="str">
        <f aca="false">IF($A34&lt;1887,"n/a",IF(G34&lt;=cap_int,"OK","Check"))</f>
        <v>n/a</v>
      </c>
      <c r="I34" s="98" t="n">
        <f aca="false">Budget!AC34</f>
        <v>0.0333162403820931</v>
      </c>
      <c r="J34" s="97" t="str">
        <f aca="false">IF($A34&lt;1887,"n/a",IF(Paths!AC34=1,"War year",IF(I34&lt;=cap_def,"OK","Check")))</f>
        <v>n/a</v>
      </c>
      <c r="K34" s="66" t="n">
        <f aca="false">'Debt &amp; cash'!Y34/Economy!O34</f>
        <v>0</v>
      </c>
      <c r="L34" s="97" t="str">
        <f aca="false">IF('Debt &amp; cash'!Y34*issue_price&lt;=mkt_capacity*Economy!O34+foreign_capacity,"OK","Check")</f>
        <v>OK</v>
      </c>
      <c r="M34" s="97" t="str">
        <f aca="false">IF($A34&lt;1900,"n/a",IF('Gold &amp; money'!K34&gt;=0,"OK","Check"))</f>
        <v>n/a</v>
      </c>
      <c r="N34" s="98" t="n">
        <f aca="false">Japan!AA34</f>
        <v>0.00845189868592357</v>
      </c>
      <c r="O34" s="97" t="str">
        <f aca="false">IF(N34&lt;=1,"OK","Check")</f>
        <v>OK</v>
      </c>
      <c r="P34" s="97" t="str">
        <f aca="false">IF($A34&lt;1922,"n/a",IF(AND(Navy!AE34&gt;=0.95,Navy!AE34&lt;=1.1),"OK","Check"))</f>
        <v>n/a</v>
      </c>
      <c r="Q34" s="97" t="str">
        <f aca="false">IF(Navy!Z34=0,"n/a",IF(Resources!K34&gt;=Navy!Z34,"OK","Check"))</f>
        <v>n/a</v>
      </c>
      <c r="R34" s="97" t="str">
        <f aca="false">IF(AND(gulf_on=1,$A34=gulf_year),IF(Gulf!AF34=1,"OK","Check"),"n/a")</f>
        <v>n/a</v>
      </c>
      <c r="S34" s="50" t="n">
        <f aca="false">COUNTIF(B34:R34,"Check")+COUNTIF(T34:AG34,"Check")+AH34+COUNTIF(AI34,"Check")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29" t="n">
        <f aca="false">COUNTIF(AA34:AG34,"Unverified")</f>
        <v>0</v>
      </c>
      <c r="AI34" s="1" t="str">
        <f aca="false">IF(OR($A34&lt;1918,$A34&gt;1932),"n/a",INDEX(Siberia!$H$38:$H$52,MATCH($A34,Siberia!$A$38:$A$52,0)))</f>
        <v>n/a</v>
      </c>
    </row>
    <row r="35" customFormat="false" ht="14.9" hidden="false" customHeight="false" outlineLevel="0" collapsed="false">
      <c r="A35" s="61" t="n">
        <v>1875</v>
      </c>
      <c r="B35" s="97" t="str">
        <f aca="false">IF(ABS(People!L35-(People!B35+People!C35+People!D35+People!K35))&lt;1,"OK","Check")</f>
        <v>OK</v>
      </c>
      <c r="C35" s="97" t="str">
        <f aca="false">IF(ABS('Debt &amp; cash'!M35-'Debt &amp; cash'!E35)&lt;0.001,"OK","Check")</f>
        <v>OK</v>
      </c>
      <c r="D35" s="97" t="str">
        <f aca="false">IF('Debt &amp; cash'!S35&gt;=-0.001,"OK","Check")</f>
        <v>OK</v>
      </c>
      <c r="E35" s="98" t="n">
        <f aca="false">'Debt &amp; cash'!V35</f>
        <v>0.208388762189126</v>
      </c>
      <c r="F35" s="97" t="str">
        <f aca="false">IF($A35&lt;1887,"n/a",IF(E35&lt;=cap_debt,"OK","Check"))</f>
        <v>n/a</v>
      </c>
      <c r="G35" s="98" t="n">
        <f aca="false">'Debt &amp; cash'!W35</f>
        <v>0.106376696611441</v>
      </c>
      <c r="H35" s="97" t="str">
        <f aca="false">IF($A35&lt;1887,"n/a",IF(G35&lt;=cap_int,"OK","Check"))</f>
        <v>n/a</v>
      </c>
      <c r="I35" s="98" t="n">
        <f aca="false">Budget!AC35</f>
        <v>0.0292362384650591</v>
      </c>
      <c r="J35" s="97" t="str">
        <f aca="false">IF($A35&lt;1887,"n/a",IF(Paths!AC35=1,"War year",IF(I35&lt;=cap_def,"OK","Check")))</f>
        <v>n/a</v>
      </c>
      <c r="K35" s="66" t="n">
        <f aca="false">'Debt &amp; cash'!Y35/Economy!O35</f>
        <v>0</v>
      </c>
      <c r="L35" s="97" t="str">
        <f aca="false">IF('Debt &amp; cash'!Y35*issue_price&lt;=mkt_capacity*Economy!O35+foreign_capacity,"OK","Check")</f>
        <v>OK</v>
      </c>
      <c r="M35" s="97" t="str">
        <f aca="false">IF($A35&lt;1900,"n/a",IF('Gold &amp; money'!K35&gt;=0,"OK","Check"))</f>
        <v>n/a</v>
      </c>
      <c r="N35" s="98" t="n">
        <f aca="false">Japan!AA35</f>
        <v>0.00799716316620478</v>
      </c>
      <c r="O35" s="97" t="str">
        <f aca="false">IF(N35&lt;=1,"OK","Check")</f>
        <v>OK</v>
      </c>
      <c r="P35" s="97" t="str">
        <f aca="false">IF($A35&lt;1922,"n/a",IF(AND(Navy!AE35&gt;=0.95,Navy!AE35&lt;=1.1),"OK","Check"))</f>
        <v>n/a</v>
      </c>
      <c r="Q35" s="97" t="str">
        <f aca="false">IF(Navy!Z35=0,"n/a",IF(Resources!K35&gt;=Navy!Z35,"OK","Check"))</f>
        <v>n/a</v>
      </c>
      <c r="R35" s="97" t="str">
        <f aca="false">IF(AND(gulf_on=1,$A35=gulf_year),IF(Gulf!AF35=1,"OK","Check"),"n/a")</f>
        <v>n/a</v>
      </c>
      <c r="S35" s="50" t="n">
        <f aca="false">COUNTIF(B35:R35,"Check")+COUNTIF(T35:AG35,"Check")+AH35+COUNTIF(AI35,"Check")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29" t="n">
        <f aca="false">COUNTIF(AA35:AG35,"Unverified")</f>
        <v>0</v>
      </c>
      <c r="AI35" s="1" t="str">
        <f aca="false">IF(OR($A35&lt;1918,$A35&gt;1932),"n/a",INDEX(Siberia!$H$38:$H$52,MATCH($A35,Siberia!$A$38:$A$52,0)))</f>
        <v>n/a</v>
      </c>
    </row>
    <row r="36" customFormat="false" ht="14.9" hidden="false" customHeight="false" outlineLevel="0" collapsed="false">
      <c r="A36" s="61" t="n">
        <v>1876</v>
      </c>
      <c r="B36" s="97" t="str">
        <f aca="false">IF(ABS(People!L36-(People!B36+People!C36+People!D36+People!K36))&lt;1,"OK","Check")</f>
        <v>OK</v>
      </c>
      <c r="C36" s="97" t="str">
        <f aca="false">IF(ABS('Debt &amp; cash'!M36-'Debt &amp; cash'!E36)&lt;0.001,"OK","Check")</f>
        <v>OK</v>
      </c>
      <c r="D36" s="97" t="str">
        <f aca="false">IF('Debt &amp; cash'!S36&gt;=-0.001,"OK","Check")</f>
        <v>OK</v>
      </c>
      <c r="E36" s="98" t="n">
        <f aca="false">'Debt &amp; cash'!V36</f>
        <v>0.170350231884759</v>
      </c>
      <c r="F36" s="97" t="str">
        <f aca="false">IF($A36&lt;1887,"n/a",IF(E36&lt;=cap_debt,"OK","Check"))</f>
        <v>n/a</v>
      </c>
      <c r="G36" s="98" t="n">
        <f aca="false">'Debt &amp; cash'!W36</f>
        <v>0.0917398460837019</v>
      </c>
      <c r="H36" s="97" t="str">
        <f aca="false">IF($A36&lt;1887,"n/a",IF(G36&lt;=cap_int,"OK","Check"))</f>
        <v>n/a</v>
      </c>
      <c r="I36" s="98" t="n">
        <f aca="false">Budget!AC36</f>
        <v>0.0252917171830884</v>
      </c>
      <c r="J36" s="97" t="str">
        <f aca="false">IF($A36&lt;1887,"n/a",IF(Paths!AC36=1,"War year",IF(I36&lt;=cap_def,"OK","Check")))</f>
        <v>n/a</v>
      </c>
      <c r="K36" s="66" t="n">
        <f aca="false">'Debt &amp; cash'!Y36/Economy!O36</f>
        <v>0</v>
      </c>
      <c r="L36" s="97" t="str">
        <f aca="false">IF('Debt &amp; cash'!Y36*issue_price&lt;=mkt_capacity*Economy!O36+foreign_capacity,"OK","Check")</f>
        <v>OK</v>
      </c>
      <c r="M36" s="97" t="str">
        <f aca="false">IF($A36&lt;1900,"n/a",IF('Gold &amp; money'!K36&gt;=0,"OK","Check"))</f>
        <v>n/a</v>
      </c>
      <c r="N36" s="98" t="n">
        <f aca="false">Japan!AA36</f>
        <v>0.225755190801508</v>
      </c>
      <c r="O36" s="97" t="str">
        <f aca="false">IF(N36&lt;=1,"OK","Check")</f>
        <v>OK</v>
      </c>
      <c r="P36" s="97" t="str">
        <f aca="false">IF($A36&lt;1922,"n/a",IF(AND(Navy!AE36&gt;=0.95,Navy!AE36&lt;=1.1),"OK","Check"))</f>
        <v>n/a</v>
      </c>
      <c r="Q36" s="97" t="str">
        <f aca="false">IF(Navy!Z36=0,"n/a",IF(Resources!K36&gt;=Navy!Z36,"OK","Check"))</f>
        <v>n/a</v>
      </c>
      <c r="R36" s="97" t="str">
        <f aca="false">IF(AND(gulf_on=1,$A36=gulf_year),IF(Gulf!AF36=1,"OK","Check"),"n/a")</f>
        <v>n/a</v>
      </c>
      <c r="S36" s="50" t="n">
        <f aca="false">COUNTIF(B36:R36,"Check")+COUNTIF(T36:AG36,"Check")+AH36+COUNTIF(AI36,"Check")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29" t="n">
        <f aca="false">COUNTIF(AA36:AG36,"Unverified")</f>
        <v>0</v>
      </c>
      <c r="AI36" s="1" t="str">
        <f aca="false">IF(OR($A36&lt;1918,$A36&gt;1932),"n/a",INDEX(Siberia!$H$38:$H$52,MATCH($A36,Siberia!$A$38:$A$52,0)))</f>
        <v>n/a</v>
      </c>
    </row>
    <row r="37" customFormat="false" ht="14.9" hidden="false" customHeight="false" outlineLevel="0" collapsed="false">
      <c r="A37" s="61" t="n">
        <v>1877</v>
      </c>
      <c r="B37" s="97" t="str">
        <f aca="false">IF(ABS(People!L37-(People!B37+People!C37+People!D37+People!K37))&lt;1,"OK","Check")</f>
        <v>OK</v>
      </c>
      <c r="C37" s="97" t="str">
        <f aca="false">IF(ABS('Debt &amp; cash'!M37-'Debt &amp; cash'!E37)&lt;0.001,"OK","Check")</f>
        <v>OK</v>
      </c>
      <c r="D37" s="97" t="str">
        <f aca="false">IF('Debt &amp; cash'!S37&gt;=-0.001,"OK","Check")</f>
        <v>OK</v>
      </c>
      <c r="E37" s="98" t="n">
        <f aca="false">'Debt &amp; cash'!V37</f>
        <v>0.147461483191939</v>
      </c>
      <c r="F37" s="97" t="str">
        <f aca="false">IF($A37&lt;1887,"n/a",IF(E37&lt;=cap_debt,"OK","Check"))</f>
        <v>n/a</v>
      </c>
      <c r="G37" s="98" t="n">
        <f aca="false">'Debt &amp; cash'!W37</f>
        <v>0.0774624050742523</v>
      </c>
      <c r="H37" s="97" t="str">
        <f aca="false">IF($A37&lt;1887,"n/a",IF(G37&lt;=cap_int,"OK","Check"))</f>
        <v>n/a</v>
      </c>
      <c r="I37" s="98" t="n">
        <f aca="false">Budget!AC37</f>
        <v>0.0258568668504904</v>
      </c>
      <c r="J37" s="97" t="str">
        <f aca="false">IF($A37&lt;1887,"n/a",IF(Paths!AC37=1,"War year",IF(I37&lt;=cap_def,"OK","Check")))</f>
        <v>n/a</v>
      </c>
      <c r="K37" s="66" t="n">
        <f aca="false">'Debt &amp; cash'!Y37/Economy!O37</f>
        <v>0</v>
      </c>
      <c r="L37" s="97" t="str">
        <f aca="false">IF('Debt &amp; cash'!Y37*issue_price&lt;=mkt_capacity*Economy!O37+foreign_capacity,"OK","Check")</f>
        <v>OK</v>
      </c>
      <c r="M37" s="97" t="str">
        <f aca="false">IF($A37&lt;1900,"n/a",IF('Gold &amp; money'!K37&gt;=0,"OK","Check"))</f>
        <v>n/a</v>
      </c>
      <c r="N37" s="98" t="n">
        <f aca="false">Japan!AA37</f>
        <v>0.211465351922232</v>
      </c>
      <c r="O37" s="97" t="str">
        <f aca="false">IF(N37&lt;=1,"OK","Check")</f>
        <v>OK</v>
      </c>
      <c r="P37" s="97" t="str">
        <f aca="false">IF($A37&lt;1922,"n/a",IF(AND(Navy!AE37&gt;=0.95,Navy!AE37&lt;=1.1),"OK","Check"))</f>
        <v>n/a</v>
      </c>
      <c r="Q37" s="97" t="str">
        <f aca="false">IF(Navy!Z37=0,"n/a",IF(Resources!K37&gt;=Navy!Z37,"OK","Check"))</f>
        <v>n/a</v>
      </c>
      <c r="R37" s="97" t="str">
        <f aca="false">IF(AND(gulf_on=1,$A37=gulf_year),IF(Gulf!AF37=1,"OK","Check"),"n/a")</f>
        <v>n/a</v>
      </c>
      <c r="S37" s="50" t="n">
        <f aca="false">COUNTIF(B37:R37,"Check")+COUNTIF(T37:AG37,"Check")+AH37+COUNTIF(AI37,"Check")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29" t="n">
        <f aca="false">COUNTIF(AA37:AG37,"Unverified")</f>
        <v>0</v>
      </c>
      <c r="AI37" s="1" t="str">
        <f aca="false">IF(OR($A37&lt;1918,$A37&gt;1932),"n/a",INDEX(Siberia!$H$38:$H$52,MATCH($A37,Siberia!$A$38:$A$52,0)))</f>
        <v>n/a</v>
      </c>
    </row>
    <row r="38" customFormat="false" ht="14.9" hidden="false" customHeight="false" outlineLevel="0" collapsed="false">
      <c r="A38" s="61" t="n">
        <v>1878</v>
      </c>
      <c r="B38" s="97" t="str">
        <f aca="false">IF(ABS(People!L38-(People!B38+People!C38+People!D38+People!K38))&lt;1,"OK","Check")</f>
        <v>OK</v>
      </c>
      <c r="C38" s="97" t="str">
        <f aca="false">IF(ABS('Debt &amp; cash'!M38-'Debt &amp; cash'!E38)&lt;0.001,"OK","Check")</f>
        <v>OK</v>
      </c>
      <c r="D38" s="97" t="str">
        <f aca="false">IF('Debt &amp; cash'!S38&gt;=-0.001,"OK","Check")</f>
        <v>OK</v>
      </c>
      <c r="E38" s="98" t="n">
        <f aca="false">'Debt &amp; cash'!V38</f>
        <v>0.127612160038516</v>
      </c>
      <c r="F38" s="97" t="str">
        <f aca="false">IF($A38&lt;1887,"n/a",IF(E38&lt;=cap_debt,"OK","Check"))</f>
        <v>n/a</v>
      </c>
      <c r="G38" s="98" t="n">
        <f aca="false">'Debt &amp; cash'!W38</f>
        <v>0.0638711978481388</v>
      </c>
      <c r="H38" s="97" t="str">
        <f aca="false">IF($A38&lt;1887,"n/a",IF(G38&lt;=cap_int,"OK","Check"))</f>
        <v>n/a</v>
      </c>
      <c r="I38" s="98" t="n">
        <f aca="false">Budget!AC38</f>
        <v>0.0308600043699176</v>
      </c>
      <c r="J38" s="97" t="str">
        <f aca="false">IF($A38&lt;1887,"n/a",IF(Paths!AC38=1,"War year",IF(I38&lt;=cap_def,"OK","Check")))</f>
        <v>n/a</v>
      </c>
      <c r="K38" s="66" t="n">
        <f aca="false">'Debt &amp; cash'!Y38/Economy!O38</f>
        <v>0</v>
      </c>
      <c r="L38" s="97" t="str">
        <f aca="false">IF('Debt &amp; cash'!Y38*issue_price&lt;=mkt_capacity*Economy!O38+foreign_capacity,"OK","Check")</f>
        <v>OK</v>
      </c>
      <c r="M38" s="97" t="str">
        <f aca="false">IF($A38&lt;1900,"n/a",IF('Gold &amp; money'!K38&gt;=0,"OK","Check"))</f>
        <v>n/a</v>
      </c>
      <c r="N38" s="98" t="n">
        <f aca="false">Japan!AA38</f>
        <v>0.197518747418214</v>
      </c>
      <c r="O38" s="97" t="str">
        <f aca="false">IF(N38&lt;=1,"OK","Check")</f>
        <v>OK</v>
      </c>
      <c r="P38" s="97" t="str">
        <f aca="false">IF($A38&lt;1922,"n/a",IF(AND(Navy!AE38&gt;=0.95,Navy!AE38&lt;=1.1),"OK","Check"))</f>
        <v>n/a</v>
      </c>
      <c r="Q38" s="97" t="str">
        <f aca="false">IF(Navy!Z38=0,"n/a",IF(Resources!K38&gt;=Navy!Z38,"OK","Check"))</f>
        <v>n/a</v>
      </c>
      <c r="R38" s="97" t="str">
        <f aca="false">IF(AND(gulf_on=1,$A38=gulf_year),IF(Gulf!AF38=1,"OK","Check"),"n/a")</f>
        <v>n/a</v>
      </c>
      <c r="S38" s="50" t="n">
        <f aca="false">COUNTIF(B38:R38,"Check")+COUNTIF(T38:AG38,"Check")+AH38+COUNTIF(AI38,"Check")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29" t="n">
        <f aca="false">COUNTIF(AA38:AG38,"Unverified")</f>
        <v>0</v>
      </c>
      <c r="AI38" s="1" t="str">
        <f aca="false">IF(OR($A38&lt;1918,$A38&gt;1932),"n/a",INDEX(Siberia!$H$38:$H$52,MATCH($A38,Siberia!$A$38:$A$52,0)))</f>
        <v>n/a</v>
      </c>
    </row>
    <row r="39" customFormat="false" ht="14.9" hidden="false" customHeight="false" outlineLevel="0" collapsed="false">
      <c r="A39" s="61" t="n">
        <v>1879</v>
      </c>
      <c r="B39" s="97" t="str">
        <f aca="false">IF(ABS(People!L39-(People!B39+People!C39+People!D39+People!K39))&lt;1,"OK","Check")</f>
        <v>OK</v>
      </c>
      <c r="C39" s="97" t="str">
        <f aca="false">IF(ABS('Debt &amp; cash'!M39-'Debt &amp; cash'!E39)&lt;0.001,"OK","Check")</f>
        <v>OK</v>
      </c>
      <c r="D39" s="97" t="str">
        <f aca="false">IF('Debt &amp; cash'!S39&gt;=-0.001,"OK","Check")</f>
        <v>OK</v>
      </c>
      <c r="E39" s="98" t="n">
        <f aca="false">'Debt &amp; cash'!V39</f>
        <v>0.100704504044597</v>
      </c>
      <c r="F39" s="97" t="str">
        <f aca="false">IF($A39&lt;1887,"n/a",IF(E39&lt;=cap_debt,"OK","Check"))</f>
        <v>n/a</v>
      </c>
      <c r="G39" s="98" t="n">
        <f aca="false">'Debt &amp; cash'!W39</f>
        <v>0.055453890026568</v>
      </c>
      <c r="H39" s="97" t="str">
        <f aca="false">IF($A39&lt;1887,"n/a",IF(G39&lt;=cap_int,"OK","Check"))</f>
        <v>n/a</v>
      </c>
      <c r="I39" s="98" t="n">
        <f aca="false">Budget!AC39</f>
        <v>0.0204675867633456</v>
      </c>
      <c r="J39" s="97" t="str">
        <f aca="false">IF($A39&lt;1887,"n/a",IF(Paths!AC39=1,"War year",IF(I39&lt;=cap_def,"OK","Check")))</f>
        <v>n/a</v>
      </c>
      <c r="K39" s="66" t="n">
        <f aca="false">'Debt &amp; cash'!Y39/Economy!O39</f>
        <v>0</v>
      </c>
      <c r="L39" s="97" t="str">
        <f aca="false">IF('Debt &amp; cash'!Y39*issue_price&lt;=mkt_capacity*Economy!O39+foreign_capacity,"OK","Check")</f>
        <v>OK</v>
      </c>
      <c r="M39" s="97" t="str">
        <f aca="false">IF($A39&lt;1900,"n/a",IF('Gold &amp; money'!K39&gt;=0,"OK","Check"))</f>
        <v>n/a</v>
      </c>
      <c r="N39" s="98" t="n">
        <f aca="false">Japan!AA39</f>
        <v>0.183828260910905</v>
      </c>
      <c r="O39" s="97" t="str">
        <f aca="false">IF(N39&lt;=1,"OK","Check")</f>
        <v>OK</v>
      </c>
      <c r="P39" s="97" t="str">
        <f aca="false">IF($A39&lt;1922,"n/a",IF(AND(Navy!AE39&gt;=0.95,Navy!AE39&lt;=1.1),"OK","Check"))</f>
        <v>n/a</v>
      </c>
      <c r="Q39" s="97" t="str">
        <f aca="false">IF(Navy!Z39=0,"n/a",IF(Resources!K39&gt;=Navy!Z39,"OK","Check"))</f>
        <v>n/a</v>
      </c>
      <c r="R39" s="97" t="str">
        <f aca="false">IF(AND(gulf_on=1,$A39=gulf_year),IF(Gulf!AF39=1,"OK","Check"),"n/a")</f>
        <v>n/a</v>
      </c>
      <c r="S39" s="50" t="n">
        <f aca="false">COUNTIF(B39:R39,"Check")+COUNTIF(T39:AG39,"Check")+AH39+COUNTIF(AI39,"Check")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29" t="n">
        <f aca="false">COUNTIF(AA39:AG39,"Unverified")</f>
        <v>0</v>
      </c>
      <c r="AI39" s="1" t="str">
        <f aca="false">IF(OR($A39&lt;1918,$A39&gt;1932),"n/a",INDEX(Siberia!$H$38:$H$52,MATCH($A39,Siberia!$A$38:$A$52,0)))</f>
        <v>n/a</v>
      </c>
    </row>
    <row r="40" customFormat="false" ht="14.9" hidden="false" customHeight="false" outlineLevel="0" collapsed="false">
      <c r="A40" s="61" t="n">
        <v>1880</v>
      </c>
      <c r="B40" s="97" t="str">
        <f aca="false">IF(ABS(People!L40-(People!B40+People!C40+People!D40+People!K40))&lt;1,"OK","Check")</f>
        <v>OK</v>
      </c>
      <c r="C40" s="97" t="str">
        <f aca="false">IF(ABS('Debt &amp; cash'!M40-'Debt &amp; cash'!E40)&lt;0.001,"OK","Check")</f>
        <v>OK</v>
      </c>
      <c r="D40" s="97" t="str">
        <f aca="false">IF('Debt &amp; cash'!S40&gt;=-0.001,"OK","Check")</f>
        <v>OK</v>
      </c>
      <c r="E40" s="98" t="n">
        <f aca="false">'Debt &amp; cash'!V40</f>
        <v>0.0892741568496317</v>
      </c>
      <c r="F40" s="97" t="str">
        <f aca="false">IF($A40&lt;1887,"n/a",IF(E40&lt;=cap_debt,"OK","Check"))</f>
        <v>n/a</v>
      </c>
      <c r="G40" s="98" t="n">
        <f aca="false">'Debt &amp; cash'!W40</f>
        <v>0.042658249693135</v>
      </c>
      <c r="H40" s="97" t="str">
        <f aca="false">IF($A40&lt;1887,"n/a",IF(G40&lt;=cap_int,"OK","Check"))</f>
        <v>n/a</v>
      </c>
      <c r="I40" s="98" t="n">
        <f aca="false">Budget!AC40</f>
        <v>0.0208493753740388</v>
      </c>
      <c r="J40" s="97" t="str">
        <f aca="false">IF($A40&lt;1887,"n/a",IF(Paths!AC40=1,"War year",IF(I40&lt;=cap_def,"OK","Check")))</f>
        <v>n/a</v>
      </c>
      <c r="K40" s="66" t="n">
        <f aca="false">'Debt &amp; cash'!Y40/Economy!O40</f>
        <v>0</v>
      </c>
      <c r="L40" s="97" t="str">
        <f aca="false">IF('Debt &amp; cash'!Y40*issue_price&lt;=mkt_capacity*Economy!O40+foreign_capacity,"OK","Check")</f>
        <v>OK</v>
      </c>
      <c r="M40" s="97" t="str">
        <f aca="false">IF($A40&lt;1900,"n/a",IF('Gold &amp; money'!K40&gt;=0,"OK","Check"))</f>
        <v>n/a</v>
      </c>
      <c r="N40" s="98" t="n">
        <f aca="false">Japan!AA40</f>
        <v>0.170353328668617</v>
      </c>
      <c r="O40" s="97" t="str">
        <f aca="false">IF(N40&lt;=1,"OK","Check")</f>
        <v>OK</v>
      </c>
      <c r="P40" s="97" t="str">
        <f aca="false">IF($A40&lt;1922,"n/a",IF(AND(Navy!AE40&gt;=0.95,Navy!AE40&lt;=1.1),"OK","Check"))</f>
        <v>n/a</v>
      </c>
      <c r="Q40" s="97" t="str">
        <f aca="false">IF(Navy!Z40=0,"n/a",IF(Resources!K40&gt;=Navy!Z40,"OK","Check"))</f>
        <v>n/a</v>
      </c>
      <c r="R40" s="97" t="str">
        <f aca="false">IF(AND(gulf_on=1,$A40=gulf_year),IF(Gulf!AF40=1,"OK","Check"),"n/a")</f>
        <v>n/a</v>
      </c>
      <c r="S40" s="50" t="n">
        <f aca="false">COUNTIF(B40:R40,"Check")+COUNTIF(T40:AG40,"Check")+AH40+COUNTIF(AI40,"Check")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29" t="n">
        <f aca="false">COUNTIF(AA40:AG40,"Unverified")</f>
        <v>0</v>
      </c>
      <c r="AI40" s="1" t="str">
        <f aca="false">IF(OR($A40&lt;1918,$A40&gt;1932),"n/a",INDEX(Siberia!$H$38:$H$52,MATCH($A40,Siberia!$A$38:$A$52,0)))</f>
        <v>n/a</v>
      </c>
    </row>
    <row r="41" customFormat="false" ht="14.9" hidden="false" customHeight="false" outlineLevel="0" collapsed="false">
      <c r="A41" s="61" t="n">
        <v>1881</v>
      </c>
      <c r="B41" s="97" t="str">
        <f aca="false">IF(ABS(People!L41-(People!B41+People!C41+People!D41+People!K41))&lt;1,"OK","Check")</f>
        <v>OK</v>
      </c>
      <c r="C41" s="97" t="str">
        <f aca="false">IF(ABS('Debt &amp; cash'!M41-'Debt &amp; cash'!E41)&lt;0.001,"OK","Check")</f>
        <v>OK</v>
      </c>
      <c r="D41" s="97" t="str">
        <f aca="false">IF('Debt &amp; cash'!S41&gt;=-0.001,"OK","Check")</f>
        <v>OK</v>
      </c>
      <c r="E41" s="98" t="n">
        <f aca="false">'Debt &amp; cash'!V41</f>
        <v>0.0778523958833608</v>
      </c>
      <c r="F41" s="97" t="str">
        <f aca="false">IF($A41&lt;1887,"n/a",IF(E41&lt;=cap_debt,"OK","Check"))</f>
        <v>n/a</v>
      </c>
      <c r="G41" s="98" t="n">
        <f aca="false">'Debt &amp; cash'!W41</f>
        <v>0.0421034616809243</v>
      </c>
      <c r="H41" s="97" t="str">
        <f aca="false">IF($A41&lt;1887,"n/a",IF(G41&lt;=cap_int,"OK","Check"))</f>
        <v>n/a</v>
      </c>
      <c r="I41" s="98" t="n">
        <f aca="false">Budget!AC41</f>
        <v>0.0200742585406954</v>
      </c>
      <c r="J41" s="97" t="str">
        <f aca="false">IF($A41&lt;1887,"n/a",IF(Paths!AC41=1,"War year",IF(I41&lt;=cap_def,"OK","Check")))</f>
        <v>n/a</v>
      </c>
      <c r="K41" s="66" t="n">
        <f aca="false">'Debt &amp; cash'!Y41/Economy!O41</f>
        <v>0</v>
      </c>
      <c r="L41" s="97" t="str">
        <f aca="false">IF('Debt &amp; cash'!Y41*issue_price&lt;=mkt_capacity*Economy!O41+foreign_capacity,"OK","Check")</f>
        <v>OK</v>
      </c>
      <c r="M41" s="97" t="str">
        <f aca="false">IF($A41&lt;1900,"n/a",IF('Gold &amp; money'!K41&gt;=0,"OK","Check"))</f>
        <v>n/a</v>
      </c>
      <c r="N41" s="98" t="n">
        <f aca="false">Japan!AA41</f>
        <v>0.160659367894647</v>
      </c>
      <c r="O41" s="97" t="str">
        <f aca="false">IF(N41&lt;=1,"OK","Check")</f>
        <v>OK</v>
      </c>
      <c r="P41" s="97" t="str">
        <f aca="false">IF($A41&lt;1922,"n/a",IF(AND(Navy!AE41&gt;=0.95,Navy!AE41&lt;=1.1),"OK","Check"))</f>
        <v>n/a</v>
      </c>
      <c r="Q41" s="97" t="str">
        <f aca="false">IF(Navy!Z41=0,"n/a",IF(Resources!K41&gt;=Navy!Z41,"OK","Check"))</f>
        <v>n/a</v>
      </c>
      <c r="R41" s="97" t="str">
        <f aca="false">IF(AND(gulf_on=1,$A41=gulf_year),IF(Gulf!AF41=1,"OK","Check"),"n/a")</f>
        <v>n/a</v>
      </c>
      <c r="S41" s="50" t="n">
        <f aca="false">COUNTIF(B41:R41,"Check")+COUNTIF(T41:AG41,"Check")+AH41+COUNTIF(AI41,"Check")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29" t="n">
        <f aca="false">COUNTIF(AA41:AG41,"Unverified")</f>
        <v>0</v>
      </c>
      <c r="AI41" s="1" t="str">
        <f aca="false">IF(OR($A41&lt;1918,$A41&gt;1932),"n/a",INDEX(Siberia!$H$38:$H$52,MATCH($A41,Siberia!$A$38:$A$52,0)))</f>
        <v>n/a</v>
      </c>
    </row>
    <row r="42" customFormat="false" ht="14.9" hidden="false" customHeight="false" outlineLevel="0" collapsed="false">
      <c r="A42" s="61" t="n">
        <v>1882</v>
      </c>
      <c r="B42" s="97" t="str">
        <f aca="false">IF(ABS(People!L42-(People!B42+People!C42+People!D42+People!K42))&lt;1,"OK","Check")</f>
        <v>OK</v>
      </c>
      <c r="C42" s="97" t="str">
        <f aca="false">IF(ABS('Debt &amp; cash'!M42-'Debt &amp; cash'!E42)&lt;0.001,"OK","Check")</f>
        <v>OK</v>
      </c>
      <c r="D42" s="97" t="str">
        <f aca="false">IF('Debt &amp; cash'!S42&gt;=-0.001,"OK","Check")</f>
        <v>OK</v>
      </c>
      <c r="E42" s="98" t="n">
        <f aca="false">'Debt &amp; cash'!V42</f>
        <v>0.0676538462977458</v>
      </c>
      <c r="F42" s="97" t="str">
        <f aca="false">IF($A42&lt;1887,"n/a",IF(E42&lt;=cap_debt,"OK","Check"))</f>
        <v>n/a</v>
      </c>
      <c r="G42" s="98" t="n">
        <f aca="false">'Debt &amp; cash'!W42</f>
        <v>0.0365135130077062</v>
      </c>
      <c r="H42" s="97" t="str">
        <f aca="false">IF($A42&lt;1887,"n/a",IF(G42&lt;=cap_int,"OK","Check"))</f>
        <v>n/a</v>
      </c>
      <c r="I42" s="98" t="n">
        <f aca="false">Budget!AC42</f>
        <v>0.0176764159538675</v>
      </c>
      <c r="J42" s="97" t="str">
        <f aca="false">IF($A42&lt;1887,"n/a",IF(Paths!AC42=1,"War year",IF(I42&lt;=cap_def,"OK","Check")))</f>
        <v>n/a</v>
      </c>
      <c r="K42" s="66" t="n">
        <f aca="false">'Debt &amp; cash'!Y42/Economy!O42</f>
        <v>0</v>
      </c>
      <c r="L42" s="97" t="str">
        <f aca="false">IF('Debt &amp; cash'!Y42*issue_price&lt;=mkt_capacity*Economy!O42+foreign_capacity,"OK","Check")</f>
        <v>OK</v>
      </c>
      <c r="M42" s="97" t="str">
        <f aca="false">IF($A42&lt;1900,"n/a",IF('Gold &amp; money'!K42&gt;=0,"OK","Check"))</f>
        <v>n/a</v>
      </c>
      <c r="N42" s="98" t="n">
        <f aca="false">Japan!AA42</f>
        <v>0.151594371827454</v>
      </c>
      <c r="O42" s="97" t="str">
        <f aca="false">IF(N42&lt;=1,"OK","Check")</f>
        <v>OK</v>
      </c>
      <c r="P42" s="97" t="str">
        <f aca="false">IF($A42&lt;1922,"n/a",IF(AND(Navy!AE42&gt;=0.95,Navy!AE42&lt;=1.1),"OK","Check"))</f>
        <v>n/a</v>
      </c>
      <c r="Q42" s="97" t="str">
        <f aca="false">IF(Navy!Z42=0,"n/a",IF(Resources!K42&gt;=Navy!Z42,"OK","Check"))</f>
        <v>OK</v>
      </c>
      <c r="R42" s="97" t="str">
        <f aca="false">IF(AND(gulf_on=1,$A42=gulf_year),IF(Gulf!AF42=1,"OK","Check"),"n/a")</f>
        <v>n/a</v>
      </c>
      <c r="S42" s="50" t="n">
        <f aca="false">COUNTIF(B42:R42,"Check")+COUNTIF(T42:AG42,"Check")+AH42+COUNTIF(AI42,"Check")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29" t="n">
        <f aca="false">COUNTIF(AA42:AG42,"Unverified")</f>
        <v>0</v>
      </c>
      <c r="AI42" s="1" t="str">
        <f aca="false">IF(OR($A42&lt;1918,$A42&gt;1932),"n/a",INDEX(Siberia!$H$38:$H$52,MATCH($A42,Siberia!$A$38:$A$52,0)))</f>
        <v>n/a</v>
      </c>
    </row>
    <row r="43" customFormat="false" ht="14.9" hidden="false" customHeight="false" outlineLevel="0" collapsed="false">
      <c r="A43" s="61" t="n">
        <v>1883</v>
      </c>
      <c r="B43" s="97" t="str">
        <f aca="false">IF(ABS(People!L43-(People!B43+People!C43+People!D43+People!K43))&lt;1,"OK","Check")</f>
        <v>OK</v>
      </c>
      <c r="C43" s="97" t="str">
        <f aca="false">IF(ABS('Debt &amp; cash'!M43-'Debt &amp; cash'!E43)&lt;0.001,"OK","Check")</f>
        <v>OK</v>
      </c>
      <c r="D43" s="97" t="str">
        <f aca="false">IF('Debt &amp; cash'!S43&gt;=-0.001,"OK","Check")</f>
        <v>OK</v>
      </c>
      <c r="E43" s="98" t="n">
        <f aca="false">'Debt &amp; cash'!V43</f>
        <v>0.0582410149109905</v>
      </c>
      <c r="F43" s="97" t="str">
        <f aca="false">IF($A43&lt;1887,"n/a",IF(E43&lt;=cap_debt,"OK","Check"))</f>
        <v>n/a</v>
      </c>
      <c r="G43" s="98" t="n">
        <f aca="false">'Debt &amp; cash'!W43</f>
        <v>0.0314355424527925</v>
      </c>
      <c r="H43" s="97" t="str">
        <f aca="false">IF($A43&lt;1887,"n/a",IF(G43&lt;=cap_int,"OK","Check"))</f>
        <v>n/a</v>
      </c>
      <c r="I43" s="98" t="n">
        <f aca="false">Budget!AC43</f>
        <v>0.0183485040155874</v>
      </c>
      <c r="J43" s="97" t="str">
        <f aca="false">IF($A43&lt;1887,"n/a",IF(Paths!AC43=1,"War year",IF(I43&lt;=cap_def,"OK","Check")))</f>
        <v>n/a</v>
      </c>
      <c r="K43" s="66" t="n">
        <f aca="false">'Debt &amp; cash'!Y43/Economy!O43</f>
        <v>0</v>
      </c>
      <c r="L43" s="97" t="str">
        <f aca="false">IF('Debt &amp; cash'!Y43*issue_price&lt;=mkt_capacity*Economy!O43+foreign_capacity,"OK","Check")</f>
        <v>OK</v>
      </c>
      <c r="M43" s="97" t="str">
        <f aca="false">IF($A43&lt;1900,"n/a",IF('Gold &amp; money'!K43&gt;=0,"OK","Check"))</f>
        <v>n/a</v>
      </c>
      <c r="N43" s="98" t="n">
        <f aca="false">Japan!AA43</f>
        <v>0.14315381520817</v>
      </c>
      <c r="O43" s="97" t="str">
        <f aca="false">IF(N43&lt;=1,"OK","Check")</f>
        <v>OK</v>
      </c>
      <c r="P43" s="97" t="str">
        <f aca="false">IF($A43&lt;1922,"n/a",IF(AND(Navy!AE43&gt;=0.95,Navy!AE43&lt;=1.1),"OK","Check"))</f>
        <v>n/a</v>
      </c>
      <c r="Q43" s="97" t="str">
        <f aca="false">IF(Navy!Z43=0,"n/a",IF(Resources!K43&gt;=Navy!Z43,"OK","Check"))</f>
        <v>OK</v>
      </c>
      <c r="R43" s="97" t="str">
        <f aca="false">IF(AND(gulf_on=1,$A43=gulf_year),IF(Gulf!AF43=1,"OK","Check"),"n/a")</f>
        <v>n/a</v>
      </c>
      <c r="S43" s="50" t="n">
        <f aca="false">COUNTIF(B43:R43,"Check")+COUNTIF(T43:AG43,"Check")+AH43+COUNTIF(AI43,"Check")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29" t="n">
        <f aca="false">COUNTIF(AA43:AG43,"Unverified")</f>
        <v>0</v>
      </c>
      <c r="AI43" s="1" t="str">
        <f aca="false">IF(OR($A43&lt;1918,$A43&gt;1932),"n/a",INDEX(Siberia!$H$38:$H$52,MATCH($A43,Siberia!$A$38:$A$52,0)))</f>
        <v>n/a</v>
      </c>
    </row>
    <row r="44" customFormat="false" ht="14.9" hidden="false" customHeight="false" outlineLevel="0" collapsed="false">
      <c r="A44" s="61" t="n">
        <v>1884</v>
      </c>
      <c r="B44" s="97" t="str">
        <f aca="false">IF(ABS(People!L44-(People!B44+People!C44+People!D44+People!K44))&lt;1,"OK","Check")</f>
        <v>OK</v>
      </c>
      <c r="C44" s="97" t="str">
        <f aca="false">IF(ABS('Debt &amp; cash'!M44-'Debt &amp; cash'!E44)&lt;0.001,"OK","Check")</f>
        <v>OK</v>
      </c>
      <c r="D44" s="97" t="str">
        <f aca="false">IF('Debt &amp; cash'!S44&gt;=-0.001,"OK","Check")</f>
        <v>OK</v>
      </c>
      <c r="E44" s="98" t="n">
        <f aca="false">'Debt &amp; cash'!V44</f>
        <v>0.0507382274950631</v>
      </c>
      <c r="F44" s="97" t="str">
        <f aca="false">IF($A44&lt;1887,"n/a",IF(E44&lt;=cap_debt,"OK","Check"))</f>
        <v>n/a</v>
      </c>
      <c r="G44" s="98" t="n">
        <f aca="false">'Debt &amp; cash'!W44</f>
        <v>0.027325664781138</v>
      </c>
      <c r="H44" s="97" t="str">
        <f aca="false">IF($A44&lt;1887,"n/a",IF(G44&lt;=cap_int,"OK","Check"))</f>
        <v>n/a</v>
      </c>
      <c r="I44" s="98" t="n">
        <f aca="false">Budget!AC44</f>
        <v>0.0191631934981961</v>
      </c>
      <c r="J44" s="97" t="str">
        <f aca="false">IF($A44&lt;1887,"n/a",IF(Paths!AC44=1,"War year",IF(I44&lt;=cap_def,"OK","Check")))</f>
        <v>n/a</v>
      </c>
      <c r="K44" s="66" t="n">
        <f aca="false">'Debt &amp; cash'!Y44/Economy!O44</f>
        <v>0</v>
      </c>
      <c r="L44" s="97" t="str">
        <f aca="false">IF('Debt &amp; cash'!Y44*issue_price&lt;=mkt_capacity*Economy!O44+foreign_capacity,"OK","Check")</f>
        <v>OK</v>
      </c>
      <c r="M44" s="97" t="str">
        <f aca="false">IF($A44&lt;1900,"n/a",IF('Gold &amp; money'!K44&gt;=0,"OK","Check"))</f>
        <v>n/a</v>
      </c>
      <c r="N44" s="98" t="n">
        <f aca="false">Japan!AA44</f>
        <v>0.135323655629434</v>
      </c>
      <c r="O44" s="97" t="str">
        <f aca="false">IF(N44&lt;=1,"OK","Check")</f>
        <v>OK</v>
      </c>
      <c r="P44" s="97" t="str">
        <f aca="false">IF($A44&lt;1922,"n/a",IF(AND(Navy!AE44&gt;=0.95,Navy!AE44&lt;=1.1),"OK","Check"))</f>
        <v>n/a</v>
      </c>
      <c r="Q44" s="97" t="str">
        <f aca="false">IF(Navy!Z44=0,"n/a",IF(Resources!K44&gt;=Navy!Z44,"OK","Check"))</f>
        <v>OK</v>
      </c>
      <c r="R44" s="97" t="str">
        <f aca="false">IF(AND(gulf_on=1,$A44=gulf_year),IF(Gulf!AF44=1,"OK","Check"),"n/a")</f>
        <v>n/a</v>
      </c>
      <c r="S44" s="50" t="n">
        <f aca="false">COUNTIF(B44:R44,"Check")+COUNTIF(T44:AG44,"Check")+AH44+COUNTIF(AI44,"Check")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29" t="n">
        <f aca="false">COUNTIF(AA44:AG44,"Unverified")</f>
        <v>0</v>
      </c>
      <c r="AI44" s="1" t="str">
        <f aca="false">IF(OR($A44&lt;1918,$A44&gt;1932),"n/a",INDEX(Siberia!$H$38:$H$52,MATCH($A44,Siberia!$A$38:$A$52,0)))</f>
        <v>n/a</v>
      </c>
    </row>
    <row r="45" customFormat="false" ht="14.9" hidden="false" customHeight="false" outlineLevel="0" collapsed="false">
      <c r="A45" s="61" t="n">
        <v>1885</v>
      </c>
      <c r="B45" s="97" t="str">
        <f aca="false">IF(ABS(People!L45-(People!B45+People!C45+People!D45+People!K45))&lt;1,"OK","Check")</f>
        <v>OK</v>
      </c>
      <c r="C45" s="97" t="str">
        <f aca="false">IF(ABS('Debt &amp; cash'!M45-'Debt &amp; cash'!E45)&lt;0.001,"OK","Check")</f>
        <v>OK</v>
      </c>
      <c r="D45" s="97" t="str">
        <f aca="false">IF('Debt &amp; cash'!S45&gt;=-0.001,"OK","Check")</f>
        <v>OK</v>
      </c>
      <c r="E45" s="98" t="n">
        <f aca="false">'Debt &amp; cash'!V45</f>
        <v>0.0427665487335085</v>
      </c>
      <c r="F45" s="97" t="str">
        <f aca="false">IF($A45&lt;1887,"n/a",IF(E45&lt;=cap_debt,"OK","Check"))</f>
        <v>n/a</v>
      </c>
      <c r="G45" s="98" t="n">
        <f aca="false">'Debt &amp; cash'!W45</f>
        <v>0.0230443927742736</v>
      </c>
      <c r="H45" s="97" t="str">
        <f aca="false">IF($A45&lt;1887,"n/a",IF(G45&lt;=cap_int,"OK","Check"))</f>
        <v>n/a</v>
      </c>
      <c r="I45" s="98" t="n">
        <f aca="false">Budget!AC45</f>
        <v>0.0178021366180965</v>
      </c>
      <c r="J45" s="97" t="str">
        <f aca="false">IF($A45&lt;1887,"n/a",IF(Paths!AC45=1,"War year",IF(I45&lt;=cap_def,"OK","Check")))</f>
        <v>n/a</v>
      </c>
      <c r="K45" s="66" t="n">
        <f aca="false">'Debt &amp; cash'!Y45/Economy!O45</f>
        <v>0</v>
      </c>
      <c r="L45" s="97" t="str">
        <f aca="false">IF('Debt &amp; cash'!Y45*issue_price&lt;=mkt_capacity*Economy!O45+foreign_capacity,"OK","Check")</f>
        <v>OK</v>
      </c>
      <c r="M45" s="97" t="str">
        <f aca="false">IF($A45&lt;1900,"n/a",IF('Gold &amp; money'!K45&gt;=0,"OK","Check"))</f>
        <v>n/a</v>
      </c>
      <c r="N45" s="98" t="n">
        <f aca="false">Japan!AA45</f>
        <v>0.128112695781077</v>
      </c>
      <c r="O45" s="97" t="str">
        <f aca="false">IF(N45&lt;=1,"OK","Check")</f>
        <v>OK</v>
      </c>
      <c r="P45" s="97" t="str">
        <f aca="false">IF($A45&lt;1922,"n/a",IF(AND(Navy!AE45&gt;=0.95,Navy!AE45&lt;=1.1),"OK","Check"))</f>
        <v>n/a</v>
      </c>
      <c r="Q45" s="97" t="str">
        <f aca="false">IF(Navy!Z45=0,"n/a",IF(Resources!K45&gt;=Navy!Z45,"OK","Check"))</f>
        <v>OK</v>
      </c>
      <c r="R45" s="97" t="str">
        <f aca="false">IF(AND(gulf_on=1,$A45=gulf_year),IF(Gulf!AF45=1,"OK","Check"),"n/a")</f>
        <v>n/a</v>
      </c>
      <c r="S45" s="50" t="n">
        <f aca="false">COUNTIF(B45:R45,"Check")+COUNTIF(T45:AG45,"Check")+AH45+COUNTIF(AI45,"Check")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29" t="n">
        <f aca="false">COUNTIF(AA45:AG45,"Unverified")</f>
        <v>0</v>
      </c>
      <c r="AI45" s="1" t="str">
        <f aca="false">IF(OR($A45&lt;1918,$A45&gt;1932),"n/a",INDEX(Siberia!$H$38:$H$52,MATCH($A45,Siberia!$A$38:$A$52,0)))</f>
        <v>n/a</v>
      </c>
    </row>
    <row r="46" customFormat="false" ht="14.9" hidden="false" customHeight="false" outlineLevel="0" collapsed="false">
      <c r="A46" s="61" t="n">
        <v>1886</v>
      </c>
      <c r="B46" s="97" t="str">
        <f aca="false">IF(ABS(People!L46-(People!B46+People!C46+People!D46+People!K46))&lt;1,"OK","Check")</f>
        <v>OK</v>
      </c>
      <c r="C46" s="97" t="str">
        <f aca="false">IF(ABS('Debt &amp; cash'!M46-'Debt &amp; cash'!E46)&lt;0.001,"OK","Check")</f>
        <v>OK</v>
      </c>
      <c r="D46" s="97" t="str">
        <f aca="false">IF('Debt &amp; cash'!S46&gt;=-0.001,"OK","Check")</f>
        <v>OK</v>
      </c>
      <c r="E46" s="98" t="n">
        <f aca="false">'Debt &amp; cash'!V46</f>
        <v>0.0337246259915686</v>
      </c>
      <c r="F46" s="97" t="str">
        <f aca="false">IF($A46&lt;1887,"n/a",IF(E46&lt;=cap_debt,"OK","Check"))</f>
        <v>n/a</v>
      </c>
      <c r="G46" s="98" t="n">
        <f aca="false">'Debt &amp; cash'!W46</f>
        <v>0.018622381433515</v>
      </c>
      <c r="H46" s="97" t="str">
        <f aca="false">IF($A46&lt;1887,"n/a",IF(G46&lt;=cap_int,"OK","Check"))</f>
        <v>n/a</v>
      </c>
      <c r="I46" s="98" t="n">
        <f aca="false">Budget!AC46</f>
        <v>0.0167854768126775</v>
      </c>
      <c r="J46" s="97" t="str">
        <f aca="false">IF($A46&lt;1887,"n/a",IF(Paths!AC46=1,"War year",IF(I46&lt;=cap_def,"OK","Check")))</f>
        <v>n/a</v>
      </c>
      <c r="K46" s="66" t="n">
        <f aca="false">'Debt &amp; cash'!Y46/Economy!O46</f>
        <v>0</v>
      </c>
      <c r="L46" s="97" t="str">
        <f aca="false">IF('Debt &amp; cash'!Y46*issue_price&lt;=mkt_capacity*Economy!O46+foreign_capacity,"OK","Check")</f>
        <v>OK</v>
      </c>
      <c r="M46" s="97" t="str">
        <f aca="false">IF($A46&lt;1900,"n/a",IF('Gold &amp; money'!K46&gt;=0,"OK","Check"))</f>
        <v>n/a</v>
      </c>
      <c r="N46" s="98" t="n">
        <f aca="false">Japan!AA46</f>
        <v>0.117419729118809</v>
      </c>
      <c r="O46" s="97" t="str">
        <f aca="false">IF(N46&lt;=1,"OK","Check")</f>
        <v>OK</v>
      </c>
      <c r="P46" s="97" t="str">
        <f aca="false">IF($A46&lt;1922,"n/a",IF(AND(Navy!AE46&gt;=0.95,Navy!AE46&lt;=1.1),"OK","Check"))</f>
        <v>n/a</v>
      </c>
      <c r="Q46" s="97" t="str">
        <f aca="false">IF(Navy!Z46=0,"n/a",IF(Resources!K46&gt;=Navy!Z46,"OK","Check"))</f>
        <v>OK</v>
      </c>
      <c r="R46" s="97" t="str">
        <f aca="false">IF(AND(gulf_on=1,$A46=gulf_year),IF(Gulf!AF46=1,"OK","Check"),"n/a")</f>
        <v>n/a</v>
      </c>
      <c r="S46" s="50" t="n">
        <f aca="false">COUNTIF(B46:R46,"Check")+COUNTIF(T46:AG46,"Check")+AH46+COUNTIF(AI46,"Check")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29" t="n">
        <f aca="false">COUNTIF(AA46:AG46,"Unverified")</f>
        <v>0</v>
      </c>
      <c r="AI46" s="1" t="str">
        <f aca="false">IF(OR($A46&lt;1918,$A46&gt;1932),"n/a",INDEX(Siberia!$H$38:$H$52,MATCH($A46,Siberia!$A$38:$A$52,0)))</f>
        <v>n/a</v>
      </c>
    </row>
    <row r="47" customFormat="false" ht="14.9" hidden="false" customHeight="false" outlineLevel="0" collapsed="false">
      <c r="A47" s="61" t="n">
        <v>1887</v>
      </c>
      <c r="B47" s="97" t="str">
        <f aca="false">IF(ABS(People!L47-(People!B47+People!C47+People!D47+People!K47))&lt;1,"OK","Check")</f>
        <v>OK</v>
      </c>
      <c r="C47" s="97" t="str">
        <f aca="false">IF(ABS('Debt &amp; cash'!M47-'Debt &amp; cash'!E47)&lt;0.001,"OK","Check")</f>
        <v>OK</v>
      </c>
      <c r="D47" s="97" t="str">
        <f aca="false">IF('Debt &amp; cash'!S47&gt;=-0.001,"OK","Check")</f>
        <v>OK</v>
      </c>
      <c r="E47" s="98" t="n">
        <f aca="false">'Debt &amp; cash'!V47</f>
        <v>0.05</v>
      </c>
      <c r="F47" s="97" t="str">
        <f aca="false">IF($A47&lt;1887,"n/a",IF(E47&lt;=cap_debt,"OK","Check"))</f>
        <v>OK</v>
      </c>
      <c r="G47" s="98" t="n">
        <f aca="false">'Debt &amp; cash'!W47</f>
        <v>0.0147930496705256</v>
      </c>
      <c r="H47" s="97" t="str">
        <f aca="false">IF($A47&lt;1887,"n/a",IF(G47&lt;=cap_int,"OK","Check"))</f>
        <v>OK</v>
      </c>
      <c r="I47" s="98" t="n">
        <f aca="false">Budget!AC47</f>
        <v>0.0167533813745431</v>
      </c>
      <c r="J47" s="97" t="str">
        <f aca="false">IF($A47&lt;1887,"n/a",IF(Paths!AC47=1,"War year",IF(I47&lt;=cap_def,"OK","Check")))</f>
        <v>OK</v>
      </c>
      <c r="K47" s="66" t="n">
        <f aca="false">'Debt &amp; cash'!Y47/Economy!O47</f>
        <v>0.0240286149791207</v>
      </c>
      <c r="L47" s="97" t="str">
        <f aca="false">IF('Debt &amp; cash'!Y47*issue_price&lt;=mkt_capacity*Economy!O47+foreign_capacity,"OK","Check")</f>
        <v>OK</v>
      </c>
      <c r="M47" s="97" t="str">
        <f aca="false">IF($A47&lt;1900,"n/a",IF('Gold &amp; money'!K47&gt;=0,"OK","Check"))</f>
        <v>n/a</v>
      </c>
      <c r="N47" s="98" t="n">
        <f aca="false">Japan!AA47</f>
        <v>0.107527983522416</v>
      </c>
      <c r="O47" s="97" t="str">
        <f aca="false">IF(N47&lt;=1,"OK","Check")</f>
        <v>OK</v>
      </c>
      <c r="P47" s="97" t="str">
        <f aca="false">IF($A47&lt;1922,"n/a",IF(AND(Navy!AE47&gt;=0.95,Navy!AE47&lt;=1.1),"OK","Check"))</f>
        <v>n/a</v>
      </c>
      <c r="Q47" s="97" t="str">
        <f aca="false">IF(Navy!Z47=0,"n/a",IF(Resources!K47&gt;=Navy!Z47,"OK","Check"))</f>
        <v>OK</v>
      </c>
      <c r="R47" s="97" t="str">
        <f aca="false">IF(AND(gulf_on=1,$A47=gulf_year),IF(Gulf!AF47=1,"OK","Check"),"n/a")</f>
        <v>n/a</v>
      </c>
      <c r="S47" s="50" t="n">
        <f aca="false">COUNTIF(B47:R47,"Check")+COUNTIF(T47:AG47,"Check")+AH47+COUNTIF(AI47,"Check")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29" t="n">
        <f aca="false">COUNTIF(AA47:AG47,"Unverified")</f>
        <v>0</v>
      </c>
      <c r="AI47" s="1" t="str">
        <f aca="false">IF(OR($A47&lt;1918,$A47&gt;1932),"n/a",INDEX(Siberia!$H$38:$H$52,MATCH($A47,Siberia!$A$38:$A$52,0)))</f>
        <v>n/a</v>
      </c>
    </row>
    <row r="48" customFormat="false" ht="14.9" hidden="false" customHeight="false" outlineLevel="0" collapsed="false">
      <c r="A48" s="61" t="n">
        <v>1888</v>
      </c>
      <c r="B48" s="97" t="str">
        <f aca="false">IF(ABS(People!L48-(People!B48+People!C48+People!D48+People!K48))&lt;1,"OK","Check")</f>
        <v>OK</v>
      </c>
      <c r="C48" s="97" t="str">
        <f aca="false">IF(ABS('Debt &amp; cash'!M48-'Debt &amp; cash'!E48)&lt;0.001,"OK","Check")</f>
        <v>OK</v>
      </c>
      <c r="D48" s="97" t="str">
        <f aca="false">IF('Debt &amp; cash'!S48&gt;=-0.001,"OK","Check")</f>
        <v>OK</v>
      </c>
      <c r="E48" s="98" t="n">
        <f aca="false">'Debt &amp; cash'!V48</f>
        <v>0.05</v>
      </c>
      <c r="F48" s="97" t="str">
        <f aca="false">IF($A48&lt;1887,"n/a",IF(E48&lt;=cap_debt,"OK","Check"))</f>
        <v>OK</v>
      </c>
      <c r="G48" s="98" t="n">
        <f aca="false">'Debt &amp; cash'!W48</f>
        <v>0.0224965015783455</v>
      </c>
      <c r="H48" s="97" t="str">
        <f aca="false">IF($A48&lt;1887,"n/a",IF(G48&lt;=cap_int,"OK","Check"))</f>
        <v>OK</v>
      </c>
      <c r="I48" s="98" t="n">
        <f aca="false">Budget!AC48</f>
        <v>0.0137950054625456</v>
      </c>
      <c r="J48" s="97" t="str">
        <f aca="false">IF($A48&lt;1887,"n/a",IF(Paths!AC48=1,"War year",IF(I48&lt;=cap_def,"OK","Check")))</f>
        <v>OK</v>
      </c>
      <c r="K48" s="66" t="n">
        <f aca="false">'Debt &amp; cash'!Y48/Economy!O48</f>
        <v>0.00861167629884559</v>
      </c>
      <c r="L48" s="97" t="str">
        <f aca="false">IF('Debt &amp; cash'!Y48*issue_price&lt;=mkt_capacity*Economy!O48+foreign_capacity,"OK","Check")</f>
        <v>OK</v>
      </c>
      <c r="M48" s="97" t="str">
        <f aca="false">IF($A48&lt;1900,"n/a",IF('Gold &amp; money'!K48&gt;=0,"OK","Check"))</f>
        <v>n/a</v>
      </c>
      <c r="N48" s="98" t="n">
        <f aca="false">Japan!AA48</f>
        <v>0.0984060961067464</v>
      </c>
      <c r="O48" s="97" t="str">
        <f aca="false">IF(N48&lt;=1,"OK","Check")</f>
        <v>OK</v>
      </c>
      <c r="P48" s="97" t="str">
        <f aca="false">IF($A48&lt;1922,"n/a",IF(AND(Navy!AE48&gt;=0.95,Navy!AE48&lt;=1.1),"OK","Check"))</f>
        <v>n/a</v>
      </c>
      <c r="Q48" s="97" t="str">
        <f aca="false">IF(Navy!Z48=0,"n/a",IF(Resources!K48&gt;=Navy!Z48,"OK","Check"))</f>
        <v>OK</v>
      </c>
      <c r="R48" s="97" t="str">
        <f aca="false">IF(AND(gulf_on=1,$A48=gulf_year),IF(Gulf!AF48=1,"OK","Check"),"n/a")</f>
        <v>n/a</v>
      </c>
      <c r="S48" s="50" t="n">
        <f aca="false">COUNTIF(B48:R48,"Check")+COUNTIF(T48:AG48,"Check")+AH48+COUNTIF(AI48,"Check")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29" t="n">
        <f aca="false">COUNTIF(AA48:AG48,"Unverified")</f>
        <v>0</v>
      </c>
      <c r="AI48" s="1" t="str">
        <f aca="false">IF(OR($A48&lt;1918,$A48&gt;1932),"n/a",INDEX(Siberia!$H$38:$H$52,MATCH($A48,Siberia!$A$38:$A$52,0)))</f>
        <v>n/a</v>
      </c>
    </row>
    <row r="49" customFormat="false" ht="14.9" hidden="false" customHeight="false" outlineLevel="0" collapsed="false">
      <c r="A49" s="61" t="n">
        <v>1889</v>
      </c>
      <c r="B49" s="97" t="str">
        <f aca="false">IF(ABS(People!L49-(People!B49+People!C49+People!D49+People!K49))&lt;1,"OK","Check")</f>
        <v>OK</v>
      </c>
      <c r="C49" s="97" t="str">
        <f aca="false">IF(ABS('Debt &amp; cash'!M49-'Debt &amp; cash'!E49)&lt;0.001,"OK","Check")</f>
        <v>OK</v>
      </c>
      <c r="D49" s="97" t="str">
        <f aca="false">IF('Debt &amp; cash'!S49&gt;=-0.001,"OK","Check")</f>
        <v>OK</v>
      </c>
      <c r="E49" s="98" t="n">
        <f aca="false">'Debt &amp; cash'!V49</f>
        <v>0.05</v>
      </c>
      <c r="F49" s="97" t="str">
        <f aca="false">IF($A49&lt;1887,"n/a",IF(E49&lt;=cap_debt,"OK","Check"))</f>
        <v>OK</v>
      </c>
      <c r="G49" s="98" t="n">
        <f aca="false">'Debt &amp; cash'!W49</f>
        <v>0.0223818214123349</v>
      </c>
      <c r="H49" s="97" t="str">
        <f aca="false">IF($A49&lt;1887,"n/a",IF(G49&lt;=cap_int,"OK","Check"))</f>
        <v>OK</v>
      </c>
      <c r="I49" s="98" t="n">
        <f aca="false">Budget!AC49</f>
        <v>0.0133972276064576</v>
      </c>
      <c r="J49" s="97" t="str">
        <f aca="false">IF($A49&lt;1887,"n/a",IF(Paths!AC49=1,"War year",IF(I49&lt;=cap_def,"OK","Check")))</f>
        <v>OK</v>
      </c>
      <c r="K49" s="66" t="n">
        <f aca="false">'Debt &amp; cash'!Y49/Economy!O49</f>
        <v>0.00411514627326231</v>
      </c>
      <c r="L49" s="97" t="str">
        <f aca="false">IF('Debt &amp; cash'!Y49*issue_price&lt;=mkt_capacity*Economy!O49+foreign_capacity,"OK","Check")</f>
        <v>OK</v>
      </c>
      <c r="M49" s="97" t="str">
        <f aca="false">IF($A49&lt;1900,"n/a",IF('Gold &amp; money'!K49&gt;=0,"OK","Check"))</f>
        <v>n/a</v>
      </c>
      <c r="N49" s="98" t="n">
        <f aca="false">Japan!AA49</f>
        <v>0.0899841346555443</v>
      </c>
      <c r="O49" s="97" t="str">
        <f aca="false">IF(N49&lt;=1,"OK","Check")</f>
        <v>OK</v>
      </c>
      <c r="P49" s="97" t="str">
        <f aca="false">IF($A49&lt;1922,"n/a",IF(AND(Navy!AE49&gt;=0.95,Navy!AE49&lt;=1.1),"OK","Check"))</f>
        <v>n/a</v>
      </c>
      <c r="Q49" s="97" t="str">
        <f aca="false">IF(Navy!Z49=0,"n/a",IF(Resources!K49&gt;=Navy!Z49,"OK","Check"))</f>
        <v>OK</v>
      </c>
      <c r="R49" s="97" t="str">
        <f aca="false">IF(AND(gulf_on=1,$A49=gulf_year),IF(Gulf!AF49=1,"OK","Check"),"n/a")</f>
        <v>n/a</v>
      </c>
      <c r="S49" s="50" t="n">
        <f aca="false">COUNTIF(B49:R49,"Check")+COUNTIF(T49:AG49,"Check")+AH49+COUNTIF(AI49,"Check")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29" t="n">
        <f aca="false">COUNTIF(AA49:AG49,"Unverified")</f>
        <v>0</v>
      </c>
      <c r="AI49" s="1" t="str">
        <f aca="false">IF(OR($A49&lt;1918,$A49&gt;1932),"n/a",INDEX(Siberia!$H$38:$H$52,MATCH($A49,Siberia!$A$38:$A$52,0)))</f>
        <v>n/a</v>
      </c>
    </row>
    <row r="50" customFormat="false" ht="14.9" hidden="false" customHeight="false" outlineLevel="0" collapsed="false">
      <c r="A50" s="61" t="n">
        <v>1890</v>
      </c>
      <c r="B50" s="97" t="str">
        <f aca="false">IF(ABS(People!L50-(People!B50+People!C50+People!D50+People!K50))&lt;1,"OK","Check")</f>
        <v>OK</v>
      </c>
      <c r="C50" s="97" t="str">
        <f aca="false">IF(ABS('Debt &amp; cash'!M50-'Debt &amp; cash'!E50)&lt;0.001,"OK","Check")</f>
        <v>OK</v>
      </c>
      <c r="D50" s="97" t="str">
        <f aca="false">IF('Debt &amp; cash'!S50&gt;=-0.001,"OK","Check")</f>
        <v>OK</v>
      </c>
      <c r="E50" s="98" t="n">
        <f aca="false">'Debt &amp; cash'!V50</f>
        <v>0.05</v>
      </c>
      <c r="F50" s="97" t="str">
        <f aca="false">IF($A50&lt;1887,"n/a",IF(E50&lt;=cap_debt,"OK","Check"))</f>
        <v>OK</v>
      </c>
      <c r="G50" s="98" t="n">
        <f aca="false">'Debt &amp; cash'!W50</f>
        <v>0.021026089990536</v>
      </c>
      <c r="H50" s="97" t="str">
        <f aca="false">IF($A50&lt;1887,"n/a",IF(G50&lt;=cap_int,"OK","Check"))</f>
        <v>OK</v>
      </c>
      <c r="I50" s="98" t="n">
        <f aca="false">Budget!AC50</f>
        <v>0.0120803232268253</v>
      </c>
      <c r="J50" s="97" t="str">
        <f aca="false">IF($A50&lt;1887,"n/a",IF(Paths!AC50=1,"War year",IF(I50&lt;=cap_def,"OK","Check")))</f>
        <v>OK</v>
      </c>
      <c r="K50" s="66" t="n">
        <f aca="false">'Debt &amp; cash'!Y50/Economy!O50</f>
        <v>0.00738734522503478</v>
      </c>
      <c r="L50" s="97" t="str">
        <f aca="false">IF('Debt &amp; cash'!Y50*issue_price&lt;=mkt_capacity*Economy!O50+foreign_capacity,"OK","Check")</f>
        <v>OK</v>
      </c>
      <c r="M50" s="97" t="str">
        <f aca="false">IF($A50&lt;1900,"n/a",IF('Gold &amp; money'!K50&gt;=0,"OK","Check"))</f>
        <v>n/a</v>
      </c>
      <c r="N50" s="98" t="n">
        <f aca="false">Japan!AA50</f>
        <v>0.0822127312016703</v>
      </c>
      <c r="O50" s="97" t="str">
        <f aca="false">IF(N50&lt;=1,"OK","Check")</f>
        <v>OK</v>
      </c>
      <c r="P50" s="97" t="str">
        <f aca="false">IF($A50&lt;1922,"n/a",IF(AND(Navy!AE50&gt;=0.95,Navy!AE50&lt;=1.1),"OK","Check"))</f>
        <v>n/a</v>
      </c>
      <c r="Q50" s="97" t="str">
        <f aca="false">IF(Navy!Z50=0,"n/a",IF(Resources!K50&gt;=Navy!Z50,"OK","Check"))</f>
        <v>OK</v>
      </c>
      <c r="R50" s="97" t="str">
        <f aca="false">IF(AND(gulf_on=1,$A50=gulf_year),IF(Gulf!AF50=1,"OK","Check"),"n/a")</f>
        <v>n/a</v>
      </c>
      <c r="S50" s="50" t="n">
        <f aca="false">COUNTIF(B50:R50,"Check")+COUNTIF(T50:AG50,"Check")+AH50+COUNTIF(AI50,"Check")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29" t="n">
        <f aca="false">COUNTIF(AA50:AG50,"Unverified")</f>
        <v>0</v>
      </c>
      <c r="AI50" s="1" t="str">
        <f aca="false">IF(OR($A50&lt;1918,$A50&gt;1932),"n/a",INDEX(Siberia!$H$38:$H$52,MATCH($A50,Siberia!$A$38:$A$52,0)))</f>
        <v>n/a</v>
      </c>
    </row>
    <row r="51" customFormat="false" ht="14.9" hidden="false" customHeight="false" outlineLevel="0" collapsed="false">
      <c r="A51" s="61" t="n">
        <v>1891</v>
      </c>
      <c r="B51" s="97" t="str">
        <f aca="false">IF(ABS(People!L51-(People!B51+People!C51+People!D51+People!K51))&lt;1,"OK","Check")</f>
        <v>OK</v>
      </c>
      <c r="C51" s="97" t="str">
        <f aca="false">IF(ABS('Debt &amp; cash'!M51-'Debt &amp; cash'!E51)&lt;0.001,"OK","Check")</f>
        <v>OK</v>
      </c>
      <c r="D51" s="97" t="str">
        <f aca="false">IF('Debt &amp; cash'!S51&gt;=-0.001,"OK","Check")</f>
        <v>OK</v>
      </c>
      <c r="E51" s="98" t="n">
        <f aca="false">'Debt &amp; cash'!V51</f>
        <v>0.05</v>
      </c>
      <c r="F51" s="97" t="str">
        <f aca="false">IF($A51&lt;1887,"n/a",IF(E51&lt;=cap_debt,"OK","Check"))</f>
        <v>OK</v>
      </c>
      <c r="G51" s="98" t="n">
        <f aca="false">'Debt &amp; cash'!W51</f>
        <v>0.0206311497723753</v>
      </c>
      <c r="H51" s="97" t="str">
        <f aca="false">IF($A51&lt;1887,"n/a",IF(G51&lt;=cap_int,"OK","Check"))</f>
        <v>OK</v>
      </c>
      <c r="I51" s="98" t="n">
        <f aca="false">Budget!AC51</f>
        <v>0.011298357029109</v>
      </c>
      <c r="J51" s="97" t="str">
        <f aca="false">IF($A51&lt;1887,"n/a",IF(Paths!AC51=1,"War year",IF(I51&lt;=cap_def,"OK","Check")))</f>
        <v>OK</v>
      </c>
      <c r="K51" s="66" t="n">
        <f aca="false">'Debt &amp; cash'!Y51/Economy!O51</f>
        <v>0.00762784732807126</v>
      </c>
      <c r="L51" s="97" t="str">
        <f aca="false">IF('Debt &amp; cash'!Y51*issue_price&lt;=mkt_capacity*Economy!O51+foreign_capacity,"OK","Check")</f>
        <v>OK</v>
      </c>
      <c r="M51" s="97" t="str">
        <f aca="false">IF($A51&lt;1900,"n/a",IF('Gold &amp; money'!K51&gt;=0,"OK","Check"))</f>
        <v>n/a</v>
      </c>
      <c r="N51" s="98" t="n">
        <f aca="false">Japan!AA51</f>
        <v>0.0770087478747007</v>
      </c>
      <c r="O51" s="97" t="str">
        <f aca="false">IF(N51&lt;=1,"OK","Check")</f>
        <v>OK</v>
      </c>
      <c r="P51" s="97" t="str">
        <f aca="false">IF($A51&lt;1922,"n/a",IF(AND(Navy!AE51&gt;=0.95,Navy!AE51&lt;=1.1),"OK","Check"))</f>
        <v>n/a</v>
      </c>
      <c r="Q51" s="97" t="str">
        <f aca="false">IF(Navy!Z51=0,"n/a",IF(Resources!K51&gt;=Navy!Z51,"OK","Check"))</f>
        <v>OK</v>
      </c>
      <c r="R51" s="97" t="str">
        <f aca="false">IF(AND(gulf_on=1,$A51=gulf_year),IF(Gulf!AF51=1,"OK","Check"),"n/a")</f>
        <v>n/a</v>
      </c>
      <c r="S51" s="50" t="n">
        <f aca="false">COUNTIF(B51:R51,"Check")+COUNTIF(T51:AG51,"Check")+AH51+COUNTIF(AI51,"Check")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29" t="n">
        <f aca="false">COUNTIF(AA51:AG51,"Unverified")</f>
        <v>0</v>
      </c>
      <c r="AI51" s="1" t="str">
        <f aca="false">IF(OR($A51&lt;1918,$A51&gt;1932),"n/a",INDEX(Siberia!$H$38:$H$52,MATCH($A51,Siberia!$A$38:$A$52,0)))</f>
        <v>n/a</v>
      </c>
    </row>
    <row r="52" customFormat="false" ht="14.9" hidden="false" customHeight="false" outlineLevel="0" collapsed="false">
      <c r="A52" s="61" t="n">
        <v>1892</v>
      </c>
      <c r="B52" s="97" t="str">
        <f aca="false">IF(ABS(People!L52-(People!B52+People!C52+People!D52+People!K52))&lt;1,"OK","Check")</f>
        <v>OK</v>
      </c>
      <c r="C52" s="97" t="str">
        <f aca="false">IF(ABS('Debt &amp; cash'!M52-'Debt &amp; cash'!E52)&lt;0.001,"OK","Check")</f>
        <v>OK</v>
      </c>
      <c r="D52" s="97" t="str">
        <f aca="false">IF('Debt &amp; cash'!S52&gt;=-0.001,"OK","Check")</f>
        <v>OK</v>
      </c>
      <c r="E52" s="98" t="n">
        <f aca="false">'Debt &amp; cash'!V52</f>
        <v>0.05</v>
      </c>
      <c r="F52" s="97" t="str">
        <f aca="false">IF($A52&lt;1887,"n/a",IF(E52&lt;=cap_debt,"OK","Check"))</f>
        <v>OK</v>
      </c>
      <c r="G52" s="98" t="n">
        <f aca="false">'Debt &amp; cash'!W52</f>
        <v>0.0202376114706681</v>
      </c>
      <c r="H52" s="97" t="str">
        <f aca="false">IF($A52&lt;1887,"n/a",IF(G52&lt;=cap_int,"OK","Check"))</f>
        <v>OK</v>
      </c>
      <c r="I52" s="98" t="n">
        <f aca="false">Budget!AC52</f>
        <v>0.0106092660785389</v>
      </c>
      <c r="J52" s="97" t="str">
        <f aca="false">IF($A52&lt;1887,"n/a",IF(Paths!AC52=1,"War year",IF(I52&lt;=cap_def,"OK","Check")))</f>
        <v>OK</v>
      </c>
      <c r="K52" s="66" t="n">
        <f aca="false">'Debt &amp; cash'!Y52/Economy!O52</f>
        <v>0.00813698675300461</v>
      </c>
      <c r="L52" s="97" t="str">
        <f aca="false">IF('Debt &amp; cash'!Y52*issue_price&lt;=mkt_capacity*Economy!O52+foreign_capacity,"OK","Check")</f>
        <v>OK</v>
      </c>
      <c r="M52" s="97" t="str">
        <f aca="false">IF($A52&lt;1900,"n/a",IF('Gold &amp; money'!K52&gt;=0,"OK","Check"))</f>
        <v>n/a</v>
      </c>
      <c r="N52" s="98" t="n">
        <f aca="false">Japan!AA52</f>
        <v>0.0713709446153424</v>
      </c>
      <c r="O52" s="97" t="str">
        <f aca="false">IF(N52&lt;=1,"OK","Check")</f>
        <v>OK</v>
      </c>
      <c r="P52" s="97" t="str">
        <f aca="false">IF($A52&lt;1922,"n/a",IF(AND(Navy!AE52&gt;=0.95,Navy!AE52&lt;=1.1),"OK","Check"))</f>
        <v>n/a</v>
      </c>
      <c r="Q52" s="97" t="str">
        <f aca="false">IF(Navy!Z52=0,"n/a",IF(Resources!K52&gt;=Navy!Z52,"OK","Check"))</f>
        <v>OK</v>
      </c>
      <c r="R52" s="97" t="str">
        <f aca="false">IF(AND(gulf_on=1,$A52=gulf_year),IF(Gulf!AF52=1,"OK","Check"),"n/a")</f>
        <v>n/a</v>
      </c>
      <c r="S52" s="50" t="n">
        <f aca="false">COUNTIF(B52:R52,"Check")+COUNTIF(T52:AG52,"Check")+AH52+COUNTIF(AI52,"Check")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29" t="n">
        <f aca="false">COUNTIF(AA52:AG52,"Unverified")</f>
        <v>0</v>
      </c>
      <c r="AI52" s="1" t="str">
        <f aca="false">IF(OR($A52&lt;1918,$A52&gt;1932),"n/a",INDEX(Siberia!$H$38:$H$52,MATCH($A52,Siberia!$A$38:$A$52,0)))</f>
        <v>n/a</v>
      </c>
    </row>
    <row r="53" customFormat="false" ht="14.9" hidden="false" customHeight="false" outlineLevel="0" collapsed="false">
      <c r="A53" s="61" t="n">
        <v>1893</v>
      </c>
      <c r="B53" s="97" t="str">
        <f aca="false">IF(ABS(People!L53-(People!B53+People!C53+People!D53+People!K53))&lt;1,"OK","Check")</f>
        <v>OK</v>
      </c>
      <c r="C53" s="97" t="str">
        <f aca="false">IF(ABS('Debt &amp; cash'!M53-'Debt &amp; cash'!E53)&lt;0.001,"OK","Check")</f>
        <v>OK</v>
      </c>
      <c r="D53" s="97" t="str">
        <f aca="false">IF('Debt &amp; cash'!S53&gt;=-0.001,"OK","Check")</f>
        <v>OK</v>
      </c>
      <c r="E53" s="98" t="n">
        <f aca="false">'Debt &amp; cash'!V53</f>
        <v>0.05</v>
      </c>
      <c r="F53" s="97" t="str">
        <f aca="false">IF($A53&lt;1887,"n/a",IF(E53&lt;=cap_debt,"OK","Check"))</f>
        <v>OK</v>
      </c>
      <c r="G53" s="98" t="n">
        <f aca="false">'Debt &amp; cash'!W53</f>
        <v>0.0209546891628745</v>
      </c>
      <c r="H53" s="97" t="str">
        <f aca="false">IF($A53&lt;1887,"n/a",IF(G53&lt;=cap_int,"OK","Check"))</f>
        <v>OK</v>
      </c>
      <c r="I53" s="98" t="n">
        <f aca="false">Budget!AC53</f>
        <v>0.010545247149871</v>
      </c>
      <c r="J53" s="97" t="str">
        <f aca="false">IF($A53&lt;1887,"n/a",IF(Paths!AC53=1,"War year",IF(I53&lt;=cap_def,"OK","Check")))</f>
        <v>OK</v>
      </c>
      <c r="K53" s="66" t="n">
        <f aca="false">'Debt &amp; cash'!Y53/Economy!O53</f>
        <v>0.0057291336521581</v>
      </c>
      <c r="L53" s="97" t="str">
        <f aca="false">IF('Debt &amp; cash'!Y53*issue_price&lt;=mkt_capacity*Economy!O53+foreign_capacity,"OK","Check")</f>
        <v>OK</v>
      </c>
      <c r="M53" s="97" t="str">
        <f aca="false">IF($A53&lt;1900,"n/a",IF('Gold &amp; money'!K53&gt;=0,"OK","Check"))</f>
        <v>n/a</v>
      </c>
      <c r="N53" s="98" t="n">
        <f aca="false">Japan!AA53</f>
        <v>0.0652555765967864</v>
      </c>
      <c r="O53" s="97" t="str">
        <f aca="false">IF(N53&lt;=1,"OK","Check")</f>
        <v>OK</v>
      </c>
      <c r="P53" s="97" t="str">
        <f aca="false">IF($A53&lt;1922,"n/a",IF(AND(Navy!AE53&gt;=0.95,Navy!AE53&lt;=1.1),"OK","Check"))</f>
        <v>n/a</v>
      </c>
      <c r="Q53" s="97" t="str">
        <f aca="false">IF(Navy!Z53=0,"n/a",IF(Resources!K53&gt;=Navy!Z53,"OK","Check"))</f>
        <v>OK</v>
      </c>
      <c r="R53" s="97" t="str">
        <f aca="false">IF(AND(gulf_on=1,$A53=gulf_year),IF(Gulf!AF53=1,"OK","Check"),"n/a")</f>
        <v>n/a</v>
      </c>
      <c r="S53" s="50" t="n">
        <f aca="false">COUNTIF(B53:R53,"Check")+COUNTIF(T53:AG53,"Check")+AH53+COUNTIF(AI53,"Check")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29" t="n">
        <f aca="false">COUNTIF(AA53:AG53,"Unverified")</f>
        <v>0</v>
      </c>
      <c r="AI53" s="1" t="str">
        <f aca="false">IF(OR($A53&lt;1918,$A53&gt;1932),"n/a",INDEX(Siberia!$H$38:$H$52,MATCH($A53,Siberia!$A$38:$A$52,0)))</f>
        <v>n/a</v>
      </c>
    </row>
    <row r="54" customFormat="false" ht="14.9" hidden="false" customHeight="false" outlineLevel="0" collapsed="false">
      <c r="A54" s="61" t="n">
        <v>1894</v>
      </c>
      <c r="B54" s="97" t="str">
        <f aca="false">IF(ABS(People!L54-(People!B54+People!C54+People!D54+People!K54))&lt;1,"OK","Check")</f>
        <v>OK</v>
      </c>
      <c r="C54" s="97" t="str">
        <f aca="false">IF(ABS('Debt &amp; cash'!M54-'Debt &amp; cash'!E54)&lt;0.001,"OK","Check")</f>
        <v>OK</v>
      </c>
      <c r="D54" s="97" t="str">
        <f aca="false">IF('Debt &amp; cash'!S54&gt;=-0.001,"OK","Check")</f>
        <v>OK</v>
      </c>
      <c r="E54" s="98" t="n">
        <f aca="false">'Debt &amp; cash'!V54</f>
        <v>0.05</v>
      </c>
      <c r="F54" s="97" t="str">
        <f aca="false">IF($A54&lt;1887,"n/a",IF(E54&lt;=cap_debt,"OK","Check"))</f>
        <v>OK</v>
      </c>
      <c r="G54" s="98" t="n">
        <f aca="false">'Debt &amp; cash'!W54</f>
        <v>0.0199381870804726</v>
      </c>
      <c r="H54" s="97" t="str">
        <f aca="false">IF($A54&lt;1887,"n/a",IF(G54&lt;=cap_int,"OK","Check"))</f>
        <v>OK</v>
      </c>
      <c r="I54" s="98" t="n">
        <f aca="false">Budget!AC54</f>
        <v>0.0106397640141459</v>
      </c>
      <c r="J54" s="97" t="str">
        <f aca="false">IF($A54&lt;1887,"n/a",IF(Paths!AC54=1,"War year",IF(I54&lt;=cap_def,"OK","Check")))</f>
        <v>OK</v>
      </c>
      <c r="K54" s="66" t="n">
        <f aca="false">'Debt &amp; cash'!Y54/Economy!O54</f>
        <v>0.00606837947151924</v>
      </c>
      <c r="L54" s="97" t="str">
        <f aca="false">IF('Debt &amp; cash'!Y54*issue_price&lt;=mkt_capacity*Economy!O54+foreign_capacity,"OK","Check")</f>
        <v>OK</v>
      </c>
      <c r="M54" s="97" t="str">
        <f aca="false">IF($A54&lt;1900,"n/a",IF('Gold &amp; money'!K54&gt;=0,"OK","Check"))</f>
        <v>n/a</v>
      </c>
      <c r="N54" s="98" t="n">
        <f aca="false">Japan!AA54</f>
        <v>0.093863160240489</v>
      </c>
      <c r="O54" s="97" t="str">
        <f aca="false">IF(N54&lt;=1,"OK","Check")</f>
        <v>OK</v>
      </c>
      <c r="P54" s="97" t="str">
        <f aca="false">IF($A54&lt;1922,"n/a",IF(AND(Navy!AE54&gt;=0.95,Navy!AE54&lt;=1.1),"OK","Check"))</f>
        <v>n/a</v>
      </c>
      <c r="Q54" s="97" t="str">
        <f aca="false">IF(Navy!Z54=0,"n/a",IF(Resources!K54&gt;=Navy!Z54,"OK","Check"))</f>
        <v>OK</v>
      </c>
      <c r="R54" s="97" t="str">
        <f aca="false">IF(AND(gulf_on=1,$A54=gulf_year),IF(Gulf!AF54=1,"OK","Check"),"n/a")</f>
        <v>n/a</v>
      </c>
      <c r="S54" s="50" t="n">
        <f aca="false">COUNTIF(B54:R54,"Check")+COUNTIF(T54:AG54,"Check")+AH54+COUNTIF(AI54,"Check")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29" t="n">
        <f aca="false">COUNTIF(AA54:AG54,"Unverified")</f>
        <v>0</v>
      </c>
      <c r="AI54" s="1" t="str">
        <f aca="false">IF(OR($A54&lt;1918,$A54&gt;1932),"n/a",INDEX(Siberia!$H$38:$H$52,MATCH($A54,Siberia!$A$38:$A$52,0)))</f>
        <v>n/a</v>
      </c>
    </row>
    <row r="55" customFormat="false" ht="14.9" hidden="false" customHeight="false" outlineLevel="0" collapsed="false">
      <c r="A55" s="61" t="n">
        <v>1895</v>
      </c>
      <c r="B55" s="97" t="str">
        <f aca="false">IF(ABS(People!L55-(People!B55+People!C55+People!D55+People!K55))&lt;1,"OK","Check")</f>
        <v>OK</v>
      </c>
      <c r="C55" s="97" t="str">
        <f aca="false">IF(ABS('Debt &amp; cash'!M55-'Debt &amp; cash'!E55)&lt;0.001,"OK","Check")</f>
        <v>OK</v>
      </c>
      <c r="D55" s="97" t="str">
        <f aca="false">IF('Debt &amp; cash'!S55&gt;=-0.001,"OK","Check")</f>
        <v>OK</v>
      </c>
      <c r="E55" s="98" t="n">
        <f aca="false">'Debt &amp; cash'!V55</f>
        <v>0.05</v>
      </c>
      <c r="F55" s="97" t="str">
        <f aca="false">IF($A55&lt;1887,"n/a",IF(E55&lt;=cap_debt,"OK","Check"))</f>
        <v>OK</v>
      </c>
      <c r="G55" s="98" t="n">
        <f aca="false">'Debt &amp; cash'!W55</f>
        <v>0.0188070068892396</v>
      </c>
      <c r="H55" s="97" t="str">
        <f aca="false">IF($A55&lt;1887,"n/a",IF(G55&lt;=cap_int,"OK","Check"))</f>
        <v>OK</v>
      </c>
      <c r="I55" s="98" t="n">
        <f aca="false">Budget!AC55</f>
        <v>0.00956939719068527</v>
      </c>
      <c r="J55" s="97" t="str">
        <f aca="false">IF($A55&lt;1887,"n/a",IF(Paths!AC55=1,"War year",IF(I55&lt;=cap_def,"OK","Check")))</f>
        <v>OK</v>
      </c>
      <c r="K55" s="66" t="n">
        <f aca="false">'Debt &amp; cash'!Y55/Economy!O55</f>
        <v>0.00533970962936192</v>
      </c>
      <c r="L55" s="97" t="str">
        <f aca="false">IF('Debt &amp; cash'!Y55*issue_price&lt;=mkt_capacity*Economy!O55+foreign_capacity,"OK","Check")</f>
        <v>OK</v>
      </c>
      <c r="M55" s="97" t="str">
        <f aca="false">IF($A55&lt;1900,"n/a",IF('Gold &amp; money'!K55&gt;=0,"OK","Check"))</f>
        <v>n/a</v>
      </c>
      <c r="N55" s="98" t="n">
        <f aca="false">Japan!AA55</f>
        <v>0.142203555380896</v>
      </c>
      <c r="O55" s="97" t="str">
        <f aca="false">IF(N55&lt;=1,"OK","Check")</f>
        <v>OK</v>
      </c>
      <c r="P55" s="97" t="str">
        <f aca="false">IF($A55&lt;1922,"n/a",IF(AND(Navy!AE55&gt;=0.95,Navy!AE55&lt;=1.1),"OK","Check"))</f>
        <v>n/a</v>
      </c>
      <c r="Q55" s="97" t="str">
        <f aca="false">IF(Navy!Z55=0,"n/a",IF(Resources!K55&gt;=Navy!Z55,"OK","Check"))</f>
        <v>OK</v>
      </c>
      <c r="R55" s="97" t="str">
        <f aca="false">IF(AND(gulf_on=1,$A55=gulf_year),IF(Gulf!AF55=1,"OK","Check"),"n/a")</f>
        <v>n/a</v>
      </c>
      <c r="S55" s="50" t="n">
        <f aca="false">COUNTIF(B55:R55,"Check")+COUNTIF(T55:AG55,"Check")+AH55+COUNTIF(AI55,"Check")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29" t="n">
        <f aca="false">COUNTIF(AA55:AG55,"Unverified")</f>
        <v>0</v>
      </c>
      <c r="AI55" s="1" t="str">
        <f aca="false">IF(OR($A55&lt;1918,$A55&gt;1932),"n/a",INDEX(Siberia!$H$38:$H$52,MATCH($A55,Siberia!$A$38:$A$52,0)))</f>
        <v>n/a</v>
      </c>
    </row>
    <row r="56" customFormat="false" ht="14.9" hidden="false" customHeight="false" outlineLevel="0" collapsed="false">
      <c r="A56" s="61" t="n">
        <v>1896</v>
      </c>
      <c r="B56" s="97" t="str">
        <f aca="false">IF(ABS(People!L56-(People!B56+People!C56+People!D56+People!K56))&lt;1,"OK","Check")</f>
        <v>OK</v>
      </c>
      <c r="C56" s="97" t="str">
        <f aca="false">IF(ABS('Debt &amp; cash'!M56-'Debt &amp; cash'!E56)&lt;0.001,"OK","Check")</f>
        <v>OK</v>
      </c>
      <c r="D56" s="97" t="str">
        <f aca="false">IF('Debt &amp; cash'!S56&gt;=-0.001,"OK","Check")</f>
        <v>OK</v>
      </c>
      <c r="E56" s="98" t="n">
        <f aca="false">'Debt &amp; cash'!V56</f>
        <v>0.05</v>
      </c>
      <c r="F56" s="97" t="str">
        <f aca="false">IF($A56&lt;1887,"n/a",IF(E56&lt;=cap_debt,"OK","Check"))</f>
        <v>OK</v>
      </c>
      <c r="G56" s="98" t="n">
        <f aca="false">'Debt &amp; cash'!W56</f>
        <v>0.0205622848673074</v>
      </c>
      <c r="H56" s="97" t="str">
        <f aca="false">IF($A56&lt;1887,"n/a",IF(G56&lt;=cap_int,"OK","Check"))</f>
        <v>OK</v>
      </c>
      <c r="I56" s="98" t="n">
        <f aca="false">Budget!AC56</f>
        <v>0.00989912021281636</v>
      </c>
      <c r="J56" s="97" t="str">
        <f aca="false">IF($A56&lt;1887,"n/a",IF(Paths!AC56=1,"War year",IF(I56&lt;=cap_def,"OK","Check")))</f>
        <v>OK</v>
      </c>
      <c r="K56" s="66" t="n">
        <f aca="false">'Debt &amp; cash'!Y56/Economy!O56</f>
        <v>0.00699891997910502</v>
      </c>
      <c r="L56" s="97" t="str">
        <f aca="false">IF('Debt &amp; cash'!Y56*issue_price&lt;=mkt_capacity*Economy!O56+foreign_capacity,"OK","Check")</f>
        <v>OK</v>
      </c>
      <c r="M56" s="97" t="str">
        <f aca="false">IF($A56&lt;1900,"n/a",IF('Gold &amp; money'!K56&gt;=0,"OK","Check"))</f>
        <v>n/a</v>
      </c>
      <c r="N56" s="98" t="n">
        <f aca="false">Japan!AA56</f>
        <v>0.119341012286477</v>
      </c>
      <c r="O56" s="97" t="str">
        <f aca="false">IF(N56&lt;=1,"OK","Check")</f>
        <v>OK</v>
      </c>
      <c r="P56" s="97" t="str">
        <f aca="false">IF($A56&lt;1922,"n/a",IF(AND(Navy!AE56&gt;=0.95,Navy!AE56&lt;=1.1),"OK","Check"))</f>
        <v>n/a</v>
      </c>
      <c r="Q56" s="97" t="str">
        <f aca="false">IF(Navy!Z56=0,"n/a",IF(Resources!K56&gt;=Navy!Z56,"OK","Check"))</f>
        <v>OK</v>
      </c>
      <c r="R56" s="97" t="str">
        <f aca="false">IF(AND(gulf_on=1,$A56=gulf_year),IF(Gulf!AF56=1,"OK","Check"),"n/a")</f>
        <v>n/a</v>
      </c>
      <c r="S56" s="50" t="n">
        <f aca="false">COUNTIF(B56:R56,"Check")+COUNTIF(T56:AG56,"Check")+AH56+COUNTIF(AI56,"Check")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29" t="n">
        <f aca="false">COUNTIF(AA56:AG56,"Unverified")</f>
        <v>0</v>
      </c>
      <c r="AI56" s="1" t="str">
        <f aca="false">IF(OR($A56&lt;1918,$A56&gt;1932),"n/a",INDEX(Siberia!$H$38:$H$52,MATCH($A56,Siberia!$A$38:$A$52,0)))</f>
        <v>n/a</v>
      </c>
    </row>
    <row r="57" customFormat="false" ht="14.9" hidden="false" customHeight="false" outlineLevel="0" collapsed="false">
      <c r="A57" s="61" t="n">
        <v>1897</v>
      </c>
      <c r="B57" s="97" t="str">
        <f aca="false">IF(ABS(People!L57-(People!B57+People!C57+People!D57+People!K57))&lt;1,"OK","Check")</f>
        <v>OK</v>
      </c>
      <c r="C57" s="97" t="str">
        <f aca="false">IF(ABS('Debt &amp; cash'!M57-'Debt &amp; cash'!E57)&lt;0.001,"OK","Check")</f>
        <v>OK</v>
      </c>
      <c r="D57" s="97" t="str">
        <f aca="false">IF('Debt &amp; cash'!S57&gt;=-0.001,"OK","Check")</f>
        <v>OK</v>
      </c>
      <c r="E57" s="98" t="n">
        <f aca="false">'Debt &amp; cash'!V57</f>
        <v>0.05</v>
      </c>
      <c r="F57" s="97" t="str">
        <f aca="false">IF($A57&lt;1887,"n/a",IF(E57&lt;=cap_debt,"OK","Check"))</f>
        <v>OK</v>
      </c>
      <c r="G57" s="98" t="n">
        <f aca="false">'Debt &amp; cash'!W57</f>
        <v>0.0193088488543264</v>
      </c>
      <c r="H57" s="97" t="str">
        <f aca="false">IF($A57&lt;1887,"n/a",IF(G57&lt;=cap_int,"OK","Check"))</f>
        <v>OK</v>
      </c>
      <c r="I57" s="98" t="n">
        <f aca="false">Budget!AC57</f>
        <v>0.00876656828265838</v>
      </c>
      <c r="J57" s="97" t="str">
        <f aca="false">IF($A57&lt;1887,"n/a",IF(Paths!AC57=1,"War year",IF(I57&lt;=cap_def,"OK","Check")))</f>
        <v>OK</v>
      </c>
      <c r="K57" s="66" t="n">
        <f aca="false">'Debt &amp; cash'!Y57/Economy!O57</f>
        <v>0.00750006495702017</v>
      </c>
      <c r="L57" s="97" t="str">
        <f aca="false">IF('Debt &amp; cash'!Y57*issue_price&lt;=mkt_capacity*Economy!O57+foreign_capacity,"OK","Check")</f>
        <v>OK</v>
      </c>
      <c r="M57" s="97" t="str">
        <f aca="false">IF($A57&lt;1900,"n/a",IF('Gold &amp; money'!K57&gt;=0,"OK","Check"))</f>
        <v>n/a</v>
      </c>
      <c r="N57" s="98" t="n">
        <f aca="false">Japan!AA57</f>
        <v>0.10109612945754</v>
      </c>
      <c r="O57" s="97" t="str">
        <f aca="false">IF(N57&lt;=1,"OK","Check")</f>
        <v>OK</v>
      </c>
      <c r="P57" s="97" t="str">
        <f aca="false">IF($A57&lt;1922,"n/a",IF(AND(Navy!AE57&gt;=0.95,Navy!AE57&lt;=1.1),"OK","Check"))</f>
        <v>n/a</v>
      </c>
      <c r="Q57" s="97" t="str">
        <f aca="false">IF(Navy!Z57=0,"n/a",IF(Resources!K57&gt;=Navy!Z57,"OK","Check"))</f>
        <v>OK</v>
      </c>
      <c r="R57" s="97" t="str">
        <f aca="false">IF(AND(gulf_on=1,$A57=gulf_year),IF(Gulf!AF57=1,"OK","Check"),"n/a")</f>
        <v>n/a</v>
      </c>
      <c r="S57" s="50" t="n">
        <f aca="false">COUNTIF(B57:R57,"Check")+COUNTIF(T57:AG57,"Check")+AH57+COUNTIF(AI57,"Check")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29" t="n">
        <f aca="false">COUNTIF(AA57:AG57,"Unverified")</f>
        <v>0</v>
      </c>
      <c r="AI57" s="1" t="str">
        <f aca="false">IF(OR($A57&lt;1918,$A57&gt;1932),"n/a",INDEX(Siberia!$H$38:$H$52,MATCH($A57,Siberia!$A$38:$A$52,0)))</f>
        <v>n/a</v>
      </c>
    </row>
    <row r="58" customFormat="false" ht="14.9" hidden="false" customHeight="false" outlineLevel="0" collapsed="false">
      <c r="A58" s="61" t="n">
        <v>1898</v>
      </c>
      <c r="B58" s="97" t="str">
        <f aca="false">IF(ABS(People!L58-(People!B58+People!C58+People!D58+People!K58))&lt;1,"OK","Check")</f>
        <v>OK</v>
      </c>
      <c r="C58" s="97" t="str">
        <f aca="false">IF(ABS('Debt &amp; cash'!M58-'Debt &amp; cash'!E58)&lt;0.001,"OK","Check")</f>
        <v>OK</v>
      </c>
      <c r="D58" s="97" t="str">
        <f aca="false">IF('Debt &amp; cash'!S58&gt;=-0.001,"OK","Check")</f>
        <v>OK</v>
      </c>
      <c r="E58" s="98" t="n">
        <f aca="false">'Debt &amp; cash'!V58</f>
        <v>0.05</v>
      </c>
      <c r="F58" s="97" t="str">
        <f aca="false">IF($A58&lt;1887,"n/a",IF(E58&lt;=cap_debt,"OK","Check"))</f>
        <v>OK</v>
      </c>
      <c r="G58" s="98" t="n">
        <f aca="false">'Debt &amp; cash'!W58</f>
        <v>0.0195174957877357</v>
      </c>
      <c r="H58" s="97" t="str">
        <f aca="false">IF($A58&lt;1887,"n/a",IF(G58&lt;=cap_int,"OK","Check"))</f>
        <v>OK</v>
      </c>
      <c r="I58" s="98" t="n">
        <f aca="false">Budget!AC58</f>
        <v>0.0111098188191571</v>
      </c>
      <c r="J58" s="97" t="str">
        <f aca="false">IF($A58&lt;1887,"n/a",IF(Paths!AC58=1,"War year",IF(I58&lt;=cap_def,"OK","Check")))</f>
        <v>OK</v>
      </c>
      <c r="K58" s="66" t="n">
        <f aca="false">'Debt &amp; cash'!Y58/Economy!O58</f>
        <v>0.00604478675296311</v>
      </c>
      <c r="L58" s="97" t="str">
        <f aca="false">IF('Debt &amp; cash'!Y58*issue_price&lt;=mkt_capacity*Economy!O58+foreign_capacity,"OK","Check")</f>
        <v>OK</v>
      </c>
      <c r="M58" s="97" t="str">
        <f aca="false">IF($A58&lt;1900,"n/a",IF('Gold &amp; money'!K58&gt;=0,"OK","Check"))</f>
        <v>n/a</v>
      </c>
      <c r="N58" s="98" t="n">
        <f aca="false">Japan!AA58</f>
        <v>0.147629472435803</v>
      </c>
      <c r="O58" s="97" t="str">
        <f aca="false">IF(N58&lt;=1,"OK","Check")</f>
        <v>OK</v>
      </c>
      <c r="P58" s="97" t="str">
        <f aca="false">IF($A58&lt;1922,"n/a",IF(AND(Navy!AE58&gt;=0.95,Navy!AE58&lt;=1.1),"OK","Check"))</f>
        <v>n/a</v>
      </c>
      <c r="Q58" s="97" t="str">
        <f aca="false">IF(Navy!Z58=0,"n/a",IF(Resources!K58&gt;=Navy!Z58,"OK","Check"))</f>
        <v>OK</v>
      </c>
      <c r="R58" s="97" t="str">
        <f aca="false">IF(AND(gulf_on=1,$A58=gulf_year),IF(Gulf!AF58=1,"OK","Check"),"n/a")</f>
        <v>n/a</v>
      </c>
      <c r="S58" s="50" t="n">
        <f aca="false">COUNTIF(B58:R58,"Check")+COUNTIF(T58:AG58,"Check")+AH58+COUNTIF(AI58,"Check")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29" t="n">
        <f aca="false">COUNTIF(AA58:AG58,"Unverified")</f>
        <v>0</v>
      </c>
      <c r="AI58" s="1" t="str">
        <f aca="false">IF(OR($A58&lt;1918,$A58&gt;1932),"n/a",INDEX(Siberia!$H$38:$H$52,MATCH($A58,Siberia!$A$38:$A$52,0)))</f>
        <v>n/a</v>
      </c>
    </row>
    <row r="59" customFormat="false" ht="14.9" hidden="false" customHeight="false" outlineLevel="0" collapsed="false">
      <c r="A59" s="61" t="n">
        <v>1899</v>
      </c>
      <c r="B59" s="97" t="str">
        <f aca="false">IF(ABS(People!L59-(People!B59+People!C59+People!D59+People!K59))&lt;1,"OK","Check")</f>
        <v>OK</v>
      </c>
      <c r="C59" s="97" t="str">
        <f aca="false">IF(ABS('Debt &amp; cash'!M59-'Debt &amp; cash'!E59)&lt;0.001,"OK","Check")</f>
        <v>OK</v>
      </c>
      <c r="D59" s="97" t="str">
        <f aca="false">IF('Debt &amp; cash'!S59&gt;=-0.001,"OK","Check")</f>
        <v>OK</v>
      </c>
      <c r="E59" s="98" t="n">
        <f aca="false">'Debt &amp; cash'!V59</f>
        <v>0.05</v>
      </c>
      <c r="F59" s="97" t="str">
        <f aca="false">IF($A59&lt;1887,"n/a",IF(E59&lt;=cap_debt,"OK","Check"))</f>
        <v>OK</v>
      </c>
      <c r="G59" s="98" t="n">
        <f aca="false">'Debt &amp; cash'!W59</f>
        <v>0.0193337331988805</v>
      </c>
      <c r="H59" s="97" t="str">
        <f aca="false">IF($A59&lt;1887,"n/a",IF(G59&lt;=cap_int,"OK","Check"))</f>
        <v>OK</v>
      </c>
      <c r="I59" s="98" t="n">
        <f aca="false">Budget!AC59</f>
        <v>0.0100473360443024</v>
      </c>
      <c r="J59" s="97" t="str">
        <f aca="false">IF($A59&lt;1887,"n/a",IF(Paths!AC59=1,"War year",IF(I59&lt;=cap_def,"OK","Check")))</f>
        <v>OK</v>
      </c>
      <c r="K59" s="66" t="n">
        <f aca="false">'Debt &amp; cash'!Y59/Economy!O59</f>
        <v>0.00621863172604843</v>
      </c>
      <c r="L59" s="97" t="str">
        <f aca="false">IF('Debt &amp; cash'!Y59*issue_price&lt;=mkt_capacity*Economy!O59+foreign_capacity,"OK","Check")</f>
        <v>OK</v>
      </c>
      <c r="M59" s="97" t="str">
        <f aca="false">IF($A59&lt;1900,"n/a",IF('Gold &amp; money'!K59&gt;=0,"OK","Check"))</f>
        <v>n/a</v>
      </c>
      <c r="N59" s="98" t="n">
        <f aca="false">Japan!AA59</f>
        <v>0.191028582416535</v>
      </c>
      <c r="O59" s="97" t="str">
        <f aca="false">IF(N59&lt;=1,"OK","Check")</f>
        <v>OK</v>
      </c>
      <c r="P59" s="97" t="str">
        <f aca="false">IF($A59&lt;1922,"n/a",IF(AND(Navy!AE59&gt;=0.95,Navy!AE59&lt;=1.1),"OK","Check"))</f>
        <v>n/a</v>
      </c>
      <c r="Q59" s="97" t="str">
        <f aca="false">IF(Navy!Z59=0,"n/a",IF(Resources!K59&gt;=Navy!Z59,"OK","Check"))</f>
        <v>OK</v>
      </c>
      <c r="R59" s="97" t="str">
        <f aca="false">IF(AND(gulf_on=1,$A59=gulf_year),IF(Gulf!AF59=1,"OK","Check"),"n/a")</f>
        <v>n/a</v>
      </c>
      <c r="S59" s="50" t="n">
        <f aca="false">COUNTIF(B59:R59,"Check")+COUNTIF(T59:AG59,"Check")+AH59+COUNTIF(AI59,"Check")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29" t="n">
        <f aca="false">COUNTIF(AA59:AG59,"Unverified")</f>
        <v>0</v>
      </c>
      <c r="AI59" s="1" t="str">
        <f aca="false">IF(OR($A59&lt;1918,$A59&gt;1932),"n/a",INDEX(Siberia!$H$38:$H$52,MATCH($A59,Siberia!$A$38:$A$52,0)))</f>
        <v>n/a</v>
      </c>
    </row>
    <row r="60" customFormat="false" ht="14.9" hidden="false" customHeight="false" outlineLevel="0" collapsed="false">
      <c r="A60" s="61" t="n">
        <v>1900</v>
      </c>
      <c r="B60" s="97" t="str">
        <f aca="false">IF(ABS(People!L60-(People!B60+People!C60+People!D60+People!K60))&lt;1,"OK","Check")</f>
        <v>OK</v>
      </c>
      <c r="C60" s="97" t="str">
        <f aca="false">IF(ABS('Debt &amp; cash'!M60-'Debt &amp; cash'!E60)&lt;0.001,"OK","Check")</f>
        <v>OK</v>
      </c>
      <c r="D60" s="97" t="str">
        <f aca="false">IF('Debt &amp; cash'!S60&gt;=-0.001,"OK","Check")</f>
        <v>OK</v>
      </c>
      <c r="E60" s="98" t="n">
        <f aca="false">'Debt &amp; cash'!V60</f>
        <v>0.05</v>
      </c>
      <c r="F60" s="97" t="str">
        <f aca="false">IF($A60&lt;1887,"n/a",IF(E60&lt;=cap_debt,"OK","Check"))</f>
        <v>OK</v>
      </c>
      <c r="G60" s="98" t="n">
        <f aca="false">'Debt &amp; cash'!W60</f>
        <v>0.0190846815560324</v>
      </c>
      <c r="H60" s="97" t="str">
        <f aca="false">IF($A60&lt;1887,"n/a",IF(G60&lt;=cap_int,"OK","Check"))</f>
        <v>OK</v>
      </c>
      <c r="I60" s="98" t="n">
        <f aca="false">Budget!AC60</f>
        <v>0.00822688950159845</v>
      </c>
      <c r="J60" s="97" t="str">
        <f aca="false">IF($A60&lt;1887,"n/a",IF(Paths!AC60=1,"War year",IF(I60&lt;=cap_def,"OK","Check")))</f>
        <v>OK</v>
      </c>
      <c r="K60" s="66" t="n">
        <f aca="false">'Debt &amp; cash'!Y60/Economy!O60</f>
        <v>0.00796918607258388</v>
      </c>
      <c r="L60" s="97" t="str">
        <f aca="false">IF('Debt &amp; cash'!Y60*issue_price&lt;=mkt_capacity*Economy!O60+foreign_capacity,"OK","Check")</f>
        <v>OK</v>
      </c>
      <c r="M60" s="97" t="str">
        <f aca="false">IF($A60&lt;1900,"n/a",IF('Gold &amp; money'!K60&gt;=0,"OK","Check"))</f>
        <v>OK</v>
      </c>
      <c r="N60" s="98" t="n">
        <f aca="false">Japan!AA60</f>
        <v>0.183032904361435</v>
      </c>
      <c r="O60" s="97" t="str">
        <f aca="false">IF(N60&lt;=1,"OK","Check")</f>
        <v>OK</v>
      </c>
      <c r="P60" s="97" t="str">
        <f aca="false">IF($A60&lt;1922,"n/a",IF(AND(Navy!AE60&gt;=0.95,Navy!AE60&lt;=1.1),"OK","Check"))</f>
        <v>n/a</v>
      </c>
      <c r="Q60" s="97" t="str">
        <f aca="false">IF(Navy!Z60=0,"n/a",IF(Resources!K60&gt;=Navy!Z60,"OK","Check"))</f>
        <v>OK</v>
      </c>
      <c r="R60" s="97" t="str">
        <f aca="false">IF(AND(gulf_on=1,$A60=gulf_year),IF(Gulf!AF60=1,"OK","Check"),"n/a")</f>
        <v>n/a</v>
      </c>
      <c r="S60" s="50" t="n">
        <f aca="false">COUNTIF(B60:R60,"Check")+COUNTIF(T60:AG60,"Check")+AH60+COUNTIF(AI60,"Check")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29" t="n">
        <f aca="false">COUNTIF(AA60:AG60,"Unverified")</f>
        <v>0</v>
      </c>
      <c r="AI60" s="1" t="str">
        <f aca="false">IF(OR($A60&lt;1918,$A60&gt;1932),"n/a",INDEX(Siberia!$H$38:$H$52,MATCH($A60,Siberia!$A$38:$A$52,0)))</f>
        <v>n/a</v>
      </c>
    </row>
    <row r="61" customFormat="false" ht="14.9" hidden="false" customHeight="false" outlineLevel="0" collapsed="false">
      <c r="A61" s="61" t="n">
        <v>1901</v>
      </c>
      <c r="B61" s="97" t="str">
        <f aca="false">IF(ABS(People!L61-(People!B61+People!C61+People!D61+People!K61))&lt;1,"OK","Check")</f>
        <v>OK</v>
      </c>
      <c r="C61" s="97" t="str">
        <f aca="false">IF(ABS('Debt &amp; cash'!M61-'Debt &amp; cash'!E61)&lt;0.001,"OK","Check")</f>
        <v>OK</v>
      </c>
      <c r="D61" s="97" t="str">
        <f aca="false">IF('Debt &amp; cash'!S61&gt;=-0.001,"OK","Check")</f>
        <v>OK</v>
      </c>
      <c r="E61" s="98" t="n">
        <f aca="false">'Debt &amp; cash'!V61</f>
        <v>0.05</v>
      </c>
      <c r="F61" s="97" t="str">
        <f aca="false">IF($A61&lt;1887,"n/a",IF(E61&lt;=cap_debt,"OK","Check"))</f>
        <v>OK</v>
      </c>
      <c r="G61" s="98" t="n">
        <f aca="false">'Debt &amp; cash'!W61</f>
        <v>0.0186845793072028</v>
      </c>
      <c r="H61" s="97" t="str">
        <f aca="false">IF($A61&lt;1887,"n/a",IF(G61&lt;=cap_int,"OK","Check"))</f>
        <v>OK</v>
      </c>
      <c r="I61" s="98" t="n">
        <f aca="false">Budget!AC61</f>
        <v>0.00764521914109575</v>
      </c>
      <c r="J61" s="97" t="str">
        <f aca="false">IF($A61&lt;1887,"n/a",IF(Paths!AC61=1,"War year",IF(I61&lt;=cap_def,"OK","Check")))</f>
        <v>OK</v>
      </c>
      <c r="K61" s="66" t="n">
        <f aca="false">'Debt &amp; cash'!Y61/Economy!O61</f>
        <v>0.00913414231303983</v>
      </c>
      <c r="L61" s="97" t="str">
        <f aca="false">IF('Debt &amp; cash'!Y61*issue_price&lt;=mkt_capacity*Economy!O61+foreign_capacity,"OK","Check")</f>
        <v>OK</v>
      </c>
      <c r="M61" s="97" t="str">
        <f aca="false">IF($A61&lt;1900,"n/a",IF('Gold &amp; money'!K61&gt;=0,"OK","Check"))</f>
        <v>OK</v>
      </c>
      <c r="N61" s="98" t="n">
        <f aca="false">Japan!AA61</f>
        <v>0.168071905849097</v>
      </c>
      <c r="O61" s="97" t="str">
        <f aca="false">IF(N61&lt;=1,"OK","Check")</f>
        <v>OK</v>
      </c>
      <c r="P61" s="97" t="str">
        <f aca="false">IF($A61&lt;1922,"n/a",IF(AND(Navy!AE61&gt;=0.95,Navy!AE61&lt;=1.1),"OK","Check"))</f>
        <v>n/a</v>
      </c>
      <c r="Q61" s="97" t="str">
        <f aca="false">IF(Navy!Z61=0,"n/a",IF(Resources!K61&gt;=Navy!Z61,"OK","Check"))</f>
        <v>OK</v>
      </c>
      <c r="R61" s="97" t="str">
        <f aca="false">IF(AND(gulf_on=1,$A61=gulf_year),IF(Gulf!AF61=1,"OK","Check"),"n/a")</f>
        <v>n/a</v>
      </c>
      <c r="S61" s="50" t="n">
        <f aca="false">COUNTIF(B61:R61,"Check")+COUNTIF(T61:AG61,"Check")+AH61+COUNTIF(AI61,"Check")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29" t="n">
        <f aca="false">COUNTIF(AA61:AG61,"Unverified")</f>
        <v>0</v>
      </c>
      <c r="AI61" s="1" t="str">
        <f aca="false">IF(OR($A61&lt;1918,$A61&gt;1932),"n/a",INDEX(Siberia!$H$38:$H$52,MATCH($A61,Siberia!$A$38:$A$52,0)))</f>
        <v>n/a</v>
      </c>
    </row>
    <row r="62" customFormat="false" ht="14.9" hidden="false" customHeight="false" outlineLevel="0" collapsed="false">
      <c r="A62" s="61" t="n">
        <v>1902</v>
      </c>
      <c r="B62" s="97" t="str">
        <f aca="false">IF(ABS(People!L62-(People!B62+People!C62+People!D62+People!K62))&lt;1,"OK","Check")</f>
        <v>OK</v>
      </c>
      <c r="C62" s="97" t="str">
        <f aca="false">IF(ABS('Debt &amp; cash'!M62-'Debt &amp; cash'!E62)&lt;0.001,"OK","Check")</f>
        <v>OK</v>
      </c>
      <c r="D62" s="97" t="str">
        <f aca="false">IF('Debt &amp; cash'!S62&gt;=-0.001,"OK","Check")</f>
        <v>OK</v>
      </c>
      <c r="E62" s="98" t="n">
        <f aca="false">'Debt &amp; cash'!V62</f>
        <v>0.05</v>
      </c>
      <c r="F62" s="97" t="str">
        <f aca="false">IF($A62&lt;1887,"n/a",IF(E62&lt;=cap_debt,"OK","Check"))</f>
        <v>OK</v>
      </c>
      <c r="G62" s="98" t="n">
        <f aca="false">'Debt &amp; cash'!W62</f>
        <v>0.0184346111567612</v>
      </c>
      <c r="H62" s="97" t="str">
        <f aca="false">IF($A62&lt;1887,"n/a",IF(G62&lt;=cap_int,"OK","Check"))</f>
        <v>OK</v>
      </c>
      <c r="I62" s="98" t="n">
        <f aca="false">Budget!AC62</f>
        <v>0.00763136843122314</v>
      </c>
      <c r="J62" s="97" t="str">
        <f aca="false">IF($A62&lt;1887,"n/a",IF(Paths!AC62=1,"War year",IF(I62&lt;=cap_def,"OK","Check")))</f>
        <v>OK</v>
      </c>
      <c r="K62" s="66" t="n">
        <f aca="false">'Debt &amp; cash'!Y62/Economy!O62</f>
        <v>0.0103175987694906</v>
      </c>
      <c r="L62" s="97" t="str">
        <f aca="false">IF('Debt &amp; cash'!Y62*issue_price&lt;=mkt_capacity*Economy!O62+foreign_capacity,"OK","Check")</f>
        <v>OK</v>
      </c>
      <c r="M62" s="97" t="str">
        <f aca="false">IF($A62&lt;1900,"n/a",IF('Gold &amp; money'!K62&gt;=0,"OK","Check"))</f>
        <v>OK</v>
      </c>
      <c r="N62" s="98" t="n">
        <f aca="false">Japan!AA62</f>
        <v>0.152366719135451</v>
      </c>
      <c r="O62" s="97" t="str">
        <f aca="false">IF(N62&lt;=1,"OK","Check")</f>
        <v>OK</v>
      </c>
      <c r="P62" s="97" t="str">
        <f aca="false">IF($A62&lt;1922,"n/a",IF(AND(Navy!AE62&gt;=0.95,Navy!AE62&lt;=1.1),"OK","Check"))</f>
        <v>n/a</v>
      </c>
      <c r="Q62" s="97" t="str">
        <f aca="false">IF(Navy!Z62=0,"n/a",IF(Resources!K62&gt;=Navy!Z62,"OK","Check"))</f>
        <v>OK</v>
      </c>
      <c r="R62" s="97" t="str">
        <f aca="false">IF(AND(gulf_on=1,$A62=gulf_year),IF(Gulf!AF62=1,"OK","Check"),"n/a")</f>
        <v>n/a</v>
      </c>
      <c r="S62" s="50" t="n">
        <f aca="false">COUNTIF(B62:R62,"Check")+COUNTIF(T62:AG62,"Check")+AH62+COUNTIF(AI62,"Check")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29" t="n">
        <f aca="false">COUNTIF(AA62:AG62,"Unverified")</f>
        <v>0</v>
      </c>
      <c r="AI62" s="1" t="str">
        <f aca="false">IF(OR($A62&lt;1918,$A62&gt;1932),"n/a",INDEX(Siberia!$H$38:$H$52,MATCH($A62,Siberia!$A$38:$A$52,0)))</f>
        <v>n/a</v>
      </c>
    </row>
    <row r="63" customFormat="false" ht="14.9" hidden="false" customHeight="false" outlineLevel="0" collapsed="false">
      <c r="A63" s="61" t="n">
        <v>1903</v>
      </c>
      <c r="B63" s="97" t="str">
        <f aca="false">IF(ABS(People!L63-(People!B63+People!C63+People!D63+People!K63))&lt;1,"OK","Check")</f>
        <v>OK</v>
      </c>
      <c r="C63" s="97" t="str">
        <f aca="false">IF(ABS('Debt &amp; cash'!M63-'Debt &amp; cash'!E63)&lt;0.001,"OK","Check")</f>
        <v>OK</v>
      </c>
      <c r="D63" s="97" t="str">
        <f aca="false">IF('Debt &amp; cash'!S63&gt;=-0.001,"OK","Check")</f>
        <v>OK</v>
      </c>
      <c r="E63" s="98" t="n">
        <f aca="false">'Debt &amp; cash'!V63</f>
        <v>0.05</v>
      </c>
      <c r="F63" s="97" t="str">
        <f aca="false">IF($A63&lt;1887,"n/a",IF(E63&lt;=cap_debt,"OK","Check"))</f>
        <v>OK</v>
      </c>
      <c r="G63" s="98" t="n">
        <f aca="false">'Debt &amp; cash'!W63</f>
        <v>0.0181951755729243</v>
      </c>
      <c r="H63" s="97" t="str">
        <f aca="false">IF($A63&lt;1887,"n/a",IF(G63&lt;=cap_int,"OK","Check"))</f>
        <v>OK</v>
      </c>
      <c r="I63" s="98" t="n">
        <f aca="false">Budget!AC63</f>
        <v>0.00749896008992455</v>
      </c>
      <c r="J63" s="97" t="str">
        <f aca="false">IF($A63&lt;1887,"n/a",IF(Paths!AC63=1,"War year",IF(I63&lt;=cap_def,"OK","Check")))</f>
        <v>OK</v>
      </c>
      <c r="K63" s="66" t="n">
        <f aca="false">'Debt &amp; cash'!Y63/Economy!O63</f>
        <v>0.0104826017821635</v>
      </c>
      <c r="L63" s="97" t="str">
        <f aca="false">IF('Debt &amp; cash'!Y63*issue_price&lt;=mkt_capacity*Economy!O63+foreign_capacity,"OK","Check")</f>
        <v>OK</v>
      </c>
      <c r="M63" s="97" t="str">
        <f aca="false">IF($A63&lt;1900,"n/a",IF('Gold &amp; money'!K63&gt;=0,"OK","Check"))</f>
        <v>OK</v>
      </c>
      <c r="N63" s="98" t="n">
        <f aca="false">Japan!AA63</f>
        <v>0.135845380256934</v>
      </c>
      <c r="O63" s="97" t="str">
        <f aca="false">IF(N63&lt;=1,"OK","Check")</f>
        <v>OK</v>
      </c>
      <c r="P63" s="97" t="str">
        <f aca="false">IF($A63&lt;1922,"n/a",IF(AND(Navy!AE63&gt;=0.95,Navy!AE63&lt;=1.1),"OK","Check"))</f>
        <v>n/a</v>
      </c>
      <c r="Q63" s="97" t="str">
        <f aca="false">IF(Navy!Z63=0,"n/a",IF(Resources!K63&gt;=Navy!Z63,"OK","Check"))</f>
        <v>OK</v>
      </c>
      <c r="R63" s="97" t="str">
        <f aca="false">IF(AND(gulf_on=1,$A63=gulf_year),IF(Gulf!AF63=1,"OK","Check"),"n/a")</f>
        <v>n/a</v>
      </c>
      <c r="S63" s="50" t="n">
        <f aca="false">COUNTIF(B63:R63,"Check")+COUNTIF(T63:AG63,"Check")+AH63+COUNTIF(AI63,"Check")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29" t="n">
        <f aca="false">COUNTIF(AA63:AG63,"Unverified")</f>
        <v>0</v>
      </c>
      <c r="AI63" s="1" t="str">
        <f aca="false">IF(OR($A63&lt;1918,$A63&gt;1932),"n/a",INDEX(Siberia!$H$38:$H$52,MATCH($A63,Siberia!$A$38:$A$52,0)))</f>
        <v>n/a</v>
      </c>
    </row>
    <row r="64" customFormat="false" ht="14.9" hidden="false" customHeight="false" outlineLevel="0" collapsed="false">
      <c r="A64" s="61" t="n">
        <v>1904</v>
      </c>
      <c r="B64" s="97" t="str">
        <f aca="false">IF(ABS(People!L64-(People!B64+People!C64+People!D64+People!K64))&lt;1,"OK","Check")</f>
        <v>OK</v>
      </c>
      <c r="C64" s="97" t="str">
        <f aca="false">IF(ABS('Debt &amp; cash'!M64-'Debt &amp; cash'!E64)&lt;0.001,"OK","Check")</f>
        <v>OK</v>
      </c>
      <c r="D64" s="97" t="str">
        <f aca="false">IF('Debt &amp; cash'!S64&gt;=-0.001,"OK","Check")</f>
        <v>OK</v>
      </c>
      <c r="E64" s="98" t="n">
        <f aca="false">'Debt &amp; cash'!V64</f>
        <v>0.05</v>
      </c>
      <c r="F64" s="97" t="str">
        <f aca="false">IF($A64&lt;1887,"n/a",IF(E64&lt;=cap_debt,"OK","Check"))</f>
        <v>OK</v>
      </c>
      <c r="G64" s="98" t="n">
        <f aca="false">'Debt &amp; cash'!W64</f>
        <v>0.0180038073337523</v>
      </c>
      <c r="H64" s="97" t="str">
        <f aca="false">IF($A64&lt;1887,"n/a",IF(G64&lt;=cap_int,"OK","Check"))</f>
        <v>OK</v>
      </c>
      <c r="I64" s="98" t="n">
        <f aca="false">Budget!AC64</f>
        <v>0.00759370445216711</v>
      </c>
      <c r="J64" s="97" t="str">
        <f aca="false">IF($A64&lt;1887,"n/a",IF(Paths!AC64=1,"War year",IF(I64&lt;=cap_def,"OK","Check")))</f>
        <v>OK</v>
      </c>
      <c r="K64" s="66" t="n">
        <f aca="false">'Debt &amp; cash'!Y64/Economy!O64</f>
        <v>0.00914794197598529</v>
      </c>
      <c r="L64" s="97" t="str">
        <f aca="false">IF('Debt &amp; cash'!Y64*issue_price&lt;=mkt_capacity*Economy!O64+foreign_capacity,"OK","Check")</f>
        <v>OK</v>
      </c>
      <c r="M64" s="97" t="str">
        <f aca="false">IF($A64&lt;1900,"n/a",IF('Gold &amp; money'!K64&gt;=0,"OK","Check"))</f>
        <v>OK</v>
      </c>
      <c r="N64" s="98" t="n">
        <f aca="false">Japan!AA64</f>
        <v>0.282276222534946</v>
      </c>
      <c r="O64" s="97" t="str">
        <f aca="false">IF(N64&lt;=1,"OK","Check")</f>
        <v>OK</v>
      </c>
      <c r="P64" s="97" t="str">
        <f aca="false">IF($A64&lt;1922,"n/a",IF(AND(Navy!AE64&gt;=0.95,Navy!AE64&lt;=1.1),"OK","Check"))</f>
        <v>n/a</v>
      </c>
      <c r="Q64" s="97" t="str">
        <f aca="false">IF(Navy!Z64=0,"n/a",IF(Resources!K64&gt;=Navy!Z64,"OK","Check"))</f>
        <v>OK</v>
      </c>
      <c r="R64" s="97" t="str">
        <f aca="false">IF(AND(gulf_on=1,$A64=gulf_year),IF(Gulf!AF64=1,"OK","Check"),"n/a")</f>
        <v>n/a</v>
      </c>
      <c r="S64" s="50" t="n">
        <f aca="false">COUNTIF(B64:R64,"Check")+COUNTIF(T64:AG64,"Check")+AH64+COUNTIF(AI64,"Check")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29" t="n">
        <f aca="false">COUNTIF(AA64:AG64,"Unverified")</f>
        <v>0</v>
      </c>
      <c r="AI64" s="1" t="str">
        <f aca="false">IF(OR($A64&lt;1918,$A64&gt;1932),"n/a",INDEX(Siberia!$H$38:$H$52,MATCH($A64,Siberia!$A$38:$A$52,0)))</f>
        <v>n/a</v>
      </c>
    </row>
    <row r="65" customFormat="false" ht="14.9" hidden="false" customHeight="false" outlineLevel="0" collapsed="false">
      <c r="A65" s="61" t="n">
        <v>1905</v>
      </c>
      <c r="B65" s="97" t="str">
        <f aca="false">IF(ABS(People!L65-(People!B65+People!C65+People!D65+People!K65))&lt;1,"OK","Check")</f>
        <v>OK</v>
      </c>
      <c r="C65" s="97" t="str">
        <f aca="false">IF(ABS('Debt &amp; cash'!M65-'Debt &amp; cash'!E65)&lt;0.001,"OK","Check")</f>
        <v>OK</v>
      </c>
      <c r="D65" s="97" t="str">
        <f aca="false">IF('Debt &amp; cash'!S65&gt;=-0.001,"OK","Check")</f>
        <v>OK</v>
      </c>
      <c r="E65" s="98" t="n">
        <f aca="false">'Debt &amp; cash'!V65</f>
        <v>0.05</v>
      </c>
      <c r="F65" s="97" t="str">
        <f aca="false">IF($A65&lt;1887,"n/a",IF(E65&lt;=cap_debt,"OK","Check"))</f>
        <v>OK</v>
      </c>
      <c r="G65" s="98" t="n">
        <f aca="false">'Debt &amp; cash'!W65</f>
        <v>0.017815104464526</v>
      </c>
      <c r="H65" s="97" t="str">
        <f aca="false">IF($A65&lt;1887,"n/a",IF(G65&lt;=cap_int,"OK","Check"))</f>
        <v>OK</v>
      </c>
      <c r="I65" s="98" t="n">
        <f aca="false">Budget!AC65</f>
        <v>0.00816728498119424</v>
      </c>
      <c r="J65" s="97" t="str">
        <f aca="false">IF($A65&lt;1887,"n/a",IF(Paths!AC65=1,"War year",IF(I65&lt;=cap_def,"OK","Check")))</f>
        <v>OK</v>
      </c>
      <c r="K65" s="66" t="n">
        <f aca="false">'Debt &amp; cash'!Y65/Economy!O65</f>
        <v>0.00901713512167334</v>
      </c>
      <c r="L65" s="97" t="str">
        <f aca="false">IF('Debt &amp; cash'!Y65*issue_price&lt;=mkt_capacity*Economy!O65+foreign_capacity,"OK","Check")</f>
        <v>OK</v>
      </c>
      <c r="M65" s="97" t="str">
        <f aca="false">IF($A65&lt;1900,"n/a",IF('Gold &amp; money'!K65&gt;=0,"OK","Check"))</f>
        <v>OK</v>
      </c>
      <c r="N65" s="98" t="n">
        <f aca="false">Japan!AA65</f>
        <v>0.434370629924488</v>
      </c>
      <c r="O65" s="97" t="str">
        <f aca="false">IF(N65&lt;=1,"OK","Check")</f>
        <v>OK</v>
      </c>
      <c r="P65" s="97" t="str">
        <f aca="false">IF($A65&lt;1922,"n/a",IF(AND(Navy!AE65&gt;=0.95,Navy!AE65&lt;=1.1),"OK","Check"))</f>
        <v>n/a</v>
      </c>
      <c r="Q65" s="97" t="str">
        <f aca="false">IF(Navy!Z65=0,"n/a",IF(Resources!K65&gt;=Navy!Z65,"OK","Check"))</f>
        <v>OK</v>
      </c>
      <c r="R65" s="97" t="str">
        <f aca="false">IF(AND(gulf_on=1,$A65=gulf_year),IF(Gulf!AF65=1,"OK","Check"),"n/a")</f>
        <v>n/a</v>
      </c>
      <c r="S65" s="50" t="n">
        <f aca="false">COUNTIF(B65:R65,"Check")+COUNTIF(T65:AG65,"Check")+AH65+COUNTIF(AI65,"Check")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29" t="n">
        <f aca="false">COUNTIF(AA65:AG65,"Unverified")</f>
        <v>0</v>
      </c>
      <c r="AI65" s="1" t="str">
        <f aca="false">IF(OR($A65&lt;1918,$A65&gt;1932),"n/a",INDEX(Siberia!$H$38:$H$52,MATCH($A65,Siberia!$A$38:$A$52,0)))</f>
        <v>n/a</v>
      </c>
    </row>
    <row r="66" customFormat="false" ht="14.9" hidden="false" customHeight="false" outlineLevel="0" collapsed="false">
      <c r="A66" s="61" t="n">
        <v>1906</v>
      </c>
      <c r="B66" s="97" t="str">
        <f aca="false">IF(ABS(People!L66-(People!B66+People!C66+People!D66+People!K66))&lt;1,"OK","Check")</f>
        <v>OK</v>
      </c>
      <c r="C66" s="97" t="str">
        <f aca="false">IF(ABS('Debt &amp; cash'!M66-'Debt &amp; cash'!E66)&lt;0.001,"OK","Check")</f>
        <v>OK</v>
      </c>
      <c r="D66" s="97" t="str">
        <f aca="false">IF('Debt &amp; cash'!S66&gt;=-0.001,"OK","Check")</f>
        <v>OK</v>
      </c>
      <c r="E66" s="98" t="n">
        <f aca="false">'Debt &amp; cash'!V66</f>
        <v>0.05</v>
      </c>
      <c r="F66" s="97" t="str">
        <f aca="false">IF($A66&lt;1887,"n/a",IF(E66&lt;=cap_debt,"OK","Check"))</f>
        <v>OK</v>
      </c>
      <c r="G66" s="98" t="n">
        <f aca="false">'Debt &amp; cash'!W66</f>
        <v>0.0180865156626842</v>
      </c>
      <c r="H66" s="97" t="str">
        <f aca="false">IF($A66&lt;1887,"n/a",IF(G66&lt;=cap_int,"OK","Check"))</f>
        <v>OK</v>
      </c>
      <c r="I66" s="98" t="n">
        <f aca="false">Budget!AC66</f>
        <v>0.00790157770711276</v>
      </c>
      <c r="J66" s="97" t="str">
        <f aca="false">IF($A66&lt;1887,"n/a",IF(Paths!AC66=1,"War year",IF(I66&lt;=cap_def,"OK","Check")))</f>
        <v>OK</v>
      </c>
      <c r="K66" s="66" t="n">
        <f aca="false">'Debt &amp; cash'!Y66/Economy!O66</f>
        <v>0.0105653125483401</v>
      </c>
      <c r="L66" s="97" t="str">
        <f aca="false">IF('Debt &amp; cash'!Y66*issue_price&lt;=mkt_capacity*Economy!O66+foreign_capacity,"OK","Check")</f>
        <v>OK</v>
      </c>
      <c r="M66" s="97" t="str">
        <f aca="false">IF($A66&lt;1900,"n/a",IF('Gold &amp; money'!K66&gt;=0,"OK","Check"))</f>
        <v>OK</v>
      </c>
      <c r="N66" s="98" t="n">
        <f aca="false">Japan!AA66</f>
        <v>0.386305107293137</v>
      </c>
      <c r="O66" s="97" t="str">
        <f aca="false">IF(N66&lt;=1,"OK","Check")</f>
        <v>OK</v>
      </c>
      <c r="P66" s="97" t="str">
        <f aca="false">IF($A66&lt;1922,"n/a",IF(AND(Navy!AE66&gt;=0.95,Navy!AE66&lt;=1.1),"OK","Check"))</f>
        <v>n/a</v>
      </c>
      <c r="Q66" s="97" t="str">
        <f aca="false">IF(Navy!Z66=0,"n/a",IF(Resources!K66&gt;=Navy!Z66,"OK","Check"))</f>
        <v>OK</v>
      </c>
      <c r="R66" s="97" t="str">
        <f aca="false">IF(AND(gulf_on=1,$A66=gulf_year),IF(Gulf!AF66=1,"OK","Check"),"n/a")</f>
        <v>n/a</v>
      </c>
      <c r="S66" s="50" t="n">
        <f aca="false">COUNTIF(B66:R66,"Check")+COUNTIF(T66:AG66,"Check")+AH66+COUNTIF(AI66,"Check")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29" t="n">
        <f aca="false">COUNTIF(AA66:AG66,"Unverified")</f>
        <v>0</v>
      </c>
      <c r="AI66" s="1" t="str">
        <f aca="false">IF(OR($A66&lt;1918,$A66&gt;1932),"n/a",INDEX(Siberia!$H$38:$H$52,MATCH($A66,Siberia!$A$38:$A$52,0)))</f>
        <v>n/a</v>
      </c>
    </row>
    <row r="67" customFormat="false" ht="14.9" hidden="false" customHeight="false" outlineLevel="0" collapsed="false">
      <c r="A67" s="61" t="n">
        <v>1907</v>
      </c>
      <c r="B67" s="97" t="str">
        <f aca="false">IF(ABS(People!L67-(People!B67+People!C67+People!D67+People!K67))&lt;1,"OK","Check")</f>
        <v>OK</v>
      </c>
      <c r="C67" s="97" t="str">
        <f aca="false">IF(ABS('Debt &amp; cash'!M67-'Debt &amp; cash'!E67)&lt;0.001,"OK","Check")</f>
        <v>OK</v>
      </c>
      <c r="D67" s="97" t="str">
        <f aca="false">IF('Debt &amp; cash'!S67&gt;=-0.001,"OK","Check")</f>
        <v>OK</v>
      </c>
      <c r="E67" s="98" t="n">
        <f aca="false">'Debt &amp; cash'!V67</f>
        <v>0.05</v>
      </c>
      <c r="F67" s="97" t="str">
        <f aca="false">IF($A67&lt;1887,"n/a",IF(E67&lt;=cap_debt,"OK","Check"))</f>
        <v>OK</v>
      </c>
      <c r="G67" s="98" t="n">
        <f aca="false">'Debt &amp; cash'!W67</f>
        <v>0.0189566712454486</v>
      </c>
      <c r="H67" s="97" t="str">
        <f aca="false">IF($A67&lt;1887,"n/a",IF(G67&lt;=cap_int,"OK","Check"))</f>
        <v>OK</v>
      </c>
      <c r="I67" s="98" t="n">
        <f aca="false">Budget!AC67</f>
        <v>0.00737601203342313</v>
      </c>
      <c r="J67" s="97" t="str">
        <f aca="false">IF($A67&lt;1887,"n/a",IF(Paths!AC67=1,"War year",IF(I67&lt;=cap_def,"OK","Check")))</f>
        <v>OK</v>
      </c>
      <c r="K67" s="66" t="n">
        <f aca="false">'Debt &amp; cash'!Y67/Economy!O67</f>
        <v>0.00987234571169165</v>
      </c>
      <c r="L67" s="97" t="str">
        <f aca="false">IF('Debt &amp; cash'!Y67*issue_price&lt;=mkt_capacity*Economy!O67+foreign_capacity,"OK","Check")</f>
        <v>OK</v>
      </c>
      <c r="M67" s="97" t="str">
        <f aca="false">IF($A67&lt;1900,"n/a",IF('Gold &amp; money'!K67&gt;=0,"OK","Check"))</f>
        <v>OK</v>
      </c>
      <c r="N67" s="98" t="n">
        <f aca="false">Japan!AA67</f>
        <v>0.340355755480092</v>
      </c>
      <c r="O67" s="97" t="str">
        <f aca="false">IF(N67&lt;=1,"OK","Check")</f>
        <v>OK</v>
      </c>
      <c r="P67" s="97" t="str">
        <f aca="false">IF($A67&lt;1922,"n/a",IF(AND(Navy!AE67&gt;=0.95,Navy!AE67&lt;=1.1),"OK","Check"))</f>
        <v>n/a</v>
      </c>
      <c r="Q67" s="97" t="str">
        <f aca="false">IF(Navy!Z67=0,"n/a",IF(Resources!K67&gt;=Navy!Z67,"OK","Check"))</f>
        <v>OK</v>
      </c>
      <c r="R67" s="97" t="str">
        <f aca="false">IF(AND(gulf_on=1,$A67=gulf_year),IF(Gulf!AF67=1,"OK","Check"),"n/a")</f>
        <v>n/a</v>
      </c>
      <c r="S67" s="50" t="n">
        <f aca="false">COUNTIF(B67:R67,"Check")+COUNTIF(T67:AG67,"Check")+AH67+COUNTIF(AI67,"Check")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29" t="n">
        <f aca="false">COUNTIF(AA67:AG67,"Unverified")</f>
        <v>0</v>
      </c>
      <c r="AI67" s="1" t="str">
        <f aca="false">IF(OR($A67&lt;1918,$A67&gt;1932),"n/a",INDEX(Siberia!$H$38:$H$52,MATCH($A67,Siberia!$A$38:$A$52,0)))</f>
        <v>n/a</v>
      </c>
    </row>
    <row r="68" customFormat="false" ht="14.9" hidden="false" customHeight="false" outlineLevel="0" collapsed="false">
      <c r="A68" s="61" t="n">
        <v>1908</v>
      </c>
      <c r="B68" s="97" t="str">
        <f aca="false">IF(ABS(People!L68-(People!B68+People!C68+People!D68+People!K68))&lt;1,"OK","Check")</f>
        <v>OK</v>
      </c>
      <c r="C68" s="97" t="str">
        <f aca="false">IF(ABS('Debt &amp; cash'!M68-'Debt &amp; cash'!E68)&lt;0.001,"OK","Check")</f>
        <v>OK</v>
      </c>
      <c r="D68" s="97" t="str">
        <f aca="false">IF('Debt &amp; cash'!S68&gt;=-0.001,"OK","Check")</f>
        <v>OK</v>
      </c>
      <c r="E68" s="98" t="n">
        <f aca="false">'Debt &amp; cash'!V68</f>
        <v>0.05</v>
      </c>
      <c r="F68" s="97" t="str">
        <f aca="false">IF($A68&lt;1887,"n/a",IF(E68&lt;=cap_debt,"OK","Check"))</f>
        <v>OK</v>
      </c>
      <c r="G68" s="98" t="n">
        <f aca="false">'Debt &amp; cash'!W68</f>
        <v>0.020097915037759</v>
      </c>
      <c r="H68" s="97" t="str">
        <f aca="false">IF($A68&lt;1887,"n/a",IF(G68&lt;=cap_int,"OK","Check"))</f>
        <v>OK</v>
      </c>
      <c r="I68" s="98" t="n">
        <f aca="false">Budget!AC68</f>
        <v>0.00743317778817569</v>
      </c>
      <c r="J68" s="97" t="str">
        <f aca="false">IF($A68&lt;1887,"n/a",IF(Paths!AC68=1,"War year",IF(I68&lt;=cap_def,"OK","Check")))</f>
        <v>OK</v>
      </c>
      <c r="K68" s="66" t="n">
        <f aca="false">'Debt &amp; cash'!Y68/Economy!O68</f>
        <v>0.00861676129746172</v>
      </c>
      <c r="L68" s="97" t="str">
        <f aca="false">IF('Debt &amp; cash'!Y68*issue_price&lt;=mkt_capacity*Economy!O68+foreign_capacity,"OK","Check")</f>
        <v>OK</v>
      </c>
      <c r="M68" s="97" t="str">
        <f aca="false">IF($A68&lt;1900,"n/a",IF('Gold &amp; money'!K68&gt;=0,"OK","Check"))</f>
        <v>OK</v>
      </c>
      <c r="N68" s="98" t="n">
        <f aca="false">Japan!AA68</f>
        <v>0.296068076397289</v>
      </c>
      <c r="O68" s="97" t="str">
        <f aca="false">IF(N68&lt;=1,"OK","Check")</f>
        <v>OK</v>
      </c>
      <c r="P68" s="97" t="str">
        <f aca="false">IF($A68&lt;1922,"n/a",IF(AND(Navy!AE68&gt;=0.95,Navy!AE68&lt;=1.1),"OK","Check"))</f>
        <v>n/a</v>
      </c>
      <c r="Q68" s="97" t="str">
        <f aca="false">IF(Navy!Z68=0,"n/a",IF(Resources!K68&gt;=Navy!Z68,"OK","Check"))</f>
        <v>OK</v>
      </c>
      <c r="R68" s="97" t="str">
        <f aca="false">IF(AND(gulf_on=1,$A68=gulf_year),IF(Gulf!AF68=1,"OK","Check"),"n/a")</f>
        <v>n/a</v>
      </c>
      <c r="S68" s="50" t="n">
        <f aca="false">COUNTIF(B68:R68,"Check")+COUNTIF(T68:AG68,"Check")+AH68+COUNTIF(AI68,"Check")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29" t="n">
        <f aca="false">COUNTIF(AA68:AG68,"Unverified")</f>
        <v>0</v>
      </c>
      <c r="AI68" s="1" t="str">
        <f aca="false">IF(OR($A68&lt;1918,$A68&gt;1932),"n/a",INDEX(Siberia!$H$38:$H$52,MATCH($A68,Siberia!$A$38:$A$52,0)))</f>
        <v>n/a</v>
      </c>
    </row>
    <row r="69" customFormat="false" ht="14.9" hidden="false" customHeight="false" outlineLevel="0" collapsed="false">
      <c r="A69" s="61" t="n">
        <v>1909</v>
      </c>
      <c r="B69" s="97" t="str">
        <f aca="false">IF(ABS(People!L69-(People!B69+People!C69+People!D69+People!K69))&lt;1,"OK","Check")</f>
        <v>OK</v>
      </c>
      <c r="C69" s="97" t="str">
        <f aca="false">IF(ABS('Debt &amp; cash'!M69-'Debt &amp; cash'!E69)&lt;0.001,"OK","Check")</f>
        <v>OK</v>
      </c>
      <c r="D69" s="97" t="str">
        <f aca="false">IF('Debt &amp; cash'!S69&gt;=-0.001,"OK","Check")</f>
        <v>OK</v>
      </c>
      <c r="E69" s="98" t="n">
        <f aca="false">'Debt &amp; cash'!V69</f>
        <v>0.05</v>
      </c>
      <c r="F69" s="97" t="str">
        <f aca="false">IF($A69&lt;1887,"n/a",IF(E69&lt;=cap_debt,"OK","Check"))</f>
        <v>OK</v>
      </c>
      <c r="G69" s="98" t="n">
        <f aca="false">'Debt &amp; cash'!W69</f>
        <v>0.0190192570515258</v>
      </c>
      <c r="H69" s="97" t="str">
        <f aca="false">IF($A69&lt;1887,"n/a",IF(G69&lt;=cap_int,"OK","Check"))</f>
        <v>OK</v>
      </c>
      <c r="I69" s="98" t="n">
        <f aca="false">Budget!AC69</f>
        <v>0.00765781781430826</v>
      </c>
      <c r="J69" s="97" t="str">
        <f aca="false">IF($A69&lt;1887,"n/a",IF(Paths!AC69=1,"War year",IF(I69&lt;=cap_def,"OK","Check")))</f>
        <v>OK</v>
      </c>
      <c r="K69" s="66" t="n">
        <f aca="false">'Debt &amp; cash'!Y69/Economy!O69</f>
        <v>0.0118054242361423</v>
      </c>
      <c r="L69" s="97" t="str">
        <f aca="false">IF('Debt &amp; cash'!Y69*issue_price&lt;=mkt_capacity*Economy!O69+foreign_capacity,"OK","Check")</f>
        <v>OK</v>
      </c>
      <c r="M69" s="97" t="str">
        <f aca="false">IF($A69&lt;1900,"n/a",IF('Gold &amp; money'!K69&gt;=0,"OK","Check"))</f>
        <v>OK</v>
      </c>
      <c r="N69" s="98" t="n">
        <f aca="false">Japan!AA69</f>
        <v>0.253086767595753</v>
      </c>
      <c r="O69" s="97" t="str">
        <f aca="false">IF(N69&lt;=1,"OK","Check")</f>
        <v>OK</v>
      </c>
      <c r="P69" s="97" t="str">
        <f aca="false">IF($A69&lt;1922,"n/a",IF(AND(Navy!AE69&gt;=0.95,Navy!AE69&lt;=1.1),"OK","Check"))</f>
        <v>n/a</v>
      </c>
      <c r="Q69" s="97" t="str">
        <f aca="false">IF(Navy!Z69=0,"n/a",IF(Resources!K69&gt;=Navy!Z69,"OK","Check"))</f>
        <v>OK</v>
      </c>
      <c r="R69" s="97" t="str">
        <f aca="false">IF(AND(gulf_on=1,$A69=gulf_year),IF(Gulf!AF69=1,"OK","Check"),"n/a")</f>
        <v>n/a</v>
      </c>
      <c r="S69" s="50" t="n">
        <f aca="false">COUNTIF(B69:R69,"Check")+COUNTIF(T69:AG69,"Check")+AH69+COUNTIF(AI69,"Check")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29" t="n">
        <f aca="false">COUNTIF(AA69:AG69,"Unverified")</f>
        <v>0</v>
      </c>
      <c r="AI69" s="1" t="str">
        <f aca="false">IF(OR($A69&lt;1918,$A69&gt;1932),"n/a",INDEX(Siberia!$H$38:$H$52,MATCH($A69,Siberia!$A$38:$A$52,0)))</f>
        <v>n/a</v>
      </c>
    </row>
    <row r="70" customFormat="false" ht="14.9" hidden="false" customHeight="false" outlineLevel="0" collapsed="false">
      <c r="A70" s="61" t="n">
        <v>1910</v>
      </c>
      <c r="B70" s="97" t="str">
        <f aca="false">IF(ABS(People!L70-(People!B70+People!C70+People!D70+People!K70))&lt;1,"OK","Check")</f>
        <v>OK</v>
      </c>
      <c r="C70" s="97" t="str">
        <f aca="false">IF(ABS('Debt &amp; cash'!M70-'Debt &amp; cash'!E70)&lt;0.001,"OK","Check")</f>
        <v>OK</v>
      </c>
      <c r="D70" s="97" t="str">
        <f aca="false">IF('Debt &amp; cash'!S70&gt;=-0.001,"OK","Check")</f>
        <v>OK</v>
      </c>
      <c r="E70" s="98" t="n">
        <f aca="false">'Debt &amp; cash'!V70</f>
        <v>0.05</v>
      </c>
      <c r="F70" s="97" t="str">
        <f aca="false">IF($A70&lt;1887,"n/a",IF(E70&lt;=cap_debt,"OK","Check"))</f>
        <v>OK</v>
      </c>
      <c r="G70" s="98" t="n">
        <f aca="false">'Debt &amp; cash'!W70</f>
        <v>0.020599477107365</v>
      </c>
      <c r="H70" s="97" t="str">
        <f aca="false">IF($A70&lt;1887,"n/a",IF(G70&lt;=cap_int,"OK","Check"))</f>
        <v>OK</v>
      </c>
      <c r="I70" s="98" t="n">
        <f aca="false">Budget!AC70</f>
        <v>0.00759423134781285</v>
      </c>
      <c r="J70" s="97" t="str">
        <f aca="false">IF($A70&lt;1887,"n/a",IF(Paths!AC70=1,"War year",IF(I70&lt;=cap_def,"OK","Check")))</f>
        <v>OK</v>
      </c>
      <c r="K70" s="66" t="n">
        <f aca="false">'Debt &amp; cash'!Y70/Economy!O70</f>
        <v>0.00969683769948843</v>
      </c>
      <c r="L70" s="97" t="str">
        <f aca="false">IF('Debt &amp; cash'!Y70*issue_price&lt;=mkt_capacity*Economy!O70+foreign_capacity,"OK","Check")</f>
        <v>OK</v>
      </c>
      <c r="M70" s="97" t="str">
        <f aca="false">IF($A70&lt;1900,"n/a",IF('Gold &amp; money'!K70&gt;=0,"OK","Check"))</f>
        <v>OK</v>
      </c>
      <c r="N70" s="98" t="n">
        <f aca="false">Japan!AA70</f>
        <v>0.210887827292078</v>
      </c>
      <c r="O70" s="97" t="str">
        <f aca="false">IF(N70&lt;=1,"OK","Check")</f>
        <v>OK</v>
      </c>
      <c r="P70" s="97" t="str">
        <f aca="false">IF($A70&lt;1922,"n/a",IF(AND(Navy!AE70&gt;=0.95,Navy!AE70&lt;=1.1),"OK","Check"))</f>
        <v>n/a</v>
      </c>
      <c r="Q70" s="97" t="str">
        <f aca="false">IF(Navy!Z70=0,"n/a",IF(Resources!K70&gt;=Navy!Z70,"OK","Check"))</f>
        <v>OK</v>
      </c>
      <c r="R70" s="97" t="str">
        <f aca="false">IF(AND(gulf_on=1,$A70=gulf_year),IF(Gulf!AF70=1,"OK","Check"),"n/a")</f>
        <v>n/a</v>
      </c>
      <c r="S70" s="50" t="n">
        <f aca="false">COUNTIF(B70:R70,"Check")+COUNTIF(T70:AG70,"Check")+AH70+COUNTIF(AI70,"Check")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29" t="n">
        <f aca="false">COUNTIF(AA70:AG70,"Unverified")</f>
        <v>0</v>
      </c>
      <c r="AI70" s="1" t="str">
        <f aca="false">IF(OR($A70&lt;1918,$A70&gt;1932),"n/a",INDEX(Siberia!$H$38:$H$52,MATCH($A70,Siberia!$A$38:$A$52,0)))</f>
        <v>n/a</v>
      </c>
    </row>
    <row r="71" customFormat="false" ht="14.9" hidden="false" customHeight="false" outlineLevel="0" collapsed="false">
      <c r="A71" s="61" t="n">
        <v>1911</v>
      </c>
      <c r="B71" s="97" t="str">
        <f aca="false">IF(ABS(People!L71-(People!B71+People!C71+People!D71+People!K71))&lt;1,"OK","Check")</f>
        <v>OK</v>
      </c>
      <c r="C71" s="97" t="str">
        <f aca="false">IF(ABS('Debt &amp; cash'!M71-'Debt &amp; cash'!E71)&lt;0.001,"OK","Check")</f>
        <v>OK</v>
      </c>
      <c r="D71" s="97" t="str">
        <f aca="false">IF('Debt &amp; cash'!S71&gt;=-0.001,"OK","Check")</f>
        <v>OK</v>
      </c>
      <c r="E71" s="98" t="n">
        <f aca="false">'Debt &amp; cash'!V71</f>
        <v>0.05</v>
      </c>
      <c r="F71" s="97" t="str">
        <f aca="false">IF($A71&lt;1887,"n/a",IF(E71&lt;=cap_debt,"OK","Check"))</f>
        <v>OK</v>
      </c>
      <c r="G71" s="98" t="n">
        <f aca="false">'Debt &amp; cash'!W71</f>
        <v>0.0212432306955363</v>
      </c>
      <c r="H71" s="97" t="str">
        <f aca="false">IF($A71&lt;1887,"n/a",IF(G71&lt;=cap_int,"OK","Check"))</f>
        <v>OK</v>
      </c>
      <c r="I71" s="98" t="n">
        <f aca="false">Budget!AC71</f>
        <v>0.00768041081089991</v>
      </c>
      <c r="J71" s="97" t="str">
        <f aca="false">IF($A71&lt;1887,"n/a",IF(Paths!AC71=1,"War year",IF(I71&lt;=cap_def,"OK","Check")))</f>
        <v>OK</v>
      </c>
      <c r="K71" s="66" t="n">
        <f aca="false">'Debt &amp; cash'!Y71/Economy!O71</f>
        <v>0.00927619245129288</v>
      </c>
      <c r="L71" s="97" t="str">
        <f aca="false">IF('Debt &amp; cash'!Y71*issue_price&lt;=mkt_capacity*Economy!O71+foreign_capacity,"OK","Check")</f>
        <v>OK</v>
      </c>
      <c r="M71" s="97" t="str">
        <f aca="false">IF($A71&lt;1900,"n/a",IF('Gold &amp; money'!K71&gt;=0,"OK","Check"))</f>
        <v>OK</v>
      </c>
      <c r="N71" s="98" t="n">
        <f aca="false">Japan!AA71</f>
        <v>0.175823946928942</v>
      </c>
      <c r="O71" s="97" t="str">
        <f aca="false">IF(N71&lt;=1,"OK","Check")</f>
        <v>OK</v>
      </c>
      <c r="P71" s="97" t="str">
        <f aca="false">IF($A71&lt;1922,"n/a",IF(AND(Navy!AE71&gt;=0.95,Navy!AE71&lt;=1.1),"OK","Check"))</f>
        <v>n/a</v>
      </c>
      <c r="Q71" s="97" t="str">
        <f aca="false">IF(Navy!Z71=0,"n/a",IF(Resources!K71&gt;=Navy!Z71,"OK","Check"))</f>
        <v>OK</v>
      </c>
      <c r="R71" s="97" t="str">
        <f aca="false">IF(AND(gulf_on=1,$A71=gulf_year),IF(Gulf!AF71=1,"OK","Check"),"n/a")</f>
        <v>n/a</v>
      </c>
      <c r="S71" s="50" t="n">
        <f aca="false">COUNTIF(B71:R71,"Check")+COUNTIF(T71:AG71,"Check")+AH71+COUNTIF(AI71,"Check")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29" t="n">
        <f aca="false">COUNTIF(AA71:AG71,"Unverified")</f>
        <v>0</v>
      </c>
      <c r="AI71" s="1" t="str">
        <f aca="false">IF(OR($A71&lt;1918,$A71&gt;1932),"n/a",INDEX(Siberia!$H$38:$H$52,MATCH($A71,Siberia!$A$38:$A$52,0)))</f>
        <v>n/a</v>
      </c>
    </row>
    <row r="72" customFormat="false" ht="14.9" hidden="false" customHeight="false" outlineLevel="0" collapsed="false">
      <c r="A72" s="61" t="n">
        <v>1912</v>
      </c>
      <c r="B72" s="97" t="str">
        <f aca="false">IF(ABS(People!L72-(People!B72+People!C72+People!D72+People!K72))&lt;1,"OK","Check")</f>
        <v>OK</v>
      </c>
      <c r="C72" s="97" t="str">
        <f aca="false">IF(ABS('Debt &amp; cash'!M72-'Debt &amp; cash'!E72)&lt;0.001,"OK","Check")</f>
        <v>OK</v>
      </c>
      <c r="D72" s="97" t="str">
        <f aca="false">IF('Debt &amp; cash'!S72&gt;=-0.001,"OK","Check")</f>
        <v>OK</v>
      </c>
      <c r="E72" s="98" t="n">
        <f aca="false">'Debt &amp; cash'!V72</f>
        <v>0.05</v>
      </c>
      <c r="F72" s="97" t="str">
        <f aca="false">IF($A72&lt;1887,"n/a",IF(E72&lt;=cap_debt,"OK","Check"))</f>
        <v>OK</v>
      </c>
      <c r="G72" s="98" t="n">
        <f aca="false">'Debt &amp; cash'!W72</f>
        <v>0.0217870220882712</v>
      </c>
      <c r="H72" s="97" t="str">
        <f aca="false">IF($A72&lt;1887,"n/a",IF(G72&lt;=cap_int,"OK","Check"))</f>
        <v>OK</v>
      </c>
      <c r="I72" s="98" t="n">
        <f aca="false">Budget!AC72</f>
        <v>0.00750870055382929</v>
      </c>
      <c r="J72" s="97" t="str">
        <f aca="false">IF($A72&lt;1887,"n/a",IF(Paths!AC72=1,"War year",IF(I72&lt;=cap_def,"OK","Check")))</f>
        <v>OK</v>
      </c>
      <c r="K72" s="66" t="n">
        <f aca="false">'Debt &amp; cash'!Y72/Economy!O72</f>
        <v>0.00924012226095565</v>
      </c>
      <c r="L72" s="97" t="str">
        <f aca="false">IF('Debt &amp; cash'!Y72*issue_price&lt;=mkt_capacity*Economy!O72+foreign_capacity,"OK","Check")</f>
        <v>OK</v>
      </c>
      <c r="M72" s="97" t="str">
        <f aca="false">IF($A72&lt;1900,"n/a",IF('Gold &amp; money'!K72&gt;=0,"OK","Check"))</f>
        <v>OK</v>
      </c>
      <c r="N72" s="98" t="n">
        <f aca="false">Japan!AA72</f>
        <v>0.143205338289039</v>
      </c>
      <c r="O72" s="97" t="str">
        <f aca="false">IF(N72&lt;=1,"OK","Check")</f>
        <v>OK</v>
      </c>
      <c r="P72" s="97" t="str">
        <f aca="false">IF($A72&lt;1922,"n/a",IF(AND(Navy!AE72&gt;=0.95,Navy!AE72&lt;=1.1),"OK","Check"))</f>
        <v>n/a</v>
      </c>
      <c r="Q72" s="97" t="str">
        <f aca="false">IF(Navy!Z72=0,"n/a",IF(Resources!K72&gt;=Navy!Z72,"OK","Check"))</f>
        <v>OK</v>
      </c>
      <c r="R72" s="97" t="str">
        <f aca="false">IF(AND(gulf_on=1,$A72=gulf_year),IF(Gulf!AF72=1,"OK","Check"),"n/a")</f>
        <v>n/a</v>
      </c>
      <c r="S72" s="50" t="n">
        <f aca="false">COUNTIF(B72:R72,"Check")+COUNTIF(T72:AG72,"Check")+AH72+COUNTIF(AI72,"Check")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29" t="n">
        <f aca="false">COUNTIF(AA72:AG72,"Unverified")</f>
        <v>0</v>
      </c>
      <c r="AI72" s="1" t="str">
        <f aca="false">IF(OR($A72&lt;1918,$A72&gt;1932),"n/a",INDEX(Siberia!$H$38:$H$52,MATCH($A72,Siberia!$A$38:$A$52,0)))</f>
        <v>n/a</v>
      </c>
    </row>
    <row r="73" customFormat="false" ht="14.9" hidden="false" customHeight="false" outlineLevel="0" collapsed="false">
      <c r="A73" s="61" t="n">
        <v>1913</v>
      </c>
      <c r="B73" s="97" t="str">
        <f aca="false">IF(ABS(People!L73-(People!B73+People!C73+People!D73+People!K73))&lt;1,"OK","Check")</f>
        <v>OK</v>
      </c>
      <c r="C73" s="97" t="str">
        <f aca="false">IF(ABS('Debt &amp; cash'!M73-'Debt &amp; cash'!E73)&lt;0.001,"OK","Check")</f>
        <v>OK</v>
      </c>
      <c r="D73" s="97" t="str">
        <f aca="false">IF('Debt &amp; cash'!S73&gt;=-0.001,"OK","Check")</f>
        <v>OK</v>
      </c>
      <c r="E73" s="98" t="n">
        <f aca="false">'Debt &amp; cash'!V73</f>
        <v>0.05</v>
      </c>
      <c r="F73" s="97" t="str">
        <f aca="false">IF($A73&lt;1887,"n/a",IF(E73&lt;=cap_debt,"OK","Check"))</f>
        <v>OK</v>
      </c>
      <c r="G73" s="98" t="n">
        <f aca="false">'Debt &amp; cash'!W73</f>
        <v>0.0223808349012195</v>
      </c>
      <c r="H73" s="97" t="str">
        <f aca="false">IF($A73&lt;1887,"n/a",IF(G73&lt;=cap_int,"OK","Check"))</f>
        <v>OK</v>
      </c>
      <c r="I73" s="98" t="n">
        <f aca="false">Budget!AC73</f>
        <v>0.00768172575415157</v>
      </c>
      <c r="J73" s="97" t="str">
        <f aca="false">IF($A73&lt;1887,"n/a",IF(Paths!AC73=1,"War year",IF(I73&lt;=cap_def,"OK","Check")))</f>
        <v>OK</v>
      </c>
      <c r="K73" s="66" t="n">
        <f aca="false">'Debt &amp; cash'!Y73/Economy!O73</f>
        <v>0.00902006381937707</v>
      </c>
      <c r="L73" s="97" t="str">
        <f aca="false">IF('Debt &amp; cash'!Y73*issue_price&lt;=mkt_capacity*Economy!O73+foreign_capacity,"OK","Check")</f>
        <v>OK</v>
      </c>
      <c r="M73" s="97" t="str">
        <f aca="false">IF($A73&lt;1900,"n/a",IF('Gold &amp; money'!K73&gt;=0,"OK","Check"))</f>
        <v>OK</v>
      </c>
      <c r="N73" s="98" t="n">
        <f aca="false">Japan!AA73</f>
        <v>0.112417445990787</v>
      </c>
      <c r="O73" s="97" t="str">
        <f aca="false">IF(N73&lt;=1,"OK","Check")</f>
        <v>OK</v>
      </c>
      <c r="P73" s="97" t="str">
        <f aca="false">IF($A73&lt;1922,"n/a",IF(AND(Navy!AE73&gt;=0.95,Navy!AE73&lt;=1.1),"OK","Check"))</f>
        <v>n/a</v>
      </c>
      <c r="Q73" s="97" t="str">
        <f aca="false">IF(Navy!Z73=0,"n/a",IF(Resources!K73&gt;=Navy!Z73,"OK","Check"))</f>
        <v>OK</v>
      </c>
      <c r="R73" s="97" t="str">
        <f aca="false">IF(AND(gulf_on=1,$A73=gulf_year),IF(Gulf!AF73=1,"OK","Check"),"n/a")</f>
        <v>n/a</v>
      </c>
      <c r="S73" s="50" t="n">
        <f aca="false">COUNTIF(B73:R73,"Check")+COUNTIF(T73:AG73,"Check")+AH73+COUNTIF(AI73,"Check")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29" t="n">
        <f aca="false">COUNTIF(AA73:AG73,"Unverified")</f>
        <v>0</v>
      </c>
      <c r="AI73" s="1" t="str">
        <f aca="false">IF(OR($A73&lt;1918,$A73&gt;1932),"n/a",INDEX(Siberia!$H$38:$H$52,MATCH($A73,Siberia!$A$38:$A$52,0)))</f>
        <v>n/a</v>
      </c>
    </row>
    <row r="74" customFormat="false" ht="14.9" hidden="false" customHeight="false" outlineLevel="0" collapsed="false">
      <c r="A74" s="64" t="n">
        <v>1914</v>
      </c>
      <c r="B74" s="97" t="str">
        <f aca="false">IF(ABS(People!L74-(People!B74+People!C74+People!D74+People!K74))&lt;1,"OK","Check")</f>
        <v>OK</v>
      </c>
      <c r="C74" s="97" t="str">
        <f aca="false">IF(ABS('Debt &amp; cash'!M74-'Debt &amp; cash'!E74)&lt;0.001,"OK","Check")</f>
        <v>OK</v>
      </c>
      <c r="D74" s="97" t="str">
        <f aca="false">IF('Debt &amp; cash'!S74&gt;=-0.001,"OK","Check")</f>
        <v>OK</v>
      </c>
      <c r="E74" s="98" t="n">
        <f aca="false">'Debt &amp; cash'!V74</f>
        <v>0.05</v>
      </c>
      <c r="F74" s="97" t="str">
        <f aca="false">IF($A74&lt;1887,"n/a",IF(E74&lt;=cap_debt,"OK","Check"))</f>
        <v>OK</v>
      </c>
      <c r="G74" s="98" t="n">
        <f aca="false">'Debt &amp; cash'!W74</f>
        <v>0.0239426109304322</v>
      </c>
      <c r="H74" s="97" t="str">
        <f aca="false">IF($A74&lt;1887,"n/a",IF(G74&lt;=cap_int,"OK","Check"))</f>
        <v>OK</v>
      </c>
      <c r="I74" s="98" t="n">
        <f aca="false">Budget!AC74</f>
        <v>0.010583073068403</v>
      </c>
      <c r="J74" s="97" t="str">
        <f aca="false">IF($A74&lt;1887,"n/a",IF(Paths!AC74=1,"War year",IF(I74&lt;=cap_def,"OK","Check")))</f>
        <v>War year</v>
      </c>
      <c r="K74" s="66" t="n">
        <f aca="false">'Debt &amp; cash'!Y74/Economy!O74</f>
        <v>0.00440248929102371</v>
      </c>
      <c r="L74" s="97" t="str">
        <f aca="false">IF('Debt &amp; cash'!Y74*issue_price&lt;=mkt_capacity*Economy!O74+foreign_capacity,"OK","Check")</f>
        <v>OK</v>
      </c>
      <c r="M74" s="97" t="str">
        <f aca="false">IF($A74&lt;1900,"n/a",IF('Gold &amp; money'!K74&gt;=0,"OK","Check"))</f>
        <v>OK</v>
      </c>
      <c r="N74" s="98" t="n">
        <f aca="false">Japan!AA74</f>
        <v>0.0985041899459724</v>
      </c>
      <c r="O74" s="97" t="str">
        <f aca="false">IF(N74&lt;=1,"OK","Check")</f>
        <v>OK</v>
      </c>
      <c r="P74" s="97" t="str">
        <f aca="false">IF($A74&lt;1922,"n/a",IF(AND(Navy!AE74&gt;=0.95,Navy!AE74&lt;=1.1),"OK","Check"))</f>
        <v>n/a</v>
      </c>
      <c r="Q74" s="97" t="str">
        <f aca="false">IF(Navy!Z74=0,"n/a",IF(Resources!K74&gt;=Navy!Z74,"OK","Check"))</f>
        <v>OK</v>
      </c>
      <c r="R74" s="97" t="str">
        <f aca="false">IF(AND(gulf_on=1,$A74=gulf_year),IF(Gulf!AF74=1,"OK","Check"),"n/a")</f>
        <v>n/a</v>
      </c>
      <c r="S74" s="50" t="n">
        <f aca="false">COUNTIF(B74:R74,"Check")+COUNTIF(T74:AG74,"Check")+AH74+COUNTIF(AI74,"Check")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29" t="n">
        <f aca="false">COUNTIF(AA74:AG74,"Unverified")</f>
        <v>0</v>
      </c>
      <c r="AI74" s="1" t="str">
        <f aca="false">IF(OR($A74&lt;1918,$A74&gt;1932),"n/a",INDEX(Siberia!$H$38:$H$52,MATCH($A74,Siberia!$A$38:$A$52,0)))</f>
        <v>n/a</v>
      </c>
    </row>
    <row r="75" customFormat="false" ht="14.9" hidden="false" customHeight="false" outlineLevel="0" collapsed="false">
      <c r="A75" s="64" t="n">
        <v>1915</v>
      </c>
      <c r="B75" s="97" t="str">
        <f aca="false">IF(ABS(People!L75-(People!B75+People!C75+People!D75+People!K75))&lt;1,"OK","Check")</f>
        <v>OK</v>
      </c>
      <c r="C75" s="97" t="str">
        <f aca="false">IF(ABS('Debt &amp; cash'!M75-'Debt &amp; cash'!E75)&lt;0.001,"OK","Check")</f>
        <v>OK</v>
      </c>
      <c r="D75" s="97" t="str">
        <f aca="false">IF('Debt &amp; cash'!S75&gt;=-0.001,"OK","Check")</f>
        <v>OK</v>
      </c>
      <c r="E75" s="98" t="n">
        <f aca="false">'Debt &amp; cash'!V75</f>
        <v>0.05</v>
      </c>
      <c r="F75" s="97" t="str">
        <f aca="false">IF($A75&lt;1887,"n/a",IF(E75&lt;=cap_debt,"OK","Check"))</f>
        <v>OK</v>
      </c>
      <c r="G75" s="98" t="n">
        <f aca="false">'Debt &amp; cash'!W75</f>
        <v>0.0187811668171063</v>
      </c>
      <c r="H75" s="97" t="str">
        <f aca="false">IF($A75&lt;1887,"n/a",IF(G75&lt;=cap_int,"OK","Check"))</f>
        <v>OK</v>
      </c>
      <c r="I75" s="98" t="n">
        <f aca="false">Budget!AC75</f>
        <v>0.012343419890389</v>
      </c>
      <c r="J75" s="97" t="str">
        <f aca="false">IF($A75&lt;1887,"n/a",IF(Paths!AC75=1,"War year",IF(I75&lt;=cap_def,"OK","Check")))</f>
        <v>War year</v>
      </c>
      <c r="K75" s="66" t="n">
        <f aca="false">'Debt &amp; cash'!Y75/Economy!O75</f>
        <v>0.00833673903972798</v>
      </c>
      <c r="L75" s="97" t="str">
        <f aca="false">IF('Debt &amp; cash'!Y75*issue_price&lt;=mkt_capacity*Economy!O75+foreign_capacity,"OK","Check")</f>
        <v>OK</v>
      </c>
      <c r="M75" s="97" t="str">
        <f aca="false">IF($A75&lt;1900,"n/a",IF('Gold &amp; money'!K75&gt;=0,"OK","Check"))</f>
        <v>OK</v>
      </c>
      <c r="N75" s="98" t="n">
        <f aca="false">Japan!AA75</f>
        <v>0.0788243478543865</v>
      </c>
      <c r="O75" s="97" t="str">
        <f aca="false">IF(N75&lt;=1,"OK","Check")</f>
        <v>OK</v>
      </c>
      <c r="P75" s="97" t="str">
        <f aca="false">IF($A75&lt;1922,"n/a",IF(AND(Navy!AE75&gt;=0.95,Navy!AE75&lt;=1.1),"OK","Check"))</f>
        <v>n/a</v>
      </c>
      <c r="Q75" s="97" t="str">
        <f aca="false">IF(Navy!Z75=0,"n/a",IF(Resources!K75&gt;=Navy!Z75,"OK","Check"))</f>
        <v>OK</v>
      </c>
      <c r="R75" s="97" t="str">
        <f aca="false">IF(AND(gulf_on=1,$A75=gulf_year),IF(Gulf!AF75=1,"OK","Check"),"n/a")</f>
        <v>n/a</v>
      </c>
      <c r="S75" s="50" t="n">
        <f aca="false">COUNTIF(B75:R75,"Check")+COUNTIF(T75:AG75,"Check")+AH75+COUNTIF(AI75,"Check")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29" t="n">
        <f aca="false">COUNTIF(AA75:AG75,"Unverified")</f>
        <v>0</v>
      </c>
      <c r="AI75" s="1" t="str">
        <f aca="false">IF(OR($A75&lt;1918,$A75&gt;1932),"n/a",INDEX(Siberia!$H$38:$H$52,MATCH($A75,Siberia!$A$38:$A$52,0)))</f>
        <v>n/a</v>
      </c>
    </row>
    <row r="76" customFormat="false" ht="14.9" hidden="false" customHeight="false" outlineLevel="0" collapsed="false">
      <c r="A76" s="64" t="n">
        <v>1916</v>
      </c>
      <c r="B76" s="97" t="str">
        <f aca="false">IF(ABS(People!L76-(People!B76+People!C76+People!D76+People!K76))&lt;1,"OK","Check")</f>
        <v>OK</v>
      </c>
      <c r="C76" s="97" t="str">
        <f aca="false">IF(ABS('Debt &amp; cash'!M76-'Debt &amp; cash'!E76)&lt;0.001,"OK","Check")</f>
        <v>OK</v>
      </c>
      <c r="D76" s="97" t="str">
        <f aca="false">IF('Debt &amp; cash'!S76&gt;=-0.001,"OK","Check")</f>
        <v>OK</v>
      </c>
      <c r="E76" s="98" t="n">
        <f aca="false">'Debt &amp; cash'!V76</f>
        <v>0.05</v>
      </c>
      <c r="F76" s="97" t="str">
        <f aca="false">IF($A76&lt;1887,"n/a",IF(E76&lt;=cap_debt,"OK","Check"))</f>
        <v>OK</v>
      </c>
      <c r="G76" s="98" t="n">
        <f aca="false">'Debt &amp; cash'!W76</f>
        <v>0.017614936231526</v>
      </c>
      <c r="H76" s="97" t="str">
        <f aca="false">IF($A76&lt;1887,"n/a",IF(G76&lt;=cap_int,"OK","Check"))</f>
        <v>OK</v>
      </c>
      <c r="I76" s="98" t="n">
        <f aca="false">Budget!AC76</f>
        <v>0.0119989214804826</v>
      </c>
      <c r="J76" s="97" t="str">
        <f aca="false">IF($A76&lt;1887,"n/a",IF(Paths!AC76=1,"War year",IF(I76&lt;=cap_def,"OK","Check")))</f>
        <v>War year</v>
      </c>
      <c r="K76" s="66" t="n">
        <f aca="false">'Debt &amp; cash'!Y76/Economy!O76</f>
        <v>0.00996187346196405</v>
      </c>
      <c r="L76" s="97" t="str">
        <f aca="false">IF('Debt &amp; cash'!Y76*issue_price&lt;=mkt_capacity*Economy!O76+foreign_capacity,"OK","Check")</f>
        <v>OK</v>
      </c>
      <c r="M76" s="97" t="str">
        <f aca="false">IF($A76&lt;1900,"n/a",IF('Gold &amp; money'!K76&gt;=0,"OK","Check"))</f>
        <v>OK</v>
      </c>
      <c r="N76" s="98" t="n">
        <f aca="false">Japan!AA76</f>
        <v>0.0457454648499867</v>
      </c>
      <c r="O76" s="97" t="str">
        <f aca="false">IF(N76&lt;=1,"OK","Check")</f>
        <v>OK</v>
      </c>
      <c r="P76" s="97" t="str">
        <f aca="false">IF($A76&lt;1922,"n/a",IF(AND(Navy!AE76&gt;=0.95,Navy!AE76&lt;=1.1),"OK","Check"))</f>
        <v>n/a</v>
      </c>
      <c r="Q76" s="97" t="str">
        <f aca="false">IF(Navy!Z76=0,"n/a",IF(Resources!K76&gt;=Navy!Z76,"OK","Check"))</f>
        <v>OK</v>
      </c>
      <c r="R76" s="97" t="str">
        <f aca="false">IF(AND(gulf_on=1,$A76=gulf_year),IF(Gulf!AF76=1,"OK","Check"),"n/a")</f>
        <v>n/a</v>
      </c>
      <c r="S76" s="50" t="n">
        <f aca="false">COUNTIF(B76:R76,"Check")+COUNTIF(T76:AG76,"Check")+AH76+COUNTIF(AI76,"Check")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29" t="n">
        <f aca="false">COUNTIF(AA76:AG76,"Unverified")</f>
        <v>0</v>
      </c>
      <c r="AI76" s="1" t="str">
        <f aca="false">IF(OR($A76&lt;1918,$A76&gt;1932),"n/a",INDEX(Siberia!$H$38:$H$52,MATCH($A76,Siberia!$A$38:$A$52,0)))</f>
        <v>n/a</v>
      </c>
    </row>
    <row r="77" customFormat="false" ht="14.9" hidden="false" customHeight="false" outlineLevel="0" collapsed="false">
      <c r="A77" s="64" t="n">
        <v>1917</v>
      </c>
      <c r="B77" s="97" t="str">
        <f aca="false">IF(ABS(People!L77-(People!B77+People!C77+People!D77+People!K77))&lt;1,"OK","Check")</f>
        <v>OK</v>
      </c>
      <c r="C77" s="97" t="str">
        <f aca="false">IF(ABS('Debt &amp; cash'!M77-'Debt &amp; cash'!E77)&lt;0.001,"OK","Check")</f>
        <v>OK</v>
      </c>
      <c r="D77" s="97" t="str">
        <f aca="false">IF('Debt &amp; cash'!S77&gt;=-0.001,"OK","Check")</f>
        <v>OK</v>
      </c>
      <c r="E77" s="98" t="n">
        <f aca="false">'Debt &amp; cash'!V77</f>
        <v>0.05</v>
      </c>
      <c r="F77" s="97" t="str">
        <f aca="false">IF($A77&lt;1887,"n/a",IF(E77&lt;=cap_debt,"OK","Check"))</f>
        <v>OK</v>
      </c>
      <c r="G77" s="98" t="n">
        <f aca="false">'Debt &amp; cash'!W77</f>
        <v>0.0165065899951067</v>
      </c>
      <c r="H77" s="97" t="str">
        <f aca="false">IF($A77&lt;1887,"n/a",IF(G77&lt;=cap_int,"OK","Check"))</f>
        <v>OK</v>
      </c>
      <c r="I77" s="98" t="n">
        <f aca="false">Budget!AC77</f>
        <v>0.0108659753630346</v>
      </c>
      <c r="J77" s="97" t="str">
        <f aca="false">IF($A77&lt;1887,"n/a",IF(Paths!AC77=1,"War year",IF(I77&lt;=cap_def,"OK","Check")))</f>
        <v>War year</v>
      </c>
      <c r="K77" s="66" t="n">
        <f aca="false">'Debt &amp; cash'!Y77/Economy!O77</f>
        <v>0.0121991076897285</v>
      </c>
      <c r="L77" s="97" t="str">
        <f aca="false">IF('Debt &amp; cash'!Y77*issue_price&lt;=mkt_capacity*Economy!O77+foreign_capacity,"OK","Check")</f>
        <v>OK</v>
      </c>
      <c r="M77" s="97" t="str">
        <f aca="false">IF($A77&lt;1900,"n/a",IF('Gold &amp; money'!K77&gt;=0,"OK","Check"))</f>
        <v>OK</v>
      </c>
      <c r="N77" s="98" t="n">
        <f aca="false">Japan!AA77</f>
        <v>0.0344625077186085</v>
      </c>
      <c r="O77" s="97" t="str">
        <f aca="false">IF(N77&lt;=1,"OK","Check")</f>
        <v>OK</v>
      </c>
      <c r="P77" s="97" t="str">
        <f aca="false">IF($A77&lt;1922,"n/a",IF(AND(Navy!AE77&gt;=0.95,Navy!AE77&lt;=1.1),"OK","Check"))</f>
        <v>n/a</v>
      </c>
      <c r="Q77" s="97" t="str">
        <f aca="false">IF(Navy!Z77=0,"n/a",IF(Resources!K77&gt;=Navy!Z77,"OK","Check"))</f>
        <v>OK</v>
      </c>
      <c r="R77" s="97" t="str">
        <f aca="false">IF(AND(gulf_on=1,$A77=gulf_year),IF(Gulf!AF77=1,"OK","Check"),"n/a")</f>
        <v>n/a</v>
      </c>
      <c r="S77" s="50" t="n">
        <f aca="false">COUNTIF(B77:R77,"Check")+COUNTIF(T77:AG77,"Check")+AH77+COUNTIF(AI77,"Check")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29" t="n">
        <f aca="false">COUNTIF(AA77:AG77,"Unverified")</f>
        <v>0</v>
      </c>
      <c r="AI77" s="1" t="str">
        <f aca="false">IF(OR($A77&lt;1918,$A77&gt;1932),"n/a",INDEX(Siberia!$H$38:$H$52,MATCH($A77,Siberia!$A$38:$A$52,0)))</f>
        <v>n/a</v>
      </c>
    </row>
    <row r="78" customFormat="false" ht="14.9" hidden="false" customHeight="false" outlineLevel="0" collapsed="false">
      <c r="A78" s="64" t="n">
        <v>1918</v>
      </c>
      <c r="B78" s="97" t="str">
        <f aca="false">IF(ABS(People!L78-(People!B78+People!C78+People!D78+People!K78))&lt;1,"OK","Check")</f>
        <v>OK</v>
      </c>
      <c r="C78" s="97" t="str">
        <f aca="false">IF(ABS('Debt &amp; cash'!M78-'Debt &amp; cash'!E78)&lt;0.001,"OK","Check")</f>
        <v>OK</v>
      </c>
      <c r="D78" s="97" t="str">
        <f aca="false">IF('Debt &amp; cash'!S78&gt;=-0.001,"OK","Check")</f>
        <v>OK</v>
      </c>
      <c r="E78" s="98" t="n">
        <f aca="false">'Debt &amp; cash'!V78</f>
        <v>0.05</v>
      </c>
      <c r="F78" s="97" t="str">
        <f aca="false">IF($A78&lt;1887,"n/a",IF(E78&lt;=cap_debt,"OK","Check"))</f>
        <v>OK</v>
      </c>
      <c r="G78" s="98" t="n">
        <f aca="false">'Debt &amp; cash'!W78</f>
        <v>0.0171391484267553</v>
      </c>
      <c r="H78" s="97" t="str">
        <f aca="false">IF($A78&lt;1887,"n/a",IF(G78&lt;=cap_int,"OK","Check"))</f>
        <v>OK</v>
      </c>
      <c r="I78" s="98" t="n">
        <f aca="false">Budget!AC78</f>
        <v>0.0118640259145143</v>
      </c>
      <c r="J78" s="97" t="str">
        <f aca="false">IF($A78&lt;1887,"n/a",IF(Paths!AC78=1,"War year",IF(I78&lt;=cap_def,"OK","Check")))</f>
        <v>War year</v>
      </c>
      <c r="K78" s="66" t="n">
        <f aca="false">'Debt &amp; cash'!Y78/Economy!O78</f>
        <v>0.0109240066468667</v>
      </c>
      <c r="L78" s="97" t="str">
        <f aca="false">IF('Debt &amp; cash'!Y78*issue_price&lt;=mkt_capacity*Economy!O78+foreign_capacity,"OK","Check")</f>
        <v>OK</v>
      </c>
      <c r="M78" s="97" t="str">
        <f aca="false">IF($A78&lt;1900,"n/a",IF('Gold &amp; money'!K78&gt;=0,"OK","Check"))</f>
        <v>OK</v>
      </c>
      <c r="N78" s="98" t="n">
        <f aca="false">Japan!AA78</f>
        <v>0.0234555018844096</v>
      </c>
      <c r="O78" s="97" t="str">
        <f aca="false">IF(N78&lt;=1,"OK","Check")</f>
        <v>OK</v>
      </c>
      <c r="P78" s="97" t="str">
        <f aca="false">IF($A78&lt;1922,"n/a",IF(AND(Navy!AE78&gt;=0.95,Navy!AE78&lt;=1.1),"OK","Check"))</f>
        <v>n/a</v>
      </c>
      <c r="Q78" s="97" t="str">
        <f aca="false">IF(Navy!Z78=0,"n/a",IF(Resources!K78&gt;=Navy!Z78,"OK","Check"))</f>
        <v>OK</v>
      </c>
      <c r="R78" s="97" t="str">
        <f aca="false">IF(AND(gulf_on=1,$A78=gulf_year),IF(Gulf!AF78=1,"OK","Check"),"n/a")</f>
        <v>n/a</v>
      </c>
      <c r="S78" s="50" t="n">
        <f aca="false">COUNTIF(B78:R78,"Check")+COUNTIF(T78:AG78,"Check")+AH78+COUNTIF(AI78,"Check")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29" t="n">
        <f aca="false">COUNTIF(AA78:AG78,"Unverified")</f>
        <v>0</v>
      </c>
      <c r="AI78" s="1" t="str">
        <f aca="false">IF(OR($A78&lt;1918,$A78&gt;1932),"n/a",INDEX(Siberia!$H$38:$H$52,MATCH($A78,Siberia!$A$38:$A$52,0)))</f>
        <v>OK</v>
      </c>
    </row>
    <row r="79" customFormat="false" ht="14.9" hidden="false" customHeight="false" outlineLevel="0" collapsed="false">
      <c r="A79" s="64" t="n">
        <v>1919</v>
      </c>
      <c r="B79" s="97" t="str">
        <f aca="false">IF(ABS(People!L79-(People!B79+People!C79+People!D79+People!K79))&lt;1,"OK","Check")</f>
        <v>OK</v>
      </c>
      <c r="C79" s="97" t="str">
        <f aca="false">IF(ABS('Debt &amp; cash'!M79-'Debt &amp; cash'!E79)&lt;0.001,"OK","Check")</f>
        <v>OK</v>
      </c>
      <c r="D79" s="97" t="str">
        <f aca="false">IF('Debt &amp; cash'!S79&gt;=-0.001,"OK","Check")</f>
        <v>OK</v>
      </c>
      <c r="E79" s="98" t="n">
        <f aca="false">'Debt &amp; cash'!V79</f>
        <v>0.05</v>
      </c>
      <c r="F79" s="97" t="str">
        <f aca="false">IF($A79&lt;1887,"n/a",IF(E79&lt;=cap_debt,"OK","Check"))</f>
        <v>OK</v>
      </c>
      <c r="G79" s="98" t="n">
        <f aca="false">'Debt &amp; cash'!W79</f>
        <v>0.0180688443811254</v>
      </c>
      <c r="H79" s="97" t="str">
        <f aca="false">IF($A79&lt;1887,"n/a",IF(G79&lt;=cap_int,"OK","Check"))</f>
        <v>OK</v>
      </c>
      <c r="I79" s="98" t="n">
        <f aca="false">Budget!AC79</f>
        <v>0.0173081238836149</v>
      </c>
      <c r="J79" s="97" t="str">
        <f aca="false">IF($A79&lt;1887,"n/a",IF(Paths!AC79=1,"War year",IF(I79&lt;=cap_def,"OK","Check")))</f>
        <v>War year</v>
      </c>
      <c r="K79" s="66" t="n">
        <f aca="false">'Debt &amp; cash'!Y79/Economy!O79</f>
        <v>0.0118186924432732</v>
      </c>
      <c r="L79" s="97" t="str">
        <f aca="false">IF('Debt &amp; cash'!Y79*issue_price&lt;=mkt_capacity*Economy!O79+foreign_capacity,"OK","Check")</f>
        <v>OK</v>
      </c>
      <c r="M79" s="97" t="str">
        <f aca="false">IF($A79&lt;1900,"n/a",IF('Gold &amp; money'!K79&gt;=0,"OK","Check"))</f>
        <v>OK</v>
      </c>
      <c r="N79" s="98" t="n">
        <f aca="false">Japan!AA79</f>
        <v>0.0174107273852628</v>
      </c>
      <c r="O79" s="97" t="str">
        <f aca="false">IF(N79&lt;=1,"OK","Check")</f>
        <v>OK</v>
      </c>
      <c r="P79" s="97" t="str">
        <f aca="false">IF($A79&lt;1922,"n/a",IF(AND(Navy!AE79&gt;=0.95,Navy!AE79&lt;=1.1),"OK","Check"))</f>
        <v>n/a</v>
      </c>
      <c r="Q79" s="97" t="str">
        <f aca="false">IF(Navy!Z79=0,"n/a",IF(Resources!K79&gt;=Navy!Z79,"OK","Check"))</f>
        <v>OK</v>
      </c>
      <c r="R79" s="97" t="str">
        <f aca="false">IF(AND(gulf_on=1,$A79=gulf_year),IF(Gulf!AF79=1,"OK","Check"),"n/a")</f>
        <v>n/a</v>
      </c>
      <c r="S79" s="50" t="n">
        <f aca="false">COUNTIF(B79:R79,"Check")+COUNTIF(T79:AG79,"Check")+AH79+COUNTIF(AI79,"Check")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29" t="n">
        <f aca="false">COUNTIF(AA79:AG79,"Unverified")</f>
        <v>0</v>
      </c>
      <c r="AI79" s="1" t="str">
        <f aca="false">IF(OR($A79&lt;1918,$A79&gt;1932),"n/a",INDEX(Siberia!$H$38:$H$52,MATCH($A79,Siberia!$A$38:$A$52,0)))</f>
        <v>OK</v>
      </c>
    </row>
    <row r="80" customFormat="false" ht="14.9" hidden="false" customHeight="false" outlineLevel="0" collapsed="false">
      <c r="A80" s="64" t="n">
        <v>1920</v>
      </c>
      <c r="B80" s="97" t="str">
        <f aca="false">IF(ABS(People!L80-(People!B80+People!C80+People!D80+People!K80))&lt;1,"OK","Check")</f>
        <v>OK</v>
      </c>
      <c r="C80" s="97" t="str">
        <f aca="false">IF(ABS('Debt &amp; cash'!M80-'Debt &amp; cash'!E80)&lt;0.001,"OK","Check")</f>
        <v>OK</v>
      </c>
      <c r="D80" s="97" t="str">
        <f aca="false">IF('Debt &amp; cash'!S80&gt;=-0.001,"OK","Check")</f>
        <v>OK</v>
      </c>
      <c r="E80" s="98" t="n">
        <f aca="false">'Debt &amp; cash'!V80</f>
        <v>0.05</v>
      </c>
      <c r="F80" s="97" t="str">
        <f aca="false">IF($A80&lt;1887,"n/a",IF(E80&lt;=cap_debt,"OK","Check"))</f>
        <v>OK</v>
      </c>
      <c r="G80" s="98" t="n">
        <f aca="false">'Debt &amp; cash'!W80</f>
        <v>0.0175751797188026</v>
      </c>
      <c r="H80" s="97" t="str">
        <f aca="false">IF($A80&lt;1887,"n/a",IF(G80&lt;=cap_int,"OK","Check"))</f>
        <v>OK</v>
      </c>
      <c r="I80" s="98" t="n">
        <f aca="false">Budget!AC80</f>
        <v>0.0138010107383814</v>
      </c>
      <c r="J80" s="97" t="str">
        <f aca="false">IF($A80&lt;1887,"n/a",IF(Paths!AC80=1,"War year",IF(I80&lt;=cap_def,"OK","Check")))</f>
        <v>War year</v>
      </c>
      <c r="K80" s="66" t="n">
        <f aca="false">'Debt &amp; cash'!Y80/Economy!O80</f>
        <v>0.0140691063758467</v>
      </c>
      <c r="L80" s="97" t="str">
        <f aca="false">IF('Debt &amp; cash'!Y80*issue_price&lt;=mkt_capacity*Economy!O80+foreign_capacity,"OK","Check")</f>
        <v>OK</v>
      </c>
      <c r="M80" s="97" t="str">
        <f aca="false">IF($A80&lt;1900,"n/a",IF('Gold &amp; money'!K80&gt;=0,"OK","Check"))</f>
        <v>OK</v>
      </c>
      <c r="N80" s="98" t="n">
        <f aca="false">Japan!AA80</f>
        <v>0.0162185003857468</v>
      </c>
      <c r="O80" s="97" t="str">
        <f aca="false">IF(N80&lt;=1,"OK","Check")</f>
        <v>OK</v>
      </c>
      <c r="P80" s="97" t="str">
        <f aca="false">IF($A80&lt;1922,"n/a",IF(AND(Navy!AE80&gt;=0.95,Navy!AE80&lt;=1.1),"OK","Check"))</f>
        <v>n/a</v>
      </c>
      <c r="Q80" s="97" t="str">
        <f aca="false">IF(Navy!Z80=0,"n/a",IF(Resources!K80&gt;=Navy!Z80,"OK","Check"))</f>
        <v>OK</v>
      </c>
      <c r="R80" s="97" t="str">
        <f aca="false">IF(AND(gulf_on=1,$A80=gulf_year),IF(Gulf!AF80=1,"OK","Check"),"n/a")</f>
        <v>n/a</v>
      </c>
      <c r="S80" s="50" t="n">
        <f aca="false">COUNTIF(B80:R80,"Check")+COUNTIF(T80:AG80,"Check")+AH80+COUNTIF(AI80,"Check")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29" t="n">
        <f aca="false">COUNTIF(AA80:AG80,"Unverified")</f>
        <v>0</v>
      </c>
      <c r="AI80" s="1" t="str">
        <f aca="false">IF(OR($A80&lt;1918,$A80&gt;1932),"n/a",INDEX(Siberia!$H$38:$H$52,MATCH($A80,Siberia!$A$38:$A$52,0)))</f>
        <v>OK</v>
      </c>
    </row>
    <row r="81" customFormat="false" ht="14.9" hidden="false" customHeight="false" outlineLevel="0" collapsed="false">
      <c r="A81" s="64" t="n">
        <v>1921</v>
      </c>
      <c r="B81" s="97" t="str">
        <f aca="false">IF(ABS(People!L81-(People!B81+People!C81+People!D81+People!K81))&lt;1,"OK","Check")</f>
        <v>OK</v>
      </c>
      <c r="C81" s="97" t="str">
        <f aca="false">IF(ABS('Debt &amp; cash'!M81-'Debt &amp; cash'!E81)&lt;0.001,"OK","Check")</f>
        <v>OK</v>
      </c>
      <c r="D81" s="97" t="str">
        <f aca="false">IF('Debt &amp; cash'!S81&gt;=-0.001,"OK","Check")</f>
        <v>OK</v>
      </c>
      <c r="E81" s="98" t="n">
        <f aca="false">'Debt &amp; cash'!V81</f>
        <v>0.0535444241652694</v>
      </c>
      <c r="F81" s="97" t="str">
        <f aca="false">IF($A81&lt;1887,"n/a",IF(E81&lt;=cap_debt,"OK","Check"))</f>
        <v>OK</v>
      </c>
      <c r="G81" s="98" t="n">
        <f aca="false">'Debt &amp; cash'!W81</f>
        <v>0.0277459121514203</v>
      </c>
      <c r="H81" s="97" t="str">
        <f aca="false">IF($A81&lt;1887,"n/a",IF(G81&lt;=cap_int,"OK","Check"))</f>
        <v>OK</v>
      </c>
      <c r="I81" s="98" t="n">
        <f aca="false">Budget!AC81</f>
        <v>0.0120602986476197</v>
      </c>
      <c r="J81" s="97" t="str">
        <f aca="false">IF($A81&lt;1887,"n/a",IF(Paths!AC81=1,"War year",IF(I81&lt;=cap_def,"OK","Check")))</f>
        <v>War year</v>
      </c>
      <c r="K81" s="66" t="n">
        <f aca="false">'Debt &amp; cash'!Y81/Economy!O81</f>
        <v>0</v>
      </c>
      <c r="L81" s="97" t="str">
        <f aca="false">IF('Debt &amp; cash'!Y81*issue_price&lt;=mkt_capacity*Economy!O81+foreign_capacity,"OK","Check")</f>
        <v>OK</v>
      </c>
      <c r="M81" s="97" t="str">
        <f aca="false">IF($A81&lt;1900,"n/a",IF('Gold &amp; money'!K81&gt;=0,"OK","Check"))</f>
        <v>OK</v>
      </c>
      <c r="N81" s="98" t="n">
        <f aca="false">Japan!AA81</f>
        <v>0.0165226080331336</v>
      </c>
      <c r="O81" s="97" t="str">
        <f aca="false">IF(N81&lt;=1,"OK","Check")</f>
        <v>OK</v>
      </c>
      <c r="P81" s="97" t="str">
        <f aca="false">IF($A81&lt;1922,"n/a",IF(AND(Navy!AE81&gt;=0.95,Navy!AE81&lt;=1.1),"OK","Check"))</f>
        <v>n/a</v>
      </c>
      <c r="Q81" s="97" t="str">
        <f aca="false">IF(Navy!Z81=0,"n/a",IF(Resources!K81&gt;=Navy!Z81,"OK","Check"))</f>
        <v>OK</v>
      </c>
      <c r="R81" s="97" t="str">
        <f aca="false">IF(AND(gulf_on=1,$A81=gulf_year),IF(Gulf!AF81=1,"OK","Check"),"n/a")</f>
        <v>n/a</v>
      </c>
      <c r="S81" s="50" t="n">
        <f aca="false">COUNTIF(B81:R81,"Check")+COUNTIF(T81:AG81,"Check")+AH81+COUNTIF(AI81,"Check")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29" t="n">
        <f aca="false">COUNTIF(AA81:AG81,"Unverified")</f>
        <v>0</v>
      </c>
      <c r="AI81" s="1" t="str">
        <f aca="false">IF(OR($A81&lt;1918,$A81&gt;1932),"n/a",INDEX(Siberia!$H$38:$H$52,MATCH($A81,Siberia!$A$38:$A$52,0)))</f>
        <v>OK</v>
      </c>
    </row>
    <row r="82" customFormat="false" ht="14.9" hidden="false" customHeight="false" outlineLevel="0" collapsed="false">
      <c r="A82" s="64" t="n">
        <v>1922</v>
      </c>
      <c r="B82" s="97" t="str">
        <f aca="false">IF(ABS(People!L82-(People!B82+People!C82+People!D82+People!K82))&lt;1,"OK","Check")</f>
        <v>OK</v>
      </c>
      <c r="C82" s="97" t="str">
        <f aca="false">IF(ABS('Debt &amp; cash'!M82-'Debt &amp; cash'!E82)&lt;0.001,"OK","Check")</f>
        <v>OK</v>
      </c>
      <c r="D82" s="97" t="str">
        <f aca="false">IF('Debt &amp; cash'!S82&gt;=-0.001,"OK","Check")</f>
        <v>OK</v>
      </c>
      <c r="E82" s="98" t="n">
        <f aca="false">'Debt &amp; cash'!V82</f>
        <v>0.05</v>
      </c>
      <c r="F82" s="97" t="str">
        <f aca="false">IF($A82&lt;1887,"n/a",IF(E82&lt;=cap_debt,"OK","Check"))</f>
        <v>OK</v>
      </c>
      <c r="G82" s="98" t="n">
        <f aca="false">'Debt &amp; cash'!W82</f>
        <v>0.0232513536704835</v>
      </c>
      <c r="H82" s="97" t="str">
        <f aca="false">IF($A82&lt;1887,"n/a",IF(G82&lt;=cap_int,"OK","Check"))</f>
        <v>OK</v>
      </c>
      <c r="I82" s="98" t="n">
        <f aca="false">Budget!AC82</f>
        <v>0.00876372825831803</v>
      </c>
      <c r="J82" s="97" t="str">
        <f aca="false">IF($A82&lt;1887,"n/a",IF(Paths!AC82=1,"War year",IF(I82&lt;=cap_def,"OK","Check")))</f>
        <v>War year</v>
      </c>
      <c r="K82" s="66" t="n">
        <f aca="false">'Debt &amp; cash'!Y82/Economy!O82</f>
        <v>0.00424226113545004</v>
      </c>
      <c r="L82" s="97" t="str">
        <f aca="false">IF('Debt &amp; cash'!Y82*issue_price&lt;=mkt_capacity*Economy!O82+foreign_capacity,"OK","Check")</f>
        <v>OK</v>
      </c>
      <c r="M82" s="97" t="str">
        <f aca="false">IF($A82&lt;1900,"n/a",IF('Gold &amp; money'!K82&gt;=0,"OK","Check"))</f>
        <v>OK</v>
      </c>
      <c r="N82" s="98" t="n">
        <f aca="false">Japan!AA82</f>
        <v>0.0152355694006477</v>
      </c>
      <c r="O82" s="97" t="str">
        <f aca="false">IF(N82&lt;=1,"OK","Check")</f>
        <v>OK</v>
      </c>
      <c r="P82" s="97" t="str">
        <f aca="false">IF($A82&lt;1922,"n/a",IF(AND(Navy!AE82&gt;=0.95,Navy!AE82&lt;=1.1),"OK","Check"))</f>
        <v>OK</v>
      </c>
      <c r="Q82" s="97" t="str">
        <f aca="false">IF(Navy!Z82=0,"n/a",IF(Resources!K82&gt;=Navy!Z82,"OK","Check"))</f>
        <v>OK</v>
      </c>
      <c r="R82" s="97" t="str">
        <f aca="false">IF(AND(gulf_on=1,$A82=gulf_year),IF(Gulf!AF82=1,"OK","Check"),"n/a")</f>
        <v>n/a</v>
      </c>
      <c r="S82" s="50" t="n">
        <f aca="false">COUNTIF(B82:R82,"Check")+COUNTIF(T82:AG82,"Check")+AH82+COUNTIF(AI82,"Check")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29" t="n">
        <f aca="false">COUNTIF(AA82:AG82,"Unverified")</f>
        <v>0</v>
      </c>
      <c r="AI82" s="1" t="str">
        <f aca="false">IF(OR($A82&lt;1918,$A82&gt;1932),"n/a",INDEX(Siberia!$H$38:$H$52,MATCH($A82,Siberia!$A$38:$A$52,0)))</f>
        <v>OK</v>
      </c>
    </row>
    <row r="83" customFormat="false" ht="14.9" hidden="false" customHeight="false" outlineLevel="0" collapsed="false">
      <c r="A83" s="61" t="n">
        <v>1923</v>
      </c>
      <c r="B83" s="97" t="str">
        <f aca="false">IF(ABS(People!L83-(People!B83+People!C83+People!D83+People!K83))&lt;1,"OK","Check")</f>
        <v>OK</v>
      </c>
      <c r="C83" s="97" t="str">
        <f aca="false">IF(ABS('Debt &amp; cash'!M83-'Debt &amp; cash'!E83)&lt;0.001,"OK","Check")</f>
        <v>OK</v>
      </c>
      <c r="D83" s="97" t="str">
        <f aca="false">IF('Debt &amp; cash'!S83&gt;=-0.001,"OK","Check")</f>
        <v>OK</v>
      </c>
      <c r="E83" s="98" t="n">
        <f aca="false">'Debt &amp; cash'!V83</f>
        <v>0.05</v>
      </c>
      <c r="F83" s="97" t="str">
        <f aca="false">IF($A83&lt;1887,"n/a",IF(E83&lt;=cap_debt,"OK","Check"))</f>
        <v>OK</v>
      </c>
      <c r="G83" s="98" t="n">
        <f aca="false">'Debt &amp; cash'!W83</f>
        <v>0.0200024381776839</v>
      </c>
      <c r="H83" s="97" t="str">
        <f aca="false">IF($A83&lt;1887,"n/a",IF(G83&lt;=cap_int,"OK","Check"))</f>
        <v>OK</v>
      </c>
      <c r="I83" s="98" t="n">
        <f aca="false">Budget!AC83</f>
        <v>0.00645868386822974</v>
      </c>
      <c r="J83" s="97" t="str">
        <f aca="false">IF($A83&lt;1887,"n/a",IF(Paths!AC83=1,"War year",IF(I83&lt;=cap_def,"OK","Check")))</f>
        <v>OK</v>
      </c>
      <c r="K83" s="66" t="n">
        <f aca="false">'Debt &amp; cash'!Y83/Economy!O83</f>
        <v>0.0114683330894281</v>
      </c>
      <c r="L83" s="97" t="str">
        <f aca="false">IF('Debt &amp; cash'!Y83*issue_price&lt;=mkt_capacity*Economy!O83+foreign_capacity,"OK","Check")</f>
        <v>OK</v>
      </c>
      <c r="M83" s="97" t="str">
        <f aca="false">IF($A83&lt;1900,"n/a",IF('Gold &amp; money'!K83&gt;=0,"OK","Check"))</f>
        <v>OK</v>
      </c>
      <c r="N83" s="98" t="n">
        <f aca="false">Japan!AA83</f>
        <v>0.0352769772565566</v>
      </c>
      <c r="O83" s="97" t="str">
        <f aca="false">IF(N83&lt;=1,"OK","Check")</f>
        <v>OK</v>
      </c>
      <c r="P83" s="97" t="str">
        <f aca="false">IF($A83&lt;1922,"n/a",IF(AND(Navy!AE83&gt;=0.95,Navy!AE83&lt;=1.1),"OK","Check"))</f>
        <v>OK</v>
      </c>
      <c r="Q83" s="97" t="str">
        <f aca="false">IF(Navy!Z83=0,"n/a",IF(Resources!K83&gt;=Navy!Z83,"OK","Check"))</f>
        <v>OK</v>
      </c>
      <c r="R83" s="97" t="str">
        <f aca="false">IF(AND(gulf_on=1,$A83=gulf_year),IF(Gulf!AF83=1,"OK","Check"),"n/a")</f>
        <v>n/a</v>
      </c>
      <c r="S83" s="50" t="n">
        <f aca="false">COUNTIF(B83:R83,"Check")+COUNTIF(T83:AG83,"Check")+AH83+COUNTIF(AI83,"Check")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29" t="n">
        <f aca="false">COUNTIF(AA83:AG83,"Unverified")</f>
        <v>0</v>
      </c>
      <c r="AI83" s="1" t="str">
        <f aca="false">IF(OR($A83&lt;1918,$A83&gt;1932),"n/a",INDEX(Siberia!$H$38:$H$52,MATCH($A83,Siberia!$A$38:$A$52,0)))</f>
        <v>OK</v>
      </c>
    </row>
    <row r="84" customFormat="false" ht="14.9" hidden="false" customHeight="false" outlineLevel="0" collapsed="false">
      <c r="A84" s="61" t="n">
        <v>1924</v>
      </c>
      <c r="B84" s="97" t="str">
        <f aca="false">IF(ABS(People!L84-(People!B84+People!C84+People!D84+People!K84))&lt;1,"OK","Check")</f>
        <v>OK</v>
      </c>
      <c r="C84" s="97" t="str">
        <f aca="false">IF(ABS('Debt &amp; cash'!M84-'Debt &amp; cash'!E84)&lt;0.001,"OK","Check")</f>
        <v>OK</v>
      </c>
      <c r="D84" s="97" t="str">
        <f aca="false">IF('Debt &amp; cash'!S84&gt;=-0.001,"OK","Check")</f>
        <v>OK</v>
      </c>
      <c r="E84" s="98" t="n">
        <f aca="false">'Debt &amp; cash'!V84</f>
        <v>0.05</v>
      </c>
      <c r="F84" s="97" t="str">
        <f aca="false">IF($A84&lt;1887,"n/a",IF(E84&lt;=cap_debt,"OK","Check"))</f>
        <v>OK</v>
      </c>
      <c r="G84" s="98" t="n">
        <f aca="false">'Debt &amp; cash'!W84</f>
        <v>0.0211942533911537</v>
      </c>
      <c r="H84" s="97" t="str">
        <f aca="false">IF($A84&lt;1887,"n/a",IF(G84&lt;=cap_int,"OK","Check"))</f>
        <v>OK</v>
      </c>
      <c r="I84" s="98" t="n">
        <f aca="false">Budget!AC84</f>
        <v>0.00667828620824458</v>
      </c>
      <c r="J84" s="97" t="str">
        <f aca="false">IF($A84&lt;1887,"n/a",IF(Paths!AC84=1,"War year",IF(I84&lt;=cap_def,"OK","Check")))</f>
        <v>OK</v>
      </c>
      <c r="K84" s="66" t="n">
        <f aca="false">'Debt &amp; cash'!Y84/Economy!O84</f>
        <v>0.00948556321500983</v>
      </c>
      <c r="L84" s="97" t="str">
        <f aca="false">IF('Debt &amp; cash'!Y84*issue_price&lt;=mkt_capacity*Economy!O84+foreign_capacity,"OK","Check")</f>
        <v>OK</v>
      </c>
      <c r="M84" s="97" t="str">
        <f aca="false">IF($A84&lt;1900,"n/a",IF('Gold &amp; money'!K84&gt;=0,"OK","Check"))</f>
        <v>OK</v>
      </c>
      <c r="N84" s="98" t="n">
        <f aca="false">Japan!AA84</f>
        <v>0.0316610879648029</v>
      </c>
      <c r="O84" s="97" t="str">
        <f aca="false">IF(N84&lt;=1,"OK","Check")</f>
        <v>OK</v>
      </c>
      <c r="P84" s="97" t="str">
        <f aca="false">IF($A84&lt;1922,"n/a",IF(AND(Navy!AE84&gt;=0.95,Navy!AE84&lt;=1.1),"OK","Check"))</f>
        <v>OK</v>
      </c>
      <c r="Q84" s="97" t="str">
        <f aca="false">IF(Navy!Z84=0,"n/a",IF(Resources!K84&gt;=Navy!Z84,"OK","Check"))</f>
        <v>OK</v>
      </c>
      <c r="R84" s="97" t="str">
        <f aca="false">IF(AND(gulf_on=1,$A84=gulf_year),IF(Gulf!AF84=1,"OK","Check"),"n/a")</f>
        <v>n/a</v>
      </c>
      <c r="S84" s="50" t="n">
        <f aca="false">COUNTIF(B84:R84,"Check")+COUNTIF(T84:AG84,"Check")+AH84+COUNTIF(AI84,"Check")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29" t="n">
        <f aca="false">COUNTIF(AA84:AG84,"Unverified")</f>
        <v>0</v>
      </c>
      <c r="AI84" s="1" t="str">
        <f aca="false">IF(OR($A84&lt;1918,$A84&gt;1932),"n/a",INDEX(Siberia!$H$38:$H$52,MATCH($A84,Siberia!$A$38:$A$52,0)))</f>
        <v>OK</v>
      </c>
    </row>
    <row r="85" customFormat="false" ht="14.9" hidden="false" customHeight="false" outlineLevel="0" collapsed="false">
      <c r="A85" s="61" t="n">
        <v>1925</v>
      </c>
      <c r="B85" s="97" t="str">
        <f aca="false">IF(ABS(People!L85-(People!B85+People!C85+People!D85+People!K85))&lt;1,"OK","Check")</f>
        <v>OK</v>
      </c>
      <c r="C85" s="97" t="str">
        <f aca="false">IF(ABS('Debt &amp; cash'!M85-'Debt &amp; cash'!E85)&lt;0.001,"OK","Check")</f>
        <v>OK</v>
      </c>
      <c r="D85" s="97" t="str">
        <f aca="false">IF('Debt &amp; cash'!S85&gt;=-0.001,"OK","Check")</f>
        <v>OK</v>
      </c>
      <c r="E85" s="98" t="n">
        <f aca="false">'Debt &amp; cash'!V85</f>
        <v>0.05</v>
      </c>
      <c r="F85" s="97" t="str">
        <f aca="false">IF($A85&lt;1887,"n/a",IF(E85&lt;=cap_debt,"OK","Check"))</f>
        <v>OK</v>
      </c>
      <c r="G85" s="98" t="n">
        <f aca="false">'Debt &amp; cash'!W85</f>
        <v>0.0210449776905625</v>
      </c>
      <c r="H85" s="97" t="str">
        <f aca="false">IF($A85&lt;1887,"n/a",IF(G85&lt;=cap_int,"OK","Check"))</f>
        <v>OK</v>
      </c>
      <c r="I85" s="98" t="n">
        <f aca="false">Budget!AC85</f>
        <v>0.00631637971300819</v>
      </c>
      <c r="J85" s="97" t="str">
        <f aca="false">IF($A85&lt;1887,"n/a",IF(Paths!AC85=1,"War year",IF(I85&lt;=cap_def,"OK","Check")))</f>
        <v>OK</v>
      </c>
      <c r="K85" s="66" t="n">
        <f aca="false">'Debt &amp; cash'!Y85/Economy!O85</f>
        <v>0.00992647265227294</v>
      </c>
      <c r="L85" s="97" t="str">
        <f aca="false">IF('Debt &amp; cash'!Y85*issue_price&lt;=mkt_capacity*Economy!O85+foreign_capacity,"OK","Check")</f>
        <v>OK</v>
      </c>
      <c r="M85" s="97" t="str">
        <f aca="false">IF($A85&lt;1900,"n/a",IF('Gold &amp; money'!K85&gt;=0,"OK","Check"))</f>
        <v>OK</v>
      </c>
      <c r="N85" s="98" t="n">
        <f aca="false">Japan!AA85</f>
        <v>0.0293585090938411</v>
      </c>
      <c r="O85" s="97" t="str">
        <f aca="false">IF(N85&lt;=1,"OK","Check")</f>
        <v>OK</v>
      </c>
      <c r="P85" s="97" t="str">
        <f aca="false">IF($A85&lt;1922,"n/a",IF(AND(Navy!AE85&gt;=0.95,Navy!AE85&lt;=1.1),"OK","Check"))</f>
        <v>OK</v>
      </c>
      <c r="Q85" s="97" t="str">
        <f aca="false">IF(Navy!Z85=0,"n/a",IF(Resources!K85&gt;=Navy!Z85,"OK","Check"))</f>
        <v>OK</v>
      </c>
      <c r="R85" s="97" t="str">
        <f aca="false">IF(AND(gulf_on=1,$A85=gulf_year),IF(Gulf!AF85=1,"OK","Check"),"n/a")</f>
        <v>n/a</v>
      </c>
      <c r="S85" s="50" t="n">
        <f aca="false">COUNTIF(B85:R85,"Check")+COUNTIF(T85:AG85,"Check")+AH85+COUNTIF(AI85,"Check")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29" t="n">
        <f aca="false">COUNTIF(AA85:AG85,"Unverified")</f>
        <v>0</v>
      </c>
      <c r="AI85" s="1" t="str">
        <f aca="false">IF(OR($A85&lt;1918,$A85&gt;1932),"n/a",INDEX(Siberia!$H$38:$H$52,MATCH($A85,Siberia!$A$38:$A$52,0)))</f>
        <v>OK</v>
      </c>
    </row>
    <row r="86" customFormat="false" ht="14.9" hidden="false" customHeight="false" outlineLevel="0" collapsed="false">
      <c r="A86" s="61" t="n">
        <v>1926</v>
      </c>
      <c r="B86" s="97" t="str">
        <f aca="false">IF(ABS(People!L86-(People!B86+People!C86+People!D86+People!K86))&lt;1,"OK","Check")</f>
        <v>OK</v>
      </c>
      <c r="C86" s="97" t="str">
        <f aca="false">IF(ABS('Debt &amp; cash'!M86-'Debt &amp; cash'!E86)&lt;0.001,"OK","Check")</f>
        <v>OK</v>
      </c>
      <c r="D86" s="97" t="str">
        <f aca="false">IF('Debt &amp; cash'!S86&gt;=-0.001,"OK","Check")</f>
        <v>OK</v>
      </c>
      <c r="E86" s="98" t="n">
        <f aca="false">'Debt &amp; cash'!V86</f>
        <v>0.05</v>
      </c>
      <c r="F86" s="97" t="str">
        <f aca="false">IF($A86&lt;1887,"n/a",IF(E86&lt;=cap_debt,"OK","Check"))</f>
        <v>OK</v>
      </c>
      <c r="G86" s="98" t="n">
        <f aca="false">'Debt &amp; cash'!W86</f>
        <v>0.021908807449451</v>
      </c>
      <c r="H86" s="97" t="str">
        <f aca="false">IF($A86&lt;1887,"n/a",IF(G86&lt;=cap_int,"OK","Check"))</f>
        <v>OK</v>
      </c>
      <c r="I86" s="98" t="n">
        <f aca="false">Budget!AC86</f>
        <v>0.00570995457205667</v>
      </c>
      <c r="J86" s="97" t="str">
        <f aca="false">IF($A86&lt;1887,"n/a",IF(Paths!AC86=1,"War year",IF(I86&lt;=cap_def,"OK","Check")))</f>
        <v>OK</v>
      </c>
      <c r="K86" s="66" t="n">
        <f aca="false">'Debt &amp; cash'!Y86/Economy!O86</f>
        <v>0.00857126470480565</v>
      </c>
      <c r="L86" s="97" t="str">
        <f aca="false">IF('Debt &amp; cash'!Y86*issue_price&lt;=mkt_capacity*Economy!O86+foreign_capacity,"OK","Check")</f>
        <v>OK</v>
      </c>
      <c r="M86" s="97" t="str">
        <f aca="false">IF($A86&lt;1900,"n/a",IF('Gold &amp; money'!K86&gt;=0,"OK","Check"))</f>
        <v>OK</v>
      </c>
      <c r="N86" s="98" t="n">
        <f aca="false">Japan!AA86</f>
        <v>0.0285305997825332</v>
      </c>
      <c r="O86" s="97" t="str">
        <f aca="false">IF(N86&lt;=1,"OK","Check")</f>
        <v>OK</v>
      </c>
      <c r="P86" s="97" t="str">
        <f aca="false">IF($A86&lt;1922,"n/a",IF(AND(Navy!AE86&gt;=0.95,Navy!AE86&lt;=1.1),"OK","Check"))</f>
        <v>OK</v>
      </c>
      <c r="Q86" s="97" t="str">
        <f aca="false">IF(Navy!Z86=0,"n/a",IF(Resources!K86&gt;=Navy!Z86,"OK","Check"))</f>
        <v>OK</v>
      </c>
      <c r="R86" s="97" t="str">
        <f aca="false">IF(AND(gulf_on=1,$A86=gulf_year),IF(Gulf!AF86=1,"OK","Check"),"n/a")</f>
        <v>n/a</v>
      </c>
      <c r="S86" s="50" t="n">
        <f aca="false">COUNTIF(B86:R86,"Check")+COUNTIF(T86:AG86,"Check")+AH86+COUNTIF(AI86,"Check")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29" t="n">
        <f aca="false">COUNTIF(AA86:AG86,"Unverified")</f>
        <v>0</v>
      </c>
      <c r="AI86" s="1" t="str">
        <f aca="false">IF(OR($A86&lt;1918,$A86&gt;1932),"n/a",INDEX(Siberia!$H$38:$H$52,MATCH($A86,Siberia!$A$38:$A$52,0)))</f>
        <v>OK</v>
      </c>
    </row>
    <row r="87" customFormat="false" ht="14.9" hidden="false" customHeight="false" outlineLevel="0" collapsed="false">
      <c r="A87" s="61" t="n">
        <v>1927</v>
      </c>
      <c r="B87" s="97" t="str">
        <f aca="false">IF(ABS(People!L87-(People!B87+People!C87+People!D87+People!K87))&lt;1,"OK","Check")</f>
        <v>OK</v>
      </c>
      <c r="C87" s="97" t="str">
        <f aca="false">IF(ABS('Debt &amp; cash'!M87-'Debt &amp; cash'!E87)&lt;0.001,"OK","Check")</f>
        <v>OK</v>
      </c>
      <c r="D87" s="97" t="str">
        <f aca="false">IF('Debt &amp; cash'!S87&gt;=-0.001,"OK","Check")</f>
        <v>OK</v>
      </c>
      <c r="E87" s="98" t="n">
        <f aca="false">'Debt &amp; cash'!V87</f>
        <v>0.05</v>
      </c>
      <c r="F87" s="97" t="str">
        <f aca="false">IF($A87&lt;1887,"n/a",IF(E87&lt;=cap_debt,"OK","Check"))</f>
        <v>OK</v>
      </c>
      <c r="G87" s="98" t="n">
        <f aca="false">'Debt &amp; cash'!W87</f>
        <v>0.0211913280310985</v>
      </c>
      <c r="H87" s="97" t="str">
        <f aca="false">IF($A87&lt;1887,"n/a",IF(G87&lt;=cap_int,"OK","Check"))</f>
        <v>OK</v>
      </c>
      <c r="I87" s="98" t="n">
        <f aca="false">Budget!AC87</f>
        <v>0.00634162667905705</v>
      </c>
      <c r="J87" s="97" t="str">
        <f aca="false">IF($A87&lt;1887,"n/a",IF(Paths!AC87=1,"War year",IF(I87&lt;=cap_def,"OK","Check")))</f>
        <v>OK</v>
      </c>
      <c r="K87" s="66" t="n">
        <f aca="false">'Debt &amp; cash'!Y87/Economy!O87</f>
        <v>0.00803636401657633</v>
      </c>
      <c r="L87" s="97" t="str">
        <f aca="false">IF('Debt &amp; cash'!Y87*issue_price&lt;=mkt_capacity*Economy!O87+foreign_capacity,"OK","Check")</f>
        <v>OK</v>
      </c>
      <c r="M87" s="97" t="str">
        <f aca="false">IF($A87&lt;1900,"n/a",IF('Gold &amp; money'!K87&gt;=0,"OK","Check"))</f>
        <v>OK</v>
      </c>
      <c r="N87" s="98" t="n">
        <f aca="false">Japan!AA87</f>
        <v>0.051718882228827</v>
      </c>
      <c r="O87" s="97" t="str">
        <f aca="false">IF(N87&lt;=1,"OK","Check")</f>
        <v>OK</v>
      </c>
      <c r="P87" s="97" t="str">
        <f aca="false">IF($A87&lt;1922,"n/a",IF(AND(Navy!AE87&gt;=0.95,Navy!AE87&lt;=1.1),"OK","Check"))</f>
        <v>OK</v>
      </c>
      <c r="Q87" s="97" t="str">
        <f aca="false">IF(Navy!Z87=0,"n/a",IF(Resources!K87&gt;=Navy!Z87,"OK","Check"))</f>
        <v>OK</v>
      </c>
      <c r="R87" s="97" t="str">
        <f aca="false">IF(AND(gulf_on=1,$A87=gulf_year),IF(Gulf!AF87=1,"OK","Check"),"n/a")</f>
        <v>n/a</v>
      </c>
      <c r="S87" s="50" t="n">
        <f aca="false">COUNTIF(B87:R87,"Check")+COUNTIF(T87:AG87,"Check")+AH87+COUNTIF(AI87,"Check")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29" t="n">
        <f aca="false">COUNTIF(AA87:AG87,"Unverified")</f>
        <v>0</v>
      </c>
      <c r="AI87" s="1" t="str">
        <f aca="false">IF(OR($A87&lt;1918,$A87&gt;1932),"n/a",INDEX(Siberia!$H$38:$H$52,MATCH($A87,Siberia!$A$38:$A$52,0)))</f>
        <v>OK</v>
      </c>
    </row>
    <row r="88" customFormat="false" ht="14.9" hidden="false" customHeight="false" outlineLevel="0" collapsed="false">
      <c r="A88" s="61" t="n">
        <v>1928</v>
      </c>
      <c r="B88" s="97" t="str">
        <f aca="false">IF(ABS(People!L88-(People!B88+People!C88+People!D88+People!K88))&lt;1,"OK","Check")</f>
        <v>OK</v>
      </c>
      <c r="C88" s="97" t="str">
        <f aca="false">IF(ABS('Debt &amp; cash'!M88-'Debt &amp; cash'!E88)&lt;0.001,"OK","Check")</f>
        <v>OK</v>
      </c>
      <c r="D88" s="97" t="str">
        <f aca="false">IF('Debt &amp; cash'!S88&gt;=-0.001,"OK","Check")</f>
        <v>OK</v>
      </c>
      <c r="E88" s="98" t="n">
        <f aca="false">'Debt &amp; cash'!V88</f>
        <v>0.05</v>
      </c>
      <c r="F88" s="97" t="str">
        <f aca="false">IF($A88&lt;1887,"n/a",IF(E88&lt;=cap_debt,"OK","Check"))</f>
        <v>OK</v>
      </c>
      <c r="G88" s="98" t="n">
        <f aca="false">'Debt &amp; cash'!W88</f>
        <v>0.0205317671862087</v>
      </c>
      <c r="H88" s="97" t="str">
        <f aca="false">IF($A88&lt;1887,"n/a",IF(G88&lt;=cap_int,"OK","Check"))</f>
        <v>OK</v>
      </c>
      <c r="I88" s="98" t="n">
        <f aca="false">Budget!AC88</f>
        <v>0.00600245185371305</v>
      </c>
      <c r="J88" s="97" t="str">
        <f aca="false">IF($A88&lt;1887,"n/a",IF(Paths!AC88=1,"War year",IF(I88&lt;=cap_def,"OK","Check")))</f>
        <v>OK</v>
      </c>
      <c r="K88" s="66" t="n">
        <f aca="false">'Debt &amp; cash'!Y88/Economy!O88</f>
        <v>0.0105155208709761</v>
      </c>
      <c r="L88" s="97" t="str">
        <f aca="false">IF('Debt &amp; cash'!Y88*issue_price&lt;=mkt_capacity*Economy!O88+foreign_capacity,"OK","Check")</f>
        <v>OK</v>
      </c>
      <c r="M88" s="97" t="str">
        <f aca="false">IF($A88&lt;1900,"n/a",IF('Gold &amp; money'!K88&gt;=0,"OK","Check"))</f>
        <v>OK</v>
      </c>
      <c r="N88" s="98" t="n">
        <f aca="false">Japan!AA88</f>
        <v>0.0497462185680936</v>
      </c>
      <c r="O88" s="97" t="str">
        <f aca="false">IF(N88&lt;=1,"OK","Check")</f>
        <v>OK</v>
      </c>
      <c r="P88" s="97" t="str">
        <f aca="false">IF($A88&lt;1922,"n/a",IF(AND(Navy!AE88&gt;=0.95,Navy!AE88&lt;=1.1),"OK","Check"))</f>
        <v>OK</v>
      </c>
      <c r="Q88" s="97" t="str">
        <f aca="false">IF(Navy!Z88=0,"n/a",IF(Resources!K88&gt;=Navy!Z88,"OK","Check"))</f>
        <v>OK</v>
      </c>
      <c r="R88" s="97" t="str">
        <f aca="false">IF(AND(gulf_on=1,$A88=gulf_year),IF(Gulf!AF88=1,"OK","Check"),"n/a")</f>
        <v>n/a</v>
      </c>
      <c r="S88" s="50" t="n">
        <f aca="false">COUNTIF(B88:R88,"Check")+COUNTIF(T88:AG88,"Check")+AH88+COUNTIF(AI88,"Check")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29" t="n">
        <f aca="false">COUNTIF(AA88:AG88,"Unverified")</f>
        <v>0</v>
      </c>
      <c r="AI88" s="1" t="str">
        <f aca="false">IF(OR($A88&lt;1918,$A88&gt;1932),"n/a",INDEX(Siberia!$H$38:$H$52,MATCH($A88,Siberia!$A$38:$A$52,0)))</f>
        <v>OK</v>
      </c>
    </row>
    <row r="89" customFormat="false" ht="14.9" hidden="false" customHeight="false" outlineLevel="0" collapsed="false">
      <c r="A89" s="61" t="n">
        <v>1929</v>
      </c>
      <c r="B89" s="97" t="str">
        <f aca="false">IF(ABS(People!L89-(People!B89+People!C89+People!D89+People!K89))&lt;1,"OK","Check")</f>
        <v>OK</v>
      </c>
      <c r="C89" s="97" t="str">
        <f aca="false">IF(ABS('Debt &amp; cash'!M89-'Debt &amp; cash'!E89)&lt;0.001,"OK","Check")</f>
        <v>OK</v>
      </c>
      <c r="D89" s="97" t="str">
        <f aca="false">IF('Debt &amp; cash'!S89&gt;=-0.001,"OK","Check")</f>
        <v>OK</v>
      </c>
      <c r="E89" s="98" t="n">
        <f aca="false">'Debt &amp; cash'!V89</f>
        <v>0.05</v>
      </c>
      <c r="F89" s="97" t="str">
        <f aca="false">IF($A89&lt;1887,"n/a",IF(E89&lt;=cap_debt,"OK","Check"))</f>
        <v>OK</v>
      </c>
      <c r="G89" s="98" t="n">
        <f aca="false">'Debt &amp; cash'!W89</f>
        <v>0.020845625810787</v>
      </c>
      <c r="H89" s="97" t="str">
        <f aca="false">IF($A89&lt;1887,"n/a",IF(G89&lt;=cap_int,"OK","Check"))</f>
        <v>OK</v>
      </c>
      <c r="I89" s="98" t="n">
        <f aca="false">Budget!AC89</f>
        <v>0.00562651264923603</v>
      </c>
      <c r="J89" s="97" t="str">
        <f aca="false">IF($A89&lt;1887,"n/a",IF(Paths!AC89=1,"War year",IF(I89&lt;=cap_def,"OK","Check")))</f>
        <v>OK</v>
      </c>
      <c r="K89" s="66" t="n">
        <f aca="false">'Debt &amp; cash'!Y89/Economy!O89</f>
        <v>0.010258164679473</v>
      </c>
      <c r="L89" s="97" t="str">
        <f aca="false">IF('Debt &amp; cash'!Y89*issue_price&lt;=mkt_capacity*Economy!O89+foreign_capacity,"OK","Check")</f>
        <v>OK</v>
      </c>
      <c r="M89" s="97" t="str">
        <f aca="false">IF($A89&lt;1900,"n/a",IF('Gold &amp; money'!K89&gt;=0,"OK","Check"))</f>
        <v>OK</v>
      </c>
      <c r="N89" s="98" t="n">
        <f aca="false">Japan!AA89</f>
        <v>0.043602926756544</v>
      </c>
      <c r="O89" s="97" t="str">
        <f aca="false">IF(N89&lt;=1,"OK","Check")</f>
        <v>OK</v>
      </c>
      <c r="P89" s="97" t="str">
        <f aca="false">IF($A89&lt;1922,"n/a",IF(AND(Navy!AE89&gt;=0.95,Navy!AE89&lt;=1.1),"OK","Check"))</f>
        <v>OK</v>
      </c>
      <c r="Q89" s="97" t="str">
        <f aca="false">IF(Navy!Z89=0,"n/a",IF(Resources!K89&gt;=Navy!Z89,"OK","Check"))</f>
        <v>OK</v>
      </c>
      <c r="R89" s="97" t="str">
        <f aca="false">IF(AND(gulf_on=1,$A89=gulf_year),IF(Gulf!AF89=1,"OK","Check"),"n/a")</f>
        <v>n/a</v>
      </c>
      <c r="S89" s="50" t="n">
        <f aca="false">COUNTIF(B89:R89,"Check")+COUNTIF(T89:AG89,"Check")+AH89+COUNTIF(AI89,"Check")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29" t="n">
        <f aca="false">COUNTIF(AA89:AG89,"Unverified")</f>
        <v>0</v>
      </c>
      <c r="AI89" s="1" t="str">
        <f aca="false">IF(OR($A89&lt;1918,$A89&gt;1932),"n/a",INDEX(Siberia!$H$38:$H$52,MATCH($A89,Siberia!$A$38:$A$52,0)))</f>
        <v>OK</v>
      </c>
    </row>
    <row r="90" customFormat="false" ht="14.9" hidden="false" customHeight="false" outlineLevel="0" collapsed="false">
      <c r="A90" s="61" t="n">
        <v>1930</v>
      </c>
      <c r="B90" s="97" t="str">
        <f aca="false">IF(ABS(People!L90-(People!B90+People!C90+People!D90+People!K90))&lt;1,"OK","Check")</f>
        <v>OK</v>
      </c>
      <c r="C90" s="97" t="str">
        <f aca="false">IF(ABS('Debt &amp; cash'!M90-'Debt &amp; cash'!E90)&lt;0.001,"OK","Check")</f>
        <v>OK</v>
      </c>
      <c r="D90" s="97" t="str">
        <f aca="false">IF('Debt &amp; cash'!S90&gt;=-0.001,"OK","Check")</f>
        <v>OK</v>
      </c>
      <c r="E90" s="98" t="n">
        <f aca="false">'Debt &amp; cash'!V90</f>
        <v>0.05</v>
      </c>
      <c r="F90" s="97" t="str">
        <f aca="false">IF($A90&lt;1887,"n/a",IF(E90&lt;=cap_debt,"OK","Check"))</f>
        <v>OK</v>
      </c>
      <c r="G90" s="98" t="n">
        <f aca="false">'Debt &amp; cash'!W90</f>
        <v>0.0240789164875222</v>
      </c>
      <c r="H90" s="97" t="str">
        <f aca="false">IF($A90&lt;1887,"n/a",IF(G90&lt;=cap_int,"OK","Check"))</f>
        <v>OK</v>
      </c>
      <c r="I90" s="98" t="n">
        <f aca="false">Budget!AC90</f>
        <v>0.00583967011099623</v>
      </c>
      <c r="J90" s="97" t="str">
        <f aca="false">IF($A90&lt;1887,"n/a",IF(Paths!AC90=1,"War year",IF(I90&lt;=cap_def,"OK","Check")))</f>
        <v>OK</v>
      </c>
      <c r="K90" s="66" t="n">
        <f aca="false">'Debt &amp; cash'!Y90/Economy!O90</f>
        <v>0.00347558648237106</v>
      </c>
      <c r="L90" s="97" t="str">
        <f aca="false">IF('Debt &amp; cash'!Y90*issue_price&lt;=mkt_capacity*Economy!O90+foreign_capacity,"OK","Check")</f>
        <v>OK</v>
      </c>
      <c r="M90" s="97" t="str">
        <f aca="false">IF($A90&lt;1900,"n/a",IF('Gold &amp; money'!K90&gt;=0,"OK","Check"))</f>
        <v>OK</v>
      </c>
      <c r="N90" s="98" t="n">
        <f aca="false">Japan!AA90</f>
        <v>0.0414521281891521</v>
      </c>
      <c r="O90" s="97" t="str">
        <f aca="false">IF(N90&lt;=1,"OK","Check")</f>
        <v>OK</v>
      </c>
      <c r="P90" s="97" t="str">
        <f aca="false">IF($A90&lt;1922,"n/a",IF(AND(Navy!AE90&gt;=0.95,Navy!AE90&lt;=1.1),"OK","Check"))</f>
        <v>OK</v>
      </c>
      <c r="Q90" s="97" t="str">
        <f aca="false">IF(Navy!Z90=0,"n/a",IF(Resources!K90&gt;=Navy!Z90,"OK","Check"))</f>
        <v>OK</v>
      </c>
      <c r="R90" s="97" t="str">
        <f aca="false">IF(AND(gulf_on=1,$A90=gulf_year),IF(Gulf!AF90=1,"OK","Check"),"n/a")</f>
        <v>n/a</v>
      </c>
      <c r="S90" s="50" t="n">
        <f aca="false">COUNTIF(B90:R90,"Check")+COUNTIF(T90:AG90,"Check")+AH90+COUNTIF(AI90,"Check")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29" t="n">
        <f aca="false">COUNTIF(AA90:AG90,"Unverified")</f>
        <v>0</v>
      </c>
      <c r="AI90" s="1" t="str">
        <f aca="false">IF(OR($A90&lt;1918,$A90&gt;1932),"n/a",INDEX(Siberia!$H$38:$H$52,MATCH($A90,Siberia!$A$38:$A$52,0)))</f>
        <v>OK</v>
      </c>
    </row>
    <row r="91" customFormat="false" ht="14.9" hidden="false" customHeight="false" outlineLevel="0" collapsed="false">
      <c r="A91" s="61" t="n">
        <v>1931</v>
      </c>
      <c r="B91" s="97" t="str">
        <f aca="false">IF(ABS(People!L91-(People!B91+People!C91+People!D91+People!K91))&lt;1,"OK","Check")</f>
        <v>OK</v>
      </c>
      <c r="C91" s="97" t="str">
        <f aca="false">IF(ABS('Debt &amp; cash'!M91-'Debt &amp; cash'!E91)&lt;0.001,"OK","Check")</f>
        <v>OK</v>
      </c>
      <c r="D91" s="97" t="str">
        <f aca="false">IF('Debt &amp; cash'!S91&gt;=-0.001,"OK","Check")</f>
        <v>OK</v>
      </c>
      <c r="E91" s="98" t="n">
        <f aca="false">'Debt &amp; cash'!V91</f>
        <v>0.0523502901878641</v>
      </c>
      <c r="F91" s="97" t="str">
        <f aca="false">IF($A91&lt;1887,"n/a",IF(E91&lt;=cap_debt,"OK","Check"))</f>
        <v>OK</v>
      </c>
      <c r="G91" s="98" t="n">
        <f aca="false">'Debt &amp; cash'!W91</f>
        <v>0.0268520230622871</v>
      </c>
      <c r="H91" s="97" t="str">
        <f aca="false">IF($A91&lt;1887,"n/a",IF(G91&lt;=cap_int,"OK","Check"))</f>
        <v>OK</v>
      </c>
      <c r="I91" s="98" t="n">
        <f aca="false">Budget!AC91</f>
        <v>0.00641367135187561</v>
      </c>
      <c r="J91" s="97" t="str">
        <f aca="false">IF($A91&lt;1887,"n/a",IF(Paths!AC91=1,"War year",IF(I91&lt;=cap_def,"OK","Check")))</f>
        <v>OK</v>
      </c>
      <c r="K91" s="66" t="n">
        <f aca="false">'Debt &amp; cash'!Y91/Economy!O91</f>
        <v>0</v>
      </c>
      <c r="L91" s="97" t="str">
        <f aca="false">IF('Debt &amp; cash'!Y91*issue_price&lt;=mkt_capacity*Economy!O91+foreign_capacity,"OK","Check")</f>
        <v>OK</v>
      </c>
      <c r="M91" s="97" t="str">
        <f aca="false">IF($A91&lt;1900,"n/a",IF('Gold &amp; money'!K91&gt;=0,"OK","Check"))</f>
        <v>OK</v>
      </c>
      <c r="N91" s="98" t="n">
        <f aca="false">Japan!AA91</f>
        <v>0.03846226390796</v>
      </c>
      <c r="O91" s="97" t="str">
        <f aca="false">IF(N91&lt;=1,"OK","Check")</f>
        <v>OK</v>
      </c>
      <c r="P91" s="97" t="str">
        <f aca="false">IF($A91&lt;1922,"n/a",IF(AND(Navy!AE91&gt;=0.95,Navy!AE91&lt;=1.1),"OK","Check"))</f>
        <v>OK</v>
      </c>
      <c r="Q91" s="97" t="str">
        <f aca="false">IF(Navy!Z91=0,"n/a",IF(Resources!K91&gt;=Navy!Z91,"OK","Check"))</f>
        <v>OK</v>
      </c>
      <c r="R91" s="97" t="str">
        <f aca="false">IF(AND(gulf_on=1,$A91=gulf_year),IF(Gulf!AF91=1,"OK","Check"),"n/a")</f>
        <v>n/a</v>
      </c>
      <c r="S91" s="50" t="n">
        <f aca="false">COUNTIF(B91:R91,"Check")+COUNTIF(T91:AG91,"Check")+AH91+COUNTIF(AI91,"Check")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29" t="n">
        <f aca="false">COUNTIF(AA91:AG91,"Unverified")</f>
        <v>0</v>
      </c>
      <c r="AI91" s="1" t="str">
        <f aca="false">IF(OR($A91&lt;1918,$A91&gt;1932),"n/a",INDEX(Siberia!$H$38:$H$52,MATCH($A91,Siberia!$A$38:$A$52,0)))</f>
        <v>OK</v>
      </c>
    </row>
    <row r="92" customFormat="false" ht="14.9" hidden="false" customHeight="false" outlineLevel="0" collapsed="false">
      <c r="A92" s="61" t="n">
        <v>1932</v>
      </c>
      <c r="B92" s="97" t="str">
        <f aca="false">IF(ABS(People!L92-(People!B92+People!C92+People!D92+People!K92))&lt;1,"OK","Check")</f>
        <v>OK</v>
      </c>
      <c r="C92" s="97" t="str">
        <f aca="false">IF(ABS('Debt &amp; cash'!M92-'Debt &amp; cash'!E92)&lt;0.001,"OK","Check")</f>
        <v>OK</v>
      </c>
      <c r="D92" s="97" t="str">
        <f aca="false">IF('Debt &amp; cash'!S92&gt;=-0.001,"OK","Check")</f>
        <v>OK</v>
      </c>
      <c r="E92" s="98" t="n">
        <f aca="false">'Debt &amp; cash'!V92</f>
        <v>0.0549265609919733</v>
      </c>
      <c r="F92" s="97" t="str">
        <f aca="false">IF($A92&lt;1887,"n/a",IF(E92&lt;=cap_debt,"OK","Check"))</f>
        <v>OK</v>
      </c>
      <c r="G92" s="98" t="n">
        <f aca="false">'Debt &amp; cash'!W92</f>
        <v>0.0287100781872037</v>
      </c>
      <c r="H92" s="97" t="str">
        <f aca="false">IF($A92&lt;1887,"n/a",IF(G92&lt;=cap_int,"OK","Check"))</f>
        <v>OK</v>
      </c>
      <c r="I92" s="98" t="n">
        <f aca="false">Budget!AC92</f>
        <v>0.0060851676296098</v>
      </c>
      <c r="J92" s="97" t="str">
        <f aca="false">IF($A92&lt;1887,"n/a",IF(Paths!AC92=1,"War year",IF(I92&lt;=cap_def,"OK","Check")))</f>
        <v>OK</v>
      </c>
      <c r="K92" s="66" t="n">
        <f aca="false">'Debt &amp; cash'!Y92/Economy!O92</f>
        <v>0</v>
      </c>
      <c r="L92" s="97" t="str">
        <f aca="false">IF('Debt &amp; cash'!Y92*issue_price&lt;=mkt_capacity*Economy!O92+foreign_capacity,"OK","Check")</f>
        <v>OK</v>
      </c>
      <c r="M92" s="97" t="str">
        <f aca="false">IF($A92&lt;1900,"n/a",IF('Gold &amp; money'!K92&gt;=0,"OK","Check"))</f>
        <v>OK</v>
      </c>
      <c r="N92" s="98" t="n">
        <f aca="false">Japan!AA92</f>
        <v>0.032099669166501</v>
      </c>
      <c r="O92" s="97" t="str">
        <f aca="false">IF(N92&lt;=1,"OK","Check")</f>
        <v>OK</v>
      </c>
      <c r="P92" s="97" t="str">
        <f aca="false">IF($A92&lt;1922,"n/a",IF(AND(Navy!AE92&gt;=0.95,Navy!AE92&lt;=1.1),"OK","Check"))</f>
        <v>OK</v>
      </c>
      <c r="Q92" s="97" t="str">
        <f aca="false">IF(Navy!Z92=0,"n/a",IF(Resources!K92&gt;=Navy!Z92,"OK","Check"))</f>
        <v>OK</v>
      </c>
      <c r="R92" s="97" t="str">
        <f aca="false">IF(AND(gulf_on=1,$A92=gulf_year),IF(Gulf!AF92=1,"OK","Check"),"n/a")</f>
        <v>n/a</v>
      </c>
      <c r="S92" s="50" t="n">
        <f aca="false">COUNTIF(B92:R92,"Check")+COUNTIF(T92:AG92,"Check")+AH92+COUNTIF(AI92,"Check")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29" t="n">
        <f aca="false">COUNTIF(AA92:AG92,"Unverified")</f>
        <v>0</v>
      </c>
      <c r="AI92" s="1" t="str">
        <f aca="false">IF(OR($A92&lt;1918,$A92&gt;1932),"n/a",INDEX(Siberia!$H$38:$H$52,MATCH($A92,Siberia!$A$38:$A$52,0)))</f>
        <v>OK</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4">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99" t="s">
        <v>97</v>
      </c>
      <c r="B1" s="100"/>
      <c r="C1" s="100"/>
      <c r="D1" s="100"/>
      <c r="E1" s="100"/>
      <c r="F1" s="100"/>
      <c r="G1" s="100"/>
      <c r="H1" s="100"/>
      <c r="I1" s="100"/>
      <c r="J1" s="100"/>
      <c r="K1" s="100"/>
      <c r="L1" s="100"/>
      <c r="M1" s="100"/>
      <c r="N1" s="100"/>
      <c r="O1" s="100"/>
      <c r="P1" s="100"/>
      <c r="Q1" s="100"/>
      <c r="R1" s="100"/>
      <c r="S1" s="100"/>
      <c r="T1" s="100"/>
      <c r="U1" s="100"/>
      <c r="V1" s="100"/>
    </row>
    <row r="2" customFormat="false" ht="18.75" hidden="false" customHeight="true" outlineLevel="0" collapsed="false">
      <c r="A2" s="101" t="s">
        <v>2038</v>
      </c>
      <c r="B2" s="100"/>
      <c r="C2" s="100"/>
      <c r="D2" s="100"/>
      <c r="E2" s="100"/>
      <c r="F2" s="100"/>
      <c r="G2" s="100"/>
      <c r="H2" s="100"/>
      <c r="I2" s="100"/>
      <c r="J2" s="100"/>
      <c r="K2" s="100"/>
      <c r="L2" s="100"/>
      <c r="M2" s="100"/>
      <c r="N2" s="100"/>
      <c r="O2" s="100"/>
      <c r="P2" s="100"/>
      <c r="Q2" s="100"/>
      <c r="R2" s="100"/>
      <c r="S2" s="100"/>
      <c r="T2" s="100"/>
      <c r="U2" s="100"/>
      <c r="V2" s="100"/>
    </row>
    <row r="3" customFormat="false" ht="18.75" hidden="false" customHeight="true" outlineLevel="0" collapsed="false">
      <c r="A3" s="100" t="s">
        <v>2039</v>
      </c>
      <c r="B3" s="100"/>
      <c r="C3" s="100"/>
      <c r="D3" s="100"/>
      <c r="E3" s="100" t="str">
        <f aca="false">Levers!F4</f>
        <v>Story case</v>
      </c>
      <c r="F3" s="100"/>
      <c r="G3" s="100"/>
      <c r="H3" s="100"/>
      <c r="I3" s="100"/>
      <c r="J3" s="100"/>
      <c r="K3" s="100"/>
      <c r="L3" s="100"/>
      <c r="M3" s="100"/>
      <c r="N3" s="100"/>
      <c r="O3" s="100"/>
      <c r="P3" s="100"/>
      <c r="Q3" s="100"/>
      <c r="R3" s="100"/>
      <c r="S3" s="100"/>
      <c r="T3" s="100"/>
      <c r="U3" s="100"/>
      <c r="V3" s="100"/>
    </row>
    <row r="4" customFormat="false" ht="18.75" hidden="false" customHeight="true" outlineLevel="0" collapsed="false">
      <c r="A4" s="100"/>
      <c r="B4" s="100"/>
      <c r="C4" s="100"/>
      <c r="D4" s="100"/>
      <c r="E4" s="100"/>
      <c r="F4" s="100"/>
      <c r="G4" s="100"/>
      <c r="H4" s="100"/>
      <c r="I4" s="100"/>
      <c r="J4" s="100"/>
      <c r="K4" s="100"/>
      <c r="L4" s="100"/>
      <c r="M4" s="100"/>
      <c r="N4" s="100"/>
      <c r="O4" s="100"/>
      <c r="P4" s="100"/>
      <c r="Q4" s="100"/>
      <c r="R4" s="100"/>
      <c r="S4" s="100"/>
      <c r="T4" s="100"/>
      <c r="U4" s="100"/>
      <c r="V4" s="100"/>
    </row>
    <row r="5" customFormat="false" ht="18.75" hidden="false" customHeight="true" outlineLevel="0" collapsed="false">
      <c r="A5" s="102" t="s">
        <v>2040</v>
      </c>
      <c r="B5" s="100"/>
      <c r="C5" s="100"/>
      <c r="D5" s="103" t="n">
        <f aca="false">Japan!AJ86</f>
        <v>2376.99758171989</v>
      </c>
      <c r="E5" s="100"/>
      <c r="F5" s="100"/>
      <c r="G5" s="100"/>
      <c r="H5" s="100"/>
      <c r="I5" s="100"/>
      <c r="J5" s="100"/>
      <c r="K5" s="100"/>
      <c r="L5" s="100"/>
      <c r="M5" s="100"/>
      <c r="N5" s="100"/>
      <c r="O5" s="100"/>
      <c r="P5" s="100"/>
      <c r="Q5" s="100"/>
      <c r="R5" s="100"/>
      <c r="S5" s="100"/>
      <c r="T5" s="100"/>
      <c r="U5" s="100"/>
      <c r="V5" s="100"/>
    </row>
    <row r="6" customFormat="false" ht="18.75" hidden="false" customHeight="true" outlineLevel="0" collapsed="false">
      <c r="A6" s="102" t="s">
        <v>2041</v>
      </c>
      <c r="B6" s="100"/>
      <c r="C6" s="100"/>
      <c r="D6" s="103" t="n">
        <f aca="false">D59</f>
        <v>400</v>
      </c>
      <c r="E6" s="100"/>
      <c r="F6" s="100"/>
      <c r="G6" s="100"/>
      <c r="H6" s="100"/>
      <c r="I6" s="100"/>
      <c r="J6" s="100"/>
      <c r="K6" s="100"/>
      <c r="L6" s="100"/>
      <c r="M6" s="100"/>
      <c r="N6" s="100"/>
      <c r="O6" s="100"/>
      <c r="P6" s="100"/>
      <c r="Q6" s="100"/>
      <c r="R6" s="100"/>
      <c r="S6" s="100"/>
      <c r="T6" s="100"/>
      <c r="U6" s="100"/>
      <c r="V6" s="100"/>
    </row>
    <row r="7" customFormat="false" ht="18.75" hidden="false" customHeight="true" outlineLevel="0" collapsed="false">
      <c r="A7" s="102" t="s">
        <v>2042</v>
      </c>
      <c r="B7" s="100"/>
      <c r="C7" s="100"/>
      <c r="D7" s="103" t="n">
        <f aca="false">D65</f>
        <v>295</v>
      </c>
      <c r="E7" s="100"/>
      <c r="F7" s="100"/>
      <c r="G7" s="100"/>
      <c r="H7" s="100"/>
      <c r="I7" s="100"/>
      <c r="J7" s="100"/>
      <c r="K7" s="100"/>
      <c r="L7" s="100"/>
      <c r="M7" s="100"/>
      <c r="N7" s="100"/>
      <c r="O7" s="100"/>
      <c r="P7" s="100"/>
      <c r="Q7" s="100"/>
      <c r="R7" s="100"/>
      <c r="S7" s="100"/>
      <c r="T7" s="100"/>
      <c r="U7" s="100"/>
      <c r="V7" s="100"/>
    </row>
    <row r="8" customFormat="false" ht="18.75" hidden="false" customHeight="true" outlineLevel="0" collapsed="false">
      <c r="A8" s="102" t="s">
        <v>2043</v>
      </c>
      <c r="B8" s="100"/>
      <c r="C8" s="100"/>
      <c r="D8" s="103" t="n">
        <f aca="false">MAX(0,-MIN(N70:N81))</f>
        <v>121.861234517947</v>
      </c>
      <c r="E8" s="100"/>
      <c r="F8" s="100"/>
      <c r="G8" s="100"/>
      <c r="H8" s="100"/>
      <c r="I8" s="100"/>
      <c r="J8" s="100"/>
      <c r="K8" s="100"/>
      <c r="L8" s="100"/>
      <c r="M8" s="100"/>
      <c r="N8" s="100"/>
      <c r="O8" s="100"/>
      <c r="P8" s="100"/>
      <c r="Q8" s="100"/>
      <c r="R8" s="100"/>
      <c r="S8" s="100"/>
      <c r="T8" s="100"/>
      <c r="U8" s="100"/>
      <c r="V8" s="100"/>
    </row>
    <row r="9" customFormat="false" ht="18.75" hidden="false" customHeight="true" outlineLevel="0" collapsed="false">
      <c r="A9" s="102" t="s">
        <v>2044</v>
      </c>
      <c r="B9" s="100"/>
      <c r="C9" s="100"/>
      <c r="D9" s="103" t="n">
        <f aca="false">MAX(0,-MIN(V70:V81))</f>
        <v>496.861234517947</v>
      </c>
      <c r="E9" s="100"/>
      <c r="F9" s="100"/>
      <c r="G9" s="100"/>
      <c r="H9" s="100"/>
      <c r="I9" s="100"/>
      <c r="J9" s="100"/>
      <c r="K9" s="100"/>
      <c r="L9" s="100"/>
      <c r="M9" s="100"/>
      <c r="N9" s="100"/>
      <c r="O9" s="100"/>
      <c r="P9" s="100"/>
      <c r="Q9" s="100"/>
      <c r="R9" s="100"/>
      <c r="S9" s="100"/>
      <c r="T9" s="100"/>
      <c r="U9" s="100"/>
      <c r="V9" s="100"/>
    </row>
    <row r="10" customFormat="false" ht="18.75" hidden="false" customHeight="true" outlineLevel="0" collapsed="false">
      <c r="A10" s="102" t="s">
        <v>2045</v>
      </c>
      <c r="B10" s="100"/>
      <c r="C10" s="100"/>
      <c r="D10" s="103" t="n">
        <f aca="false">SUM(P70:P81)</f>
        <v>496.861234517947</v>
      </c>
      <c r="E10" s="100"/>
      <c r="F10" s="100"/>
      <c r="G10" s="100"/>
      <c r="H10" s="100"/>
      <c r="I10" s="100"/>
      <c r="J10" s="100"/>
      <c r="K10" s="100"/>
      <c r="L10" s="100"/>
      <c r="M10" s="100"/>
      <c r="N10" s="100"/>
      <c r="O10" s="100"/>
      <c r="P10" s="100"/>
      <c r="Q10" s="100"/>
      <c r="R10" s="100"/>
      <c r="S10" s="100"/>
      <c r="T10" s="100"/>
      <c r="U10" s="100"/>
      <c r="V10" s="100"/>
    </row>
    <row r="11" customFormat="false" ht="18.75" hidden="false" customHeight="true" outlineLevel="0" collapsed="false">
      <c r="A11" s="102" t="s">
        <v>2046</v>
      </c>
      <c r="B11" s="100"/>
      <c r="C11" s="100"/>
      <c r="D11" s="103" t="n">
        <f aca="false">D10*$E$47</f>
        <v>165.620411505982</v>
      </c>
      <c r="E11" s="100"/>
      <c r="F11" s="100"/>
      <c r="G11" s="100"/>
      <c r="H11" s="100"/>
      <c r="I11" s="100"/>
      <c r="J11" s="100"/>
      <c r="K11" s="100"/>
      <c r="L11" s="100"/>
      <c r="M11" s="100"/>
      <c r="N11" s="100"/>
      <c r="O11" s="100"/>
      <c r="P11" s="100"/>
      <c r="Q11" s="100"/>
      <c r="R11" s="100"/>
      <c r="S11" s="100"/>
      <c r="T11" s="100"/>
      <c r="U11" s="100"/>
      <c r="V11" s="100"/>
    </row>
    <row r="12" customFormat="false" ht="18.75" hidden="false" customHeight="true" outlineLevel="0" collapsed="false">
      <c r="A12" s="102" t="s">
        <v>2047</v>
      </c>
      <c r="B12" s="100"/>
      <c r="C12" s="100"/>
      <c r="D12" s="103" t="n">
        <f aca="false">D10-D11</f>
        <v>331.240823011965</v>
      </c>
      <c r="E12" s="100"/>
      <c r="F12" s="100"/>
      <c r="G12" s="100"/>
      <c r="H12" s="100"/>
      <c r="I12" s="100"/>
      <c r="J12" s="100"/>
      <c r="K12" s="100"/>
      <c r="L12" s="100"/>
      <c r="M12" s="100"/>
      <c r="N12" s="100"/>
      <c r="O12" s="100"/>
      <c r="P12" s="100"/>
      <c r="Q12" s="100"/>
      <c r="R12" s="100"/>
      <c r="S12" s="100"/>
      <c r="T12" s="100"/>
      <c r="U12" s="100"/>
      <c r="V12" s="100"/>
    </row>
    <row r="13" customFormat="false" ht="18.75" hidden="false" customHeight="true" outlineLevel="0" collapsed="false">
      <c r="A13" s="102" t="s">
        <v>2048</v>
      </c>
      <c r="B13" s="100"/>
      <c r="C13" s="100"/>
      <c r="D13" s="103" t="n">
        <f aca="false">$E$46</f>
        <v>600</v>
      </c>
      <c r="E13" s="100"/>
      <c r="F13" s="100"/>
      <c r="G13" s="100"/>
      <c r="H13" s="100"/>
      <c r="I13" s="100"/>
      <c r="J13" s="100"/>
      <c r="K13" s="100"/>
      <c r="L13" s="100"/>
      <c r="M13" s="100"/>
      <c r="N13" s="100"/>
      <c r="O13" s="100"/>
      <c r="P13" s="100"/>
      <c r="Q13" s="100"/>
      <c r="R13" s="100"/>
      <c r="S13" s="100"/>
      <c r="T13" s="100"/>
      <c r="U13" s="100"/>
      <c r="V13" s="100"/>
    </row>
    <row r="14" customFormat="false" ht="18.75" hidden="false" customHeight="true" outlineLevel="0" collapsed="false">
      <c r="A14" s="102" t="s">
        <v>2049</v>
      </c>
      <c r="B14" s="100"/>
      <c r="C14" s="100"/>
      <c r="D14" s="103" t="n">
        <f aca="false">D21</f>
        <v>600</v>
      </c>
      <c r="E14" s="100"/>
      <c r="F14" s="100"/>
      <c r="G14" s="100"/>
      <c r="H14" s="100"/>
      <c r="I14" s="100"/>
      <c r="J14" s="100"/>
      <c r="K14" s="100"/>
      <c r="L14" s="100"/>
      <c r="M14" s="100"/>
      <c r="N14" s="100"/>
      <c r="O14" s="100"/>
      <c r="P14" s="100"/>
      <c r="Q14" s="100"/>
      <c r="R14" s="100"/>
      <c r="S14" s="100"/>
      <c r="T14" s="100"/>
      <c r="U14" s="100"/>
      <c r="V14" s="100"/>
    </row>
    <row r="15" customFormat="false" ht="18.75" hidden="false" customHeight="true" outlineLevel="0" collapsed="false">
      <c r="A15" s="102" t="s">
        <v>2050</v>
      </c>
      <c r="B15" s="100"/>
      <c r="C15" s="100"/>
      <c r="D15" s="103" t="n">
        <f aca="false">D14-D10</f>
        <v>103.138765482053</v>
      </c>
      <c r="E15" s="100"/>
      <c r="F15" s="100"/>
      <c r="G15" s="100"/>
      <c r="H15" s="100"/>
      <c r="I15" s="100"/>
      <c r="J15" s="100"/>
      <c r="K15" s="100"/>
      <c r="L15" s="100"/>
      <c r="M15" s="100"/>
      <c r="N15" s="100"/>
      <c r="O15" s="100"/>
      <c r="P15" s="100"/>
      <c r="Q15" s="100"/>
      <c r="R15" s="100"/>
      <c r="S15" s="100"/>
      <c r="T15" s="100"/>
      <c r="U15" s="100"/>
      <c r="V15" s="100"/>
    </row>
    <row r="16" customFormat="false" ht="18.75" hidden="false" customHeight="true" outlineLevel="0" collapsed="false">
      <c r="A16" s="102" t="s">
        <v>2051</v>
      </c>
      <c r="B16" s="100"/>
      <c r="C16" s="100"/>
      <c r="D16" s="103" t="n">
        <f aca="false">MAX(S70:S81)</f>
        <v>0</v>
      </c>
      <c r="E16" s="100"/>
      <c r="F16" s="100"/>
      <c r="G16" s="100"/>
      <c r="H16" s="100"/>
      <c r="I16" s="100"/>
      <c r="J16" s="100"/>
      <c r="K16" s="100"/>
      <c r="L16" s="100"/>
      <c r="M16" s="100"/>
      <c r="N16" s="100"/>
      <c r="O16" s="100"/>
      <c r="P16" s="100"/>
      <c r="Q16" s="100"/>
      <c r="R16" s="100"/>
      <c r="S16" s="100"/>
      <c r="T16" s="100"/>
      <c r="U16" s="100"/>
      <c r="V16" s="100"/>
    </row>
    <row r="17" customFormat="false" ht="18.75" hidden="false" customHeight="true" outlineLevel="0" collapsed="false">
      <c r="A17" s="102" t="s">
        <v>2052</v>
      </c>
      <c r="B17" s="100"/>
      <c r="C17" s="100"/>
      <c r="D17" s="103" t="n">
        <f aca="false">D60</f>
        <v>0</v>
      </c>
      <c r="E17" s="100"/>
      <c r="F17" s="100"/>
      <c r="G17" s="100"/>
      <c r="H17" s="100"/>
      <c r="I17" s="100"/>
      <c r="J17" s="100"/>
      <c r="K17" s="100"/>
      <c r="L17" s="100"/>
      <c r="M17" s="100"/>
      <c r="N17" s="100"/>
      <c r="O17" s="100"/>
      <c r="P17" s="100"/>
      <c r="Q17" s="100"/>
      <c r="R17" s="100"/>
      <c r="S17" s="100"/>
      <c r="T17" s="100"/>
      <c r="U17" s="100"/>
      <c r="V17" s="100"/>
    </row>
    <row r="18" customFormat="false" ht="18.75" hidden="false" customHeight="true" outlineLevel="0" collapsed="false">
      <c r="A18" s="102" t="s">
        <v>2053</v>
      </c>
      <c r="B18" s="100"/>
      <c r="C18" s="100"/>
      <c r="D18" s="103" t="n">
        <f aca="false">D66</f>
        <v>0</v>
      </c>
      <c r="E18" s="100"/>
      <c r="F18" s="100"/>
      <c r="G18" s="100"/>
      <c r="H18" s="100"/>
      <c r="I18" s="100"/>
      <c r="J18" s="100"/>
      <c r="K18" s="100"/>
      <c r="L18" s="100"/>
      <c r="M18" s="100"/>
      <c r="N18" s="100"/>
      <c r="O18" s="100"/>
      <c r="P18" s="100"/>
      <c r="Q18" s="100"/>
      <c r="R18" s="100"/>
      <c r="S18" s="100"/>
      <c r="T18" s="100"/>
      <c r="U18" s="100"/>
      <c r="V18" s="100"/>
    </row>
    <row r="19" customFormat="false" ht="18.75" hidden="false" customHeight="true" outlineLevel="0" collapsed="false">
      <c r="A19" s="102" t="s">
        <v>2054</v>
      </c>
      <c r="B19" s="100"/>
      <c r="C19" s="100"/>
      <c r="D19" s="103" t="n">
        <f aca="false">$E$41/3*$E$37</f>
        <v>375</v>
      </c>
      <c r="E19" s="100"/>
      <c r="F19" s="100"/>
      <c r="G19" s="100"/>
      <c r="H19" s="100"/>
      <c r="I19" s="100"/>
      <c r="J19" s="100"/>
      <c r="K19" s="100"/>
      <c r="L19" s="100"/>
      <c r="M19" s="100"/>
      <c r="N19" s="100"/>
      <c r="O19" s="100"/>
      <c r="P19" s="100"/>
      <c r="Q19" s="100"/>
      <c r="R19" s="100"/>
      <c r="S19" s="100"/>
      <c r="T19" s="100"/>
      <c r="U19" s="100"/>
      <c r="V19" s="100"/>
    </row>
    <row r="20" customFormat="false" ht="18.75" hidden="false" customHeight="true" outlineLevel="0" collapsed="false">
      <c r="A20" s="102"/>
      <c r="B20" s="100"/>
      <c r="C20" s="100"/>
      <c r="D20" s="103"/>
      <c r="E20" s="100"/>
      <c r="F20" s="100"/>
      <c r="G20" s="100"/>
      <c r="H20" s="100"/>
      <c r="I20" s="100"/>
      <c r="J20" s="100"/>
      <c r="K20" s="100"/>
      <c r="L20" s="100"/>
      <c r="M20" s="100"/>
      <c r="N20" s="100"/>
      <c r="O20" s="100"/>
      <c r="P20" s="100"/>
      <c r="Q20" s="100"/>
      <c r="R20" s="100"/>
      <c r="S20" s="100"/>
      <c r="T20" s="100"/>
      <c r="U20" s="100"/>
      <c r="V20" s="100"/>
    </row>
    <row r="21" customFormat="false" ht="18.75" hidden="false" customHeight="true" outlineLevel="0" collapsed="false">
      <c r="A21" s="102" t="s">
        <v>2055</v>
      </c>
      <c r="B21" s="100"/>
      <c r="C21" s="100"/>
      <c r="D21" s="103" t="n">
        <f aca="false">MIN(E46,MIN(E46*E47,'Debt &amp; cash'!S86)/E47,MIN(E46*(1-E47),Abroad!C87*E48)/(1-E47))</f>
        <v>600</v>
      </c>
      <c r="E21" s="100"/>
      <c r="F21" s="100"/>
      <c r="G21" s="100"/>
      <c r="H21" s="100"/>
      <c r="I21" s="100"/>
      <c r="J21" s="100"/>
      <c r="K21" s="100"/>
      <c r="L21" s="100"/>
      <c r="M21" s="100"/>
      <c r="N21" s="100"/>
      <c r="O21" s="100"/>
      <c r="P21" s="100"/>
      <c r="Q21" s="100"/>
      <c r="R21" s="100"/>
      <c r="S21" s="100"/>
      <c r="T21" s="100"/>
      <c r="U21" s="100"/>
      <c r="V21" s="100"/>
    </row>
    <row r="22" customFormat="false" ht="18.75" hidden="false" customHeight="true" outlineLevel="0" collapsed="false">
      <c r="A22" s="100"/>
      <c r="B22" s="100"/>
      <c r="C22" s="100"/>
      <c r="D22" s="100"/>
      <c r="E22" s="100"/>
      <c r="F22" s="100"/>
      <c r="G22" s="100"/>
      <c r="H22" s="100"/>
      <c r="I22" s="100"/>
      <c r="J22" s="100"/>
      <c r="K22" s="100"/>
      <c r="L22" s="100"/>
      <c r="M22" s="100"/>
      <c r="N22" s="100"/>
      <c r="O22" s="100"/>
      <c r="P22" s="100"/>
      <c r="Q22" s="100"/>
      <c r="R22" s="100"/>
      <c r="S22" s="100"/>
      <c r="T22" s="100"/>
      <c r="U22" s="100"/>
      <c r="V22" s="100"/>
    </row>
    <row r="23" customFormat="false" ht="18.75" hidden="false" customHeight="true" outlineLevel="0" collapsed="false">
      <c r="A23" s="104" t="s">
        <v>2056</v>
      </c>
      <c r="B23" s="105"/>
      <c r="C23" s="105"/>
      <c r="D23" s="105"/>
      <c r="E23" s="105"/>
      <c r="F23" s="105"/>
      <c r="G23" s="105"/>
      <c r="H23" s="100"/>
      <c r="I23" s="100"/>
      <c r="J23" s="100"/>
      <c r="K23" s="100"/>
      <c r="L23" s="100"/>
      <c r="M23" s="100"/>
      <c r="N23" s="100"/>
      <c r="O23" s="100"/>
      <c r="P23" s="100"/>
      <c r="Q23" s="100"/>
      <c r="R23" s="100"/>
      <c r="S23" s="100"/>
      <c r="T23" s="100"/>
      <c r="U23" s="100"/>
      <c r="V23" s="100"/>
    </row>
    <row r="24" customFormat="false" ht="48" hidden="false" customHeight="true" outlineLevel="0" collapsed="false">
      <c r="A24" s="76" t="s">
        <v>2057</v>
      </c>
      <c r="B24" s="76"/>
      <c r="C24" s="76" t="s">
        <v>2058</v>
      </c>
      <c r="D24" s="76" t="s">
        <v>2059</v>
      </c>
      <c r="E24" s="76" t="s">
        <v>194</v>
      </c>
      <c r="F24" s="76" t="s">
        <v>195</v>
      </c>
      <c r="G24" s="76" t="s">
        <v>1943</v>
      </c>
      <c r="H24" s="100"/>
      <c r="I24" s="100"/>
      <c r="J24" s="100"/>
      <c r="K24" s="100"/>
      <c r="L24" s="100"/>
      <c r="M24" s="100"/>
      <c r="N24" s="100"/>
      <c r="O24" s="100"/>
      <c r="P24" s="100"/>
      <c r="Q24" s="100"/>
      <c r="R24" s="100"/>
      <c r="S24" s="100"/>
      <c r="T24" s="100"/>
      <c r="U24" s="100"/>
      <c r="V24" s="100"/>
    </row>
    <row r="25" customFormat="false" ht="31.5" hidden="false" customHeight="true" outlineLevel="0" collapsed="false">
      <c r="A25" s="100" t="s">
        <v>2060</v>
      </c>
      <c r="B25" s="100"/>
      <c r="C25" s="106" t="n">
        <v>5400</v>
      </c>
      <c r="D25" s="106" t="n">
        <v>5650</v>
      </c>
      <c r="E25" s="107" t="n">
        <f aca="false">'Japan expansion'!D33</f>
        <v>5400</v>
      </c>
      <c r="F25" s="100" t="s">
        <v>252</v>
      </c>
      <c r="G25" s="108" t="s">
        <v>2061</v>
      </c>
      <c r="H25" s="100"/>
      <c r="I25" s="100"/>
      <c r="J25" s="100"/>
      <c r="K25" s="100"/>
      <c r="L25" s="100"/>
      <c r="M25" s="100"/>
      <c r="N25" s="100"/>
      <c r="O25" s="100"/>
      <c r="P25" s="100"/>
      <c r="Q25" s="100"/>
      <c r="R25" s="100"/>
      <c r="S25" s="100"/>
      <c r="T25" s="100"/>
      <c r="U25" s="100"/>
      <c r="V25" s="100"/>
    </row>
    <row r="26" customFormat="false" ht="31.5" hidden="false" customHeight="true" outlineLevel="0" collapsed="false">
      <c r="A26" s="100" t="s">
        <v>2062</v>
      </c>
      <c r="B26" s="100"/>
      <c r="C26" s="106" t="n">
        <v>400</v>
      </c>
      <c r="D26" s="106" t="n">
        <v>400</v>
      </c>
      <c r="E26" s="107" t="n">
        <f aca="false">'Japan expansion'!D36</f>
        <v>400</v>
      </c>
      <c r="F26" s="100" t="s">
        <v>252</v>
      </c>
      <c r="G26" s="108" t="s">
        <v>2061</v>
      </c>
      <c r="H26" s="100"/>
      <c r="I26" s="100"/>
      <c r="J26" s="100"/>
      <c r="K26" s="100"/>
      <c r="L26" s="100"/>
      <c r="M26" s="100"/>
      <c r="N26" s="100"/>
      <c r="O26" s="100"/>
      <c r="P26" s="100"/>
      <c r="Q26" s="100"/>
      <c r="R26" s="100"/>
      <c r="S26" s="100"/>
      <c r="T26" s="100"/>
      <c r="U26" s="100"/>
      <c r="V26" s="100"/>
    </row>
    <row r="27" customFormat="false" ht="31.5" hidden="false" customHeight="true" outlineLevel="0" collapsed="false">
      <c r="A27" s="100" t="s">
        <v>2063</v>
      </c>
      <c r="B27" s="100"/>
      <c r="C27" s="109" t="n">
        <v>0.08</v>
      </c>
      <c r="D27" s="109" t="n">
        <v>0.08</v>
      </c>
      <c r="E27" s="110" t="n">
        <f aca="false">IF(Levers!$E$4=1,C27,D27)</f>
        <v>0.08</v>
      </c>
      <c r="F27" s="100" t="s">
        <v>214</v>
      </c>
      <c r="G27" s="108" t="s">
        <v>2064</v>
      </c>
      <c r="H27" s="100"/>
      <c r="I27" s="100"/>
      <c r="J27" s="100"/>
      <c r="K27" s="100"/>
      <c r="L27" s="100"/>
      <c r="M27" s="100"/>
      <c r="N27" s="100"/>
      <c r="O27" s="100"/>
      <c r="P27" s="100"/>
      <c r="Q27" s="100"/>
      <c r="R27" s="100"/>
      <c r="S27" s="100"/>
      <c r="T27" s="100"/>
      <c r="U27" s="100"/>
      <c r="V27" s="100"/>
    </row>
    <row r="28" customFormat="false" ht="31.5" hidden="false" customHeight="true" outlineLevel="0" collapsed="false">
      <c r="A28" s="100" t="s">
        <v>2065</v>
      </c>
      <c r="B28" s="100"/>
      <c r="C28" s="106" t="n">
        <v>600</v>
      </c>
      <c r="D28" s="106" t="n">
        <v>700</v>
      </c>
      <c r="E28" s="107" t="n">
        <f aca="false">IF(Levers!$E$4=1,C28,D28)</f>
        <v>600</v>
      </c>
      <c r="F28" s="100" t="s">
        <v>252</v>
      </c>
      <c r="G28" s="108" t="s">
        <v>2066</v>
      </c>
      <c r="H28" s="100"/>
      <c r="I28" s="100"/>
      <c r="J28" s="100"/>
      <c r="K28" s="100"/>
      <c r="L28" s="100"/>
      <c r="M28" s="100"/>
      <c r="N28" s="100"/>
      <c r="O28" s="100"/>
      <c r="P28" s="100"/>
      <c r="Q28" s="100"/>
      <c r="R28" s="100"/>
      <c r="S28" s="100"/>
      <c r="T28" s="100"/>
      <c r="U28" s="100"/>
      <c r="V28" s="100"/>
    </row>
    <row r="29" customFormat="false" ht="31.5" hidden="false" customHeight="true" outlineLevel="0" collapsed="false">
      <c r="A29" s="100" t="s">
        <v>2067</v>
      </c>
      <c r="B29" s="100"/>
      <c r="C29" s="106" t="n">
        <v>400</v>
      </c>
      <c r="D29" s="106" t="n">
        <v>600</v>
      </c>
      <c r="E29" s="107" t="n">
        <f aca="false">'Japan expansion'!D39</f>
        <v>400</v>
      </c>
      <c r="F29" s="100" t="s">
        <v>252</v>
      </c>
      <c r="G29" s="108" t="s">
        <v>2061</v>
      </c>
      <c r="H29" s="100"/>
      <c r="I29" s="100"/>
      <c r="J29" s="100"/>
      <c r="K29" s="100"/>
      <c r="L29" s="100"/>
      <c r="M29" s="100"/>
      <c r="N29" s="100"/>
      <c r="O29" s="100"/>
      <c r="P29" s="100"/>
      <c r="Q29" s="100"/>
      <c r="R29" s="100"/>
      <c r="S29" s="100"/>
      <c r="T29" s="100"/>
      <c r="U29" s="100"/>
      <c r="V29" s="100"/>
    </row>
    <row r="30" customFormat="false" ht="31.5" hidden="false" customHeight="true" outlineLevel="0" collapsed="false">
      <c r="A30" s="100" t="s">
        <v>2068</v>
      </c>
      <c r="B30" s="100"/>
      <c r="C30" s="106" t="n">
        <v>600</v>
      </c>
      <c r="D30" s="106" t="n">
        <v>600</v>
      </c>
      <c r="E30" s="107" t="n">
        <f aca="false">'Japan expansion'!D37</f>
        <v>600</v>
      </c>
      <c r="F30" s="100" t="s">
        <v>252</v>
      </c>
      <c r="G30" s="108" t="s">
        <v>2061</v>
      </c>
      <c r="H30" s="100"/>
      <c r="I30" s="100"/>
      <c r="J30" s="100"/>
      <c r="K30" s="100"/>
      <c r="L30" s="100"/>
      <c r="M30" s="100"/>
      <c r="N30" s="100"/>
      <c r="O30" s="100"/>
      <c r="P30" s="100"/>
      <c r="Q30" s="100"/>
      <c r="R30" s="100"/>
      <c r="S30" s="100"/>
      <c r="T30" s="100"/>
      <c r="U30" s="100"/>
      <c r="V30" s="100"/>
    </row>
    <row r="31" customFormat="false" ht="31.5" hidden="false" customHeight="true" outlineLevel="0" collapsed="false">
      <c r="A31" s="100" t="s">
        <v>2069</v>
      </c>
      <c r="B31" s="100"/>
      <c r="C31" s="106" t="n">
        <v>3700</v>
      </c>
      <c r="D31" s="106" t="n">
        <v>3700</v>
      </c>
      <c r="E31" s="107" t="n">
        <f aca="false">'Japan expansion'!D34</f>
        <v>3700</v>
      </c>
      <c r="F31" s="100" t="s">
        <v>252</v>
      </c>
      <c r="G31" s="108" t="s">
        <v>2061</v>
      </c>
      <c r="H31" s="100"/>
      <c r="I31" s="100"/>
      <c r="J31" s="100"/>
      <c r="K31" s="100"/>
      <c r="L31" s="100"/>
      <c r="M31" s="100"/>
      <c r="N31" s="100"/>
      <c r="O31" s="100"/>
      <c r="P31" s="100"/>
      <c r="Q31" s="100"/>
      <c r="R31" s="100"/>
      <c r="S31" s="100"/>
      <c r="T31" s="100"/>
      <c r="U31" s="100"/>
      <c r="V31" s="100"/>
    </row>
    <row r="32" customFormat="false" ht="31.5" hidden="false" customHeight="true" outlineLevel="0" collapsed="false">
      <c r="A32" s="100" t="s">
        <v>2070</v>
      </c>
      <c r="B32" s="100"/>
      <c r="C32" s="109" t="n">
        <v>0.35</v>
      </c>
      <c r="D32" s="109" t="n">
        <v>0.42</v>
      </c>
      <c r="E32" s="110" t="n">
        <f aca="false">IF(Levers!$E$4=1,C32,D32)</f>
        <v>0.35</v>
      </c>
      <c r="F32" s="100" t="s">
        <v>214</v>
      </c>
      <c r="G32" s="108" t="s">
        <v>2071</v>
      </c>
      <c r="H32" s="100"/>
      <c r="I32" s="100"/>
      <c r="J32" s="100"/>
      <c r="K32" s="100"/>
      <c r="L32" s="100"/>
      <c r="M32" s="100"/>
      <c r="N32" s="100"/>
      <c r="O32" s="100"/>
      <c r="P32" s="100"/>
      <c r="Q32" s="100"/>
      <c r="R32" s="100"/>
      <c r="S32" s="100"/>
      <c r="T32" s="100"/>
      <c r="U32" s="100"/>
      <c r="V32" s="100"/>
    </row>
    <row r="33" customFormat="false" ht="31.5" hidden="false" customHeight="true" outlineLevel="0" collapsed="false">
      <c r="A33" s="100" t="s">
        <v>2072</v>
      </c>
      <c r="B33" s="100"/>
      <c r="C33" s="106" t="n">
        <v>400</v>
      </c>
      <c r="D33" s="106" t="n">
        <v>400</v>
      </c>
      <c r="E33" s="107" t="n">
        <f aca="false">IF(Levers!$E$4=1,C33,D33)</f>
        <v>400</v>
      </c>
      <c r="F33" s="100" t="s">
        <v>252</v>
      </c>
      <c r="G33" s="108" t="s">
        <v>2073</v>
      </c>
      <c r="H33" s="100"/>
      <c r="I33" s="100"/>
      <c r="J33" s="100"/>
      <c r="K33" s="100"/>
      <c r="L33" s="100"/>
      <c r="M33" s="100"/>
      <c r="N33" s="100"/>
      <c r="O33" s="100"/>
      <c r="P33" s="100"/>
      <c r="Q33" s="100"/>
      <c r="R33" s="100"/>
      <c r="S33" s="100"/>
      <c r="T33" s="100"/>
      <c r="U33" s="100"/>
      <c r="V33" s="100"/>
    </row>
    <row r="34" customFormat="false" ht="31.5" hidden="false" customHeight="true" outlineLevel="0" collapsed="false">
      <c r="A34" s="100" t="s">
        <v>2074</v>
      </c>
      <c r="B34" s="100"/>
      <c r="C34" s="106" t="n">
        <v>700</v>
      </c>
      <c r="D34" s="106" t="n">
        <v>700</v>
      </c>
      <c r="E34" s="107" t="n">
        <f aca="false">IF(Levers!$E$4=1,C34,D34)</f>
        <v>700</v>
      </c>
      <c r="F34" s="100" t="s">
        <v>252</v>
      </c>
      <c r="G34" s="108" t="s">
        <v>2075</v>
      </c>
      <c r="H34" s="100"/>
      <c r="I34" s="100"/>
      <c r="J34" s="100"/>
      <c r="K34" s="100"/>
      <c r="L34" s="100"/>
      <c r="M34" s="100"/>
      <c r="N34" s="100"/>
      <c r="O34" s="100"/>
      <c r="P34" s="100"/>
      <c r="Q34" s="100"/>
      <c r="R34" s="100"/>
      <c r="S34" s="100"/>
      <c r="T34" s="100"/>
      <c r="U34" s="100"/>
      <c r="V34" s="100"/>
    </row>
    <row r="35" customFormat="false" ht="31.5" hidden="false" customHeight="true" outlineLevel="0" collapsed="false">
      <c r="A35" s="100" t="s">
        <v>2076</v>
      </c>
      <c r="B35" s="100"/>
      <c r="C35" s="109" t="n">
        <v>0.3</v>
      </c>
      <c r="D35" s="109" t="n">
        <v>0.45</v>
      </c>
      <c r="E35" s="110" t="n">
        <f aca="false">IF(Levers!$E$4=1,C35,D35)</f>
        <v>0.3</v>
      </c>
      <c r="F35" s="100" t="s">
        <v>214</v>
      </c>
      <c r="G35" s="108" t="s">
        <v>2077</v>
      </c>
      <c r="H35" s="100"/>
      <c r="I35" s="100"/>
      <c r="J35" s="100"/>
      <c r="K35" s="100"/>
      <c r="L35" s="100"/>
      <c r="M35" s="100"/>
      <c r="N35" s="100"/>
      <c r="O35" s="100"/>
      <c r="P35" s="100"/>
      <c r="Q35" s="100"/>
      <c r="R35" s="100"/>
      <c r="S35" s="100"/>
      <c r="T35" s="100"/>
      <c r="U35" s="100"/>
      <c r="V35" s="100"/>
    </row>
    <row r="36" customFormat="false" ht="31.5" hidden="false" customHeight="true" outlineLevel="0" collapsed="false">
      <c r="A36" s="100" t="s">
        <v>2078</v>
      </c>
      <c r="B36" s="100"/>
      <c r="C36" s="106" t="n">
        <v>1500</v>
      </c>
      <c r="D36" s="106" t="n">
        <v>1300</v>
      </c>
      <c r="E36" s="107" t="n">
        <f aca="false">IF(Levers!$E$4=1,C36,D36)</f>
        <v>1500</v>
      </c>
      <c r="F36" s="100" t="s">
        <v>252</v>
      </c>
      <c r="G36" s="108" t="s">
        <v>2079</v>
      </c>
      <c r="H36" s="100"/>
      <c r="I36" s="100"/>
      <c r="J36" s="100"/>
      <c r="K36" s="100"/>
      <c r="L36" s="100"/>
      <c r="M36" s="100"/>
      <c r="N36" s="100"/>
      <c r="O36" s="100"/>
      <c r="P36" s="100"/>
      <c r="Q36" s="100"/>
      <c r="R36" s="100"/>
      <c r="S36" s="100"/>
      <c r="T36" s="100"/>
      <c r="U36" s="100"/>
      <c r="V36" s="100"/>
    </row>
    <row r="37" customFormat="false" ht="31.5" hidden="false" customHeight="true" outlineLevel="0" collapsed="false">
      <c r="A37" s="100" t="s">
        <v>2080</v>
      </c>
      <c r="B37" s="100"/>
      <c r="C37" s="106" t="n">
        <v>1.5</v>
      </c>
      <c r="D37" s="106" t="n">
        <v>1.5</v>
      </c>
      <c r="E37" s="107" t="n">
        <f aca="false">IF(Levers!$E$4=1,C37,D37)</f>
        <v>1.5</v>
      </c>
      <c r="F37" s="100" t="s">
        <v>2081</v>
      </c>
      <c r="G37" s="108" t="s">
        <v>2082</v>
      </c>
      <c r="H37" s="100"/>
      <c r="I37" s="100"/>
      <c r="J37" s="100"/>
      <c r="K37" s="100"/>
      <c r="L37" s="100"/>
      <c r="M37" s="100"/>
      <c r="N37" s="100"/>
      <c r="O37" s="100"/>
      <c r="P37" s="100"/>
      <c r="Q37" s="100"/>
      <c r="R37" s="100"/>
      <c r="S37" s="100"/>
      <c r="T37" s="100"/>
      <c r="U37" s="100"/>
      <c r="V37" s="100"/>
    </row>
    <row r="38" customFormat="false" ht="31.5" hidden="false" customHeight="true" outlineLevel="0" collapsed="false">
      <c r="A38" s="100" t="s">
        <v>2083</v>
      </c>
      <c r="B38" s="100"/>
      <c r="C38" s="106" t="n">
        <v>300</v>
      </c>
      <c r="D38" s="106" t="n">
        <v>300</v>
      </c>
      <c r="E38" s="107" t="n">
        <f aca="false">'Japan expansion'!O65</f>
        <v>300</v>
      </c>
      <c r="F38" s="100" t="s">
        <v>252</v>
      </c>
      <c r="G38" s="108" t="s">
        <v>2061</v>
      </c>
      <c r="H38" s="100"/>
      <c r="I38" s="100"/>
      <c r="J38" s="100"/>
      <c r="K38" s="100"/>
      <c r="L38" s="100"/>
      <c r="M38" s="100"/>
      <c r="N38" s="100"/>
      <c r="O38" s="100"/>
      <c r="P38" s="100"/>
      <c r="Q38" s="100"/>
      <c r="R38" s="100"/>
      <c r="S38" s="100"/>
      <c r="T38" s="100"/>
      <c r="U38" s="100"/>
      <c r="V38" s="100"/>
    </row>
    <row r="39" customFormat="false" ht="31.5" hidden="false" customHeight="true" outlineLevel="0" collapsed="false">
      <c r="A39" s="100" t="s">
        <v>2084</v>
      </c>
      <c r="B39" s="100"/>
      <c r="C39" s="106" t="n">
        <v>2000</v>
      </c>
      <c r="D39" s="106" t="n">
        <v>2200</v>
      </c>
      <c r="E39" s="107" t="n">
        <f aca="false">'Japan expansion'!D35</f>
        <v>2000</v>
      </c>
      <c r="F39" s="100" t="s">
        <v>252</v>
      </c>
      <c r="G39" s="108" t="s">
        <v>2061</v>
      </c>
      <c r="H39" s="100"/>
      <c r="I39" s="100"/>
      <c r="J39" s="100"/>
      <c r="K39" s="100"/>
      <c r="L39" s="100"/>
      <c r="M39" s="100"/>
      <c r="N39" s="100"/>
      <c r="O39" s="100"/>
      <c r="P39" s="100"/>
      <c r="Q39" s="100"/>
      <c r="R39" s="100"/>
      <c r="S39" s="100"/>
      <c r="T39" s="100"/>
      <c r="U39" s="100"/>
      <c r="V39" s="100"/>
    </row>
    <row r="40" customFormat="false" ht="31.5" hidden="false" customHeight="true" outlineLevel="0" collapsed="false">
      <c r="A40" s="100" t="s">
        <v>2085</v>
      </c>
      <c r="B40" s="100"/>
      <c r="C40" s="109" t="n">
        <v>0.75</v>
      </c>
      <c r="D40" s="109" t="n">
        <v>0.9</v>
      </c>
      <c r="E40" s="110" t="n">
        <f aca="false">IF(Levers!$E$4=1,C40,D40)</f>
        <v>0.75</v>
      </c>
      <c r="F40" s="100" t="s">
        <v>214</v>
      </c>
      <c r="G40" s="108" t="s">
        <v>2086</v>
      </c>
      <c r="H40" s="100"/>
      <c r="I40" s="100"/>
      <c r="J40" s="100"/>
      <c r="K40" s="100"/>
      <c r="L40" s="100"/>
      <c r="M40" s="100"/>
      <c r="N40" s="100"/>
      <c r="O40" s="100"/>
      <c r="P40" s="100"/>
      <c r="Q40" s="100"/>
      <c r="R40" s="100"/>
      <c r="S40" s="100"/>
      <c r="T40" s="100"/>
      <c r="U40" s="100"/>
      <c r="V40" s="100"/>
    </row>
    <row r="41" customFormat="false" ht="31.5" hidden="false" customHeight="true" outlineLevel="0" collapsed="false">
      <c r="A41" s="100" t="s">
        <v>2087</v>
      </c>
      <c r="B41" s="100"/>
      <c r="C41" s="106" t="n">
        <v>750</v>
      </c>
      <c r="D41" s="106" t="n">
        <v>900</v>
      </c>
      <c r="E41" s="107" t="n">
        <f aca="false">IF(Levers!$E$4=1,C41,D41)</f>
        <v>750</v>
      </c>
      <c r="F41" s="100" t="s">
        <v>252</v>
      </c>
      <c r="G41" s="108" t="s">
        <v>2088</v>
      </c>
      <c r="H41" s="100"/>
      <c r="I41" s="100"/>
      <c r="J41" s="100"/>
      <c r="K41" s="100"/>
      <c r="L41" s="100"/>
      <c r="M41" s="100"/>
      <c r="N41" s="100"/>
      <c r="O41" s="100"/>
      <c r="P41" s="100"/>
      <c r="Q41" s="100"/>
      <c r="R41" s="100"/>
      <c r="S41" s="100"/>
      <c r="T41" s="100"/>
      <c r="U41" s="100"/>
      <c r="V41" s="100"/>
    </row>
    <row r="42" customFormat="false" ht="31.5" hidden="false" customHeight="true" outlineLevel="0" collapsed="false">
      <c r="A42" s="100" t="s">
        <v>2089</v>
      </c>
      <c r="B42" s="100"/>
      <c r="C42" s="106" t="n">
        <v>600</v>
      </c>
      <c r="D42" s="106" t="n">
        <v>450</v>
      </c>
      <c r="E42" s="107" t="n">
        <f aca="false">IF(Levers!$E$4=1,C42,D42)</f>
        <v>600</v>
      </c>
      <c r="F42" s="100" t="s">
        <v>252</v>
      </c>
      <c r="G42" s="108" t="s">
        <v>2090</v>
      </c>
      <c r="H42" s="100"/>
      <c r="I42" s="100"/>
      <c r="J42" s="100"/>
      <c r="K42" s="100"/>
      <c r="L42" s="100"/>
      <c r="M42" s="100"/>
      <c r="N42" s="100"/>
      <c r="O42" s="100"/>
      <c r="P42" s="100"/>
      <c r="Q42" s="100"/>
      <c r="R42" s="100"/>
      <c r="S42" s="100"/>
      <c r="T42" s="100"/>
      <c r="U42" s="100"/>
      <c r="V42" s="100"/>
    </row>
    <row r="43" customFormat="false" ht="31.5" hidden="false" customHeight="true" outlineLevel="0" collapsed="false">
      <c r="A43" s="100" t="s">
        <v>2091</v>
      </c>
      <c r="B43" s="100"/>
      <c r="C43" s="106" t="n">
        <v>500</v>
      </c>
      <c r="D43" s="106" t="n">
        <v>750</v>
      </c>
      <c r="E43" s="107" t="n">
        <f aca="false">IF(Levers!$E$4=1,C43,D43)</f>
        <v>500</v>
      </c>
      <c r="F43" s="100" t="s">
        <v>252</v>
      </c>
      <c r="G43" s="108" t="s">
        <v>2092</v>
      </c>
      <c r="H43" s="100"/>
      <c r="I43" s="100"/>
      <c r="J43" s="100"/>
      <c r="K43" s="100"/>
      <c r="L43" s="100"/>
      <c r="M43" s="100"/>
      <c r="N43" s="100"/>
      <c r="O43" s="100"/>
      <c r="P43" s="100"/>
      <c r="Q43" s="100"/>
      <c r="R43" s="100"/>
      <c r="S43" s="100"/>
      <c r="T43" s="100"/>
      <c r="U43" s="100"/>
      <c r="V43" s="100"/>
    </row>
    <row r="44" customFormat="false" ht="31.5" hidden="false" customHeight="true" outlineLevel="0" collapsed="false">
      <c r="A44" s="100" t="s">
        <v>2093</v>
      </c>
      <c r="B44" s="100"/>
      <c r="C44" s="106" t="n">
        <v>400</v>
      </c>
      <c r="D44" s="106" t="n">
        <v>350</v>
      </c>
      <c r="E44" s="107" t="n">
        <f aca="false">'Japan expansion'!D38</f>
        <v>400</v>
      </c>
      <c r="F44" s="100" t="s">
        <v>252</v>
      </c>
      <c r="G44" s="108" t="s">
        <v>2061</v>
      </c>
      <c r="H44" s="100"/>
      <c r="I44" s="100"/>
      <c r="J44" s="100"/>
      <c r="K44" s="100"/>
      <c r="L44" s="100"/>
      <c r="M44" s="100"/>
      <c r="N44" s="100"/>
      <c r="O44" s="100"/>
      <c r="P44" s="100"/>
      <c r="Q44" s="100"/>
      <c r="R44" s="100"/>
      <c r="S44" s="100"/>
      <c r="T44" s="100"/>
      <c r="U44" s="100"/>
      <c r="V44" s="100"/>
    </row>
    <row r="45" customFormat="false" ht="31.5" hidden="false" customHeight="true" outlineLevel="0" collapsed="false">
      <c r="A45" s="100" t="s">
        <v>2094</v>
      </c>
      <c r="B45" s="100"/>
      <c r="C45" s="106" t="n">
        <v>150</v>
      </c>
      <c r="D45" s="106" t="n">
        <v>150</v>
      </c>
      <c r="E45" s="107" t="n">
        <f aca="false">IF(Levers!$E$4=1,C45,D45)</f>
        <v>150</v>
      </c>
      <c r="F45" s="100" t="s">
        <v>252</v>
      </c>
      <c r="G45" s="108" t="s">
        <v>2095</v>
      </c>
      <c r="H45" s="100"/>
      <c r="I45" s="100"/>
      <c r="J45" s="100"/>
      <c r="K45" s="100"/>
      <c r="L45" s="100"/>
      <c r="M45" s="100"/>
      <c r="N45" s="100"/>
      <c r="O45" s="100"/>
      <c r="P45" s="100"/>
      <c r="Q45" s="100"/>
      <c r="R45" s="100"/>
      <c r="S45" s="100"/>
      <c r="T45" s="100"/>
      <c r="U45" s="100"/>
      <c r="V45" s="100"/>
    </row>
    <row r="46" customFormat="false" ht="31.5" hidden="false" customHeight="true" outlineLevel="0" collapsed="false">
      <c r="A46" s="100" t="s">
        <v>2096</v>
      </c>
      <c r="B46" s="100"/>
      <c r="C46" s="106" t="n">
        <v>600</v>
      </c>
      <c r="D46" s="106" t="n">
        <v>600</v>
      </c>
      <c r="E46" s="107" t="n">
        <f aca="false">IF(Levers!$E$4=1,C46,D46)</f>
        <v>600</v>
      </c>
      <c r="F46" s="100" t="s">
        <v>252</v>
      </c>
      <c r="G46" s="108" t="s">
        <v>2097</v>
      </c>
      <c r="H46" s="100"/>
      <c r="I46" s="100"/>
      <c r="J46" s="100"/>
      <c r="K46" s="100"/>
      <c r="L46" s="100"/>
      <c r="M46" s="100"/>
      <c r="N46" s="100"/>
      <c r="O46" s="100"/>
      <c r="P46" s="100"/>
      <c r="Q46" s="100"/>
      <c r="R46" s="100"/>
      <c r="S46" s="100"/>
      <c r="T46" s="100"/>
      <c r="U46" s="100"/>
      <c r="V46" s="100"/>
    </row>
    <row r="47" customFormat="false" ht="31.5" hidden="false" customHeight="true" outlineLevel="0" collapsed="false">
      <c r="A47" s="100" t="s">
        <v>2098</v>
      </c>
      <c r="B47" s="100"/>
      <c r="C47" s="109" t="n">
        <v>0.333333333333333</v>
      </c>
      <c r="D47" s="109" t="n">
        <v>0.333333333333333</v>
      </c>
      <c r="E47" s="110" t="n">
        <f aca="false">IF(Levers!$E$4=1,C47,D47)</f>
        <v>0.333333333333333</v>
      </c>
      <c r="F47" s="100" t="s">
        <v>214</v>
      </c>
      <c r="G47" s="108" t="s">
        <v>2099</v>
      </c>
      <c r="H47" s="100"/>
      <c r="I47" s="100"/>
      <c r="J47" s="100"/>
      <c r="K47" s="100"/>
      <c r="L47" s="100"/>
      <c r="M47" s="100"/>
      <c r="N47" s="100"/>
      <c r="O47" s="100"/>
      <c r="P47" s="100"/>
      <c r="Q47" s="100"/>
      <c r="R47" s="100"/>
      <c r="S47" s="100"/>
      <c r="T47" s="100"/>
      <c r="U47" s="100"/>
      <c r="V47" s="100"/>
    </row>
    <row r="48" customFormat="false" ht="31.5" hidden="false" customHeight="true" outlineLevel="0" collapsed="false">
      <c r="A48" s="100" t="s">
        <v>2100</v>
      </c>
      <c r="B48" s="100"/>
      <c r="C48" s="109" t="n">
        <v>0.4</v>
      </c>
      <c r="D48" s="109" t="n">
        <v>0.4</v>
      </c>
      <c r="E48" s="110" t="n">
        <f aca="false">IF(Levers!$E$4=1,C48,D48)</f>
        <v>0.4</v>
      </c>
      <c r="F48" s="100" t="s">
        <v>214</v>
      </c>
      <c r="G48" s="108" t="s">
        <v>2101</v>
      </c>
      <c r="H48" s="100"/>
      <c r="I48" s="100"/>
      <c r="J48" s="100"/>
      <c r="K48" s="100"/>
      <c r="L48" s="100"/>
      <c r="M48" s="100"/>
      <c r="N48" s="100"/>
      <c r="O48" s="100"/>
      <c r="P48" s="100"/>
      <c r="Q48" s="100"/>
      <c r="R48" s="100"/>
      <c r="S48" s="100"/>
      <c r="T48" s="100"/>
      <c r="U48" s="100"/>
      <c r="V48" s="100"/>
    </row>
    <row r="49" customFormat="false" ht="31.5" hidden="false" customHeight="true" outlineLevel="0" collapsed="false">
      <c r="A49" s="100" t="s">
        <v>2102</v>
      </c>
      <c r="B49" s="100"/>
      <c r="C49" s="109" t="n">
        <v>0.055</v>
      </c>
      <c r="D49" s="109" t="n">
        <v>0.065</v>
      </c>
      <c r="E49" s="110" t="n">
        <f aca="false">IF(Levers!$E$4=1,C49,D49)</f>
        <v>0.055</v>
      </c>
      <c r="F49" s="100" t="s">
        <v>214</v>
      </c>
      <c r="G49" s="108" t="s">
        <v>2103</v>
      </c>
      <c r="H49" s="100"/>
      <c r="I49" s="100"/>
      <c r="J49" s="100"/>
      <c r="K49" s="100"/>
      <c r="L49" s="100"/>
      <c r="M49" s="100"/>
      <c r="N49" s="100"/>
      <c r="O49" s="100"/>
      <c r="P49" s="100"/>
      <c r="Q49" s="100"/>
      <c r="R49" s="100"/>
      <c r="S49" s="100"/>
      <c r="T49" s="100"/>
      <c r="U49" s="100"/>
      <c r="V49" s="100"/>
    </row>
    <row r="50" customFormat="false" ht="31.5" hidden="false" customHeight="true" outlineLevel="0" collapsed="false">
      <c r="A50" s="100" t="s">
        <v>2104</v>
      </c>
      <c r="B50" s="100"/>
      <c r="C50" s="111" t="n">
        <v>1929</v>
      </c>
      <c r="D50" s="111" t="n">
        <v>1929</v>
      </c>
      <c r="E50" s="112" t="n">
        <f aca="false">IF(Levers!$E$4=1,C50,D50)</f>
        <v>1929</v>
      </c>
      <c r="F50" s="100" t="s">
        <v>306</v>
      </c>
      <c r="G50" s="108" t="s">
        <v>2105</v>
      </c>
      <c r="H50" s="100"/>
      <c r="I50" s="100"/>
      <c r="J50" s="100"/>
      <c r="K50" s="100"/>
      <c r="L50" s="100"/>
      <c r="M50" s="100"/>
      <c r="N50" s="100"/>
      <c r="O50" s="100"/>
      <c r="P50" s="100"/>
      <c r="Q50" s="100"/>
      <c r="R50" s="100"/>
      <c r="S50" s="100"/>
      <c r="T50" s="100"/>
      <c r="U50" s="100"/>
      <c r="V50" s="100"/>
    </row>
    <row r="51" customFormat="false" ht="31.5" hidden="false" customHeight="true" outlineLevel="0" collapsed="false">
      <c r="A51" s="100" t="s">
        <v>2106</v>
      </c>
      <c r="B51" s="100"/>
      <c r="C51" s="111" t="n">
        <v>5</v>
      </c>
      <c r="D51" s="111" t="n">
        <v>5</v>
      </c>
      <c r="E51" s="112" t="n">
        <f aca="false">IF(Levers!$E$4=1,C51,D51)</f>
        <v>5</v>
      </c>
      <c r="F51" s="100" t="s">
        <v>302</v>
      </c>
      <c r="G51" s="108" t="s">
        <v>2107</v>
      </c>
      <c r="H51" s="100"/>
      <c r="I51" s="100"/>
      <c r="J51" s="100"/>
      <c r="K51" s="100"/>
      <c r="L51" s="100"/>
      <c r="M51" s="100"/>
      <c r="N51" s="100"/>
      <c r="O51" s="100"/>
      <c r="P51" s="100"/>
      <c r="Q51" s="100"/>
      <c r="R51" s="100"/>
      <c r="S51" s="100"/>
      <c r="T51" s="100"/>
      <c r="U51" s="100"/>
      <c r="V51" s="100"/>
    </row>
    <row r="52" customFormat="false" ht="31.5" hidden="false" customHeight="true" outlineLevel="0" collapsed="false">
      <c r="A52" s="100" t="s">
        <v>2108</v>
      </c>
      <c r="B52" s="100"/>
      <c r="C52" s="106" t="n">
        <v>100</v>
      </c>
      <c r="D52" s="106" t="n">
        <v>75</v>
      </c>
      <c r="E52" s="107" t="n">
        <f aca="false">IF(Levers!$E$4=1,C52,D52)</f>
        <v>100</v>
      </c>
      <c r="F52" s="100" t="s">
        <v>2109</v>
      </c>
      <c r="G52" s="108" t="s">
        <v>2110</v>
      </c>
      <c r="H52" s="100"/>
      <c r="I52" s="100"/>
      <c r="J52" s="100"/>
      <c r="K52" s="100"/>
      <c r="L52" s="100"/>
      <c r="M52" s="100"/>
      <c r="N52" s="100"/>
      <c r="O52" s="100"/>
      <c r="P52" s="100"/>
      <c r="Q52" s="100"/>
      <c r="R52" s="100"/>
      <c r="S52" s="100"/>
      <c r="T52" s="100"/>
      <c r="U52" s="100"/>
      <c r="V52" s="100"/>
    </row>
    <row r="53" customFormat="false" ht="18.75" hidden="false" customHeight="true" outlineLevel="0" collapsed="false">
      <c r="A53" s="100"/>
      <c r="B53" s="100"/>
      <c r="C53" s="100"/>
      <c r="D53" s="100"/>
      <c r="E53" s="100"/>
      <c r="F53" s="100"/>
      <c r="G53" s="100"/>
      <c r="H53" s="100"/>
      <c r="I53" s="100"/>
      <c r="J53" s="100"/>
      <c r="K53" s="100"/>
      <c r="L53" s="100"/>
      <c r="M53" s="100"/>
      <c r="N53" s="100"/>
      <c r="O53" s="100"/>
      <c r="P53" s="100"/>
      <c r="Q53" s="100"/>
      <c r="R53" s="100"/>
      <c r="S53" s="100"/>
      <c r="T53" s="100"/>
      <c r="U53" s="100"/>
      <c r="V53" s="100"/>
    </row>
    <row r="54" customFormat="false" ht="18.75" hidden="false" customHeight="true" outlineLevel="0" collapsed="false">
      <c r="A54" s="104" t="s">
        <v>2111</v>
      </c>
      <c r="B54" s="105"/>
      <c r="C54" s="105"/>
      <c r="D54" s="105"/>
      <c r="E54" s="105"/>
      <c r="F54" s="105"/>
      <c r="G54" s="105"/>
      <c r="H54" s="100"/>
      <c r="I54" s="100"/>
      <c r="J54" s="100"/>
      <c r="K54" s="100"/>
      <c r="L54" s="100"/>
      <c r="M54" s="100"/>
      <c r="N54" s="100"/>
      <c r="O54" s="100"/>
      <c r="P54" s="100"/>
      <c r="Q54" s="100"/>
      <c r="R54" s="100"/>
      <c r="S54" s="100"/>
      <c r="T54" s="100"/>
      <c r="U54" s="100"/>
      <c r="V54" s="100"/>
    </row>
    <row r="55" customFormat="false" ht="18.75" hidden="false" customHeight="true" outlineLevel="0" collapsed="false">
      <c r="A55" s="100" t="s">
        <v>2112</v>
      </c>
      <c r="B55" s="100"/>
      <c r="C55" s="100"/>
      <c r="D55" s="103" t="n">
        <f aca="false">E26-E29</f>
        <v>0</v>
      </c>
      <c r="E55" s="100"/>
      <c r="F55" s="100"/>
      <c r="G55" s="100"/>
      <c r="H55" s="100"/>
      <c r="I55" s="100"/>
      <c r="J55" s="100"/>
      <c r="K55" s="100"/>
      <c r="L55" s="100"/>
      <c r="M55" s="100"/>
      <c r="N55" s="100"/>
      <c r="O55" s="100"/>
      <c r="P55" s="100"/>
      <c r="Q55" s="100"/>
      <c r="R55" s="100"/>
      <c r="S55" s="100"/>
      <c r="T55" s="100"/>
      <c r="U55" s="100"/>
      <c r="V55" s="100"/>
    </row>
    <row r="56" customFormat="false" ht="18.75" hidden="false" customHeight="true" outlineLevel="0" collapsed="false">
      <c r="A56" s="100" t="s">
        <v>2113</v>
      </c>
      <c r="B56" s="100"/>
      <c r="C56" s="100"/>
      <c r="D56" s="103" t="n">
        <f aca="false">MAX(0,E25-E29)</f>
        <v>5000</v>
      </c>
      <c r="E56" s="100"/>
      <c r="F56" s="100"/>
      <c r="G56" s="100"/>
      <c r="H56" s="100"/>
      <c r="I56" s="100"/>
      <c r="J56" s="100"/>
      <c r="K56" s="100"/>
      <c r="L56" s="100"/>
      <c r="M56" s="100"/>
      <c r="N56" s="100"/>
      <c r="O56" s="100"/>
      <c r="P56" s="100"/>
      <c r="Q56" s="100"/>
      <c r="R56" s="100"/>
      <c r="S56" s="100"/>
      <c r="T56" s="100"/>
      <c r="U56" s="100"/>
      <c r="V56" s="100"/>
    </row>
    <row r="57" customFormat="false" ht="18.75" hidden="false" customHeight="true" outlineLevel="0" collapsed="false">
      <c r="A57" s="100" t="s">
        <v>2114</v>
      </c>
      <c r="B57" s="100"/>
      <c r="C57" s="100"/>
      <c r="D57" s="103" t="n">
        <f aca="false">D56*E27</f>
        <v>400</v>
      </c>
      <c r="E57" s="100"/>
      <c r="F57" s="100"/>
      <c r="G57" s="100"/>
      <c r="H57" s="100"/>
      <c r="I57" s="100"/>
      <c r="J57" s="100"/>
      <c r="K57" s="100"/>
      <c r="L57" s="100"/>
      <c r="M57" s="100"/>
      <c r="N57" s="100"/>
      <c r="O57" s="100"/>
      <c r="P57" s="100"/>
      <c r="Q57" s="100"/>
      <c r="R57" s="100"/>
      <c r="S57" s="100"/>
      <c r="T57" s="100"/>
      <c r="U57" s="100"/>
      <c r="V57" s="100"/>
    </row>
    <row r="58" customFormat="false" ht="18.75" hidden="false" customHeight="true" outlineLevel="0" collapsed="false">
      <c r="A58" s="100" t="s">
        <v>2115</v>
      </c>
      <c r="B58" s="100"/>
      <c r="C58" s="100"/>
      <c r="D58" s="103" t="n">
        <f aca="false">MAX(0,D57-D55)</f>
        <v>400</v>
      </c>
      <c r="E58" s="100"/>
      <c r="F58" s="100"/>
      <c r="G58" s="100"/>
      <c r="H58" s="100"/>
      <c r="I58" s="100"/>
      <c r="J58" s="100"/>
      <c r="K58" s="100"/>
      <c r="L58" s="100"/>
      <c r="M58" s="100"/>
      <c r="N58" s="100"/>
      <c r="O58" s="100"/>
      <c r="P58" s="100"/>
      <c r="Q58" s="100"/>
      <c r="R58" s="100"/>
      <c r="S58" s="100"/>
      <c r="T58" s="100"/>
      <c r="U58" s="100"/>
      <c r="V58" s="100"/>
    </row>
    <row r="59" customFormat="false" ht="18.75" hidden="false" customHeight="true" outlineLevel="0" collapsed="false">
      <c r="A59" s="100" t="s">
        <v>2116</v>
      </c>
      <c r="B59" s="100"/>
      <c r="C59" s="100"/>
      <c r="D59" s="103" t="n">
        <f aca="false">MIN(D58,E28)</f>
        <v>400</v>
      </c>
      <c r="E59" s="100"/>
      <c r="F59" s="100"/>
      <c r="G59" s="100"/>
      <c r="H59" s="100"/>
      <c r="I59" s="100"/>
      <c r="J59" s="100"/>
      <c r="K59" s="100"/>
      <c r="L59" s="100"/>
      <c r="M59" s="100"/>
      <c r="N59" s="100"/>
      <c r="O59" s="100"/>
      <c r="P59" s="100"/>
      <c r="Q59" s="100"/>
      <c r="R59" s="100"/>
      <c r="S59" s="100"/>
      <c r="T59" s="100"/>
      <c r="U59" s="100"/>
      <c r="V59" s="100"/>
    </row>
    <row r="60" customFormat="false" ht="18.75" hidden="false" customHeight="true" outlineLevel="0" collapsed="false">
      <c r="A60" s="100" t="s">
        <v>2117</v>
      </c>
      <c r="B60" s="100"/>
      <c r="C60" s="100"/>
      <c r="D60" s="103" t="n">
        <f aca="false">MAX(0,D58-D59)</f>
        <v>0</v>
      </c>
      <c r="E60" s="100"/>
      <c r="F60" s="100"/>
      <c r="G60" s="100"/>
      <c r="H60" s="100"/>
      <c r="I60" s="100"/>
      <c r="J60" s="100"/>
      <c r="K60" s="100"/>
      <c r="L60" s="100"/>
      <c r="M60" s="100"/>
      <c r="N60" s="100"/>
      <c r="O60" s="100"/>
      <c r="P60" s="100"/>
      <c r="Q60" s="100"/>
      <c r="R60" s="100"/>
      <c r="S60" s="100"/>
      <c r="T60" s="100"/>
      <c r="U60" s="100"/>
      <c r="V60" s="100"/>
    </row>
    <row r="61" customFormat="false" ht="18.75" hidden="false" customHeight="true" outlineLevel="0" collapsed="false">
      <c r="A61" s="100" t="s">
        <v>2118</v>
      </c>
      <c r="B61" s="100"/>
      <c r="C61" s="100"/>
      <c r="D61" s="103" t="n">
        <f aca="false">E31*E32</f>
        <v>1295</v>
      </c>
      <c r="E61" s="100"/>
      <c r="F61" s="100"/>
      <c r="G61" s="100"/>
      <c r="H61" s="100"/>
      <c r="I61" s="100"/>
      <c r="J61" s="100"/>
      <c r="K61" s="100"/>
      <c r="L61" s="100"/>
      <c r="M61" s="100"/>
      <c r="N61" s="100"/>
      <c r="O61" s="100"/>
      <c r="P61" s="100"/>
      <c r="Q61" s="100"/>
      <c r="R61" s="100"/>
      <c r="S61" s="100"/>
      <c r="T61" s="100"/>
      <c r="U61" s="100"/>
      <c r="V61" s="100"/>
    </row>
    <row r="62" customFormat="false" ht="18.75" hidden="false" customHeight="true" outlineLevel="0" collapsed="false">
      <c r="A62" s="100" t="s">
        <v>2119</v>
      </c>
      <c r="B62" s="100"/>
      <c r="C62" s="100"/>
      <c r="D62" s="103" t="n">
        <f aca="false">E30</f>
        <v>600</v>
      </c>
      <c r="E62" s="100"/>
      <c r="F62" s="100"/>
      <c r="G62" s="100"/>
      <c r="H62" s="100"/>
      <c r="I62" s="100"/>
      <c r="J62" s="100"/>
      <c r="K62" s="100"/>
      <c r="L62" s="100"/>
      <c r="M62" s="100"/>
      <c r="N62" s="100"/>
      <c r="O62" s="100"/>
      <c r="P62" s="100"/>
      <c r="Q62" s="100"/>
      <c r="R62" s="100"/>
      <c r="S62" s="100"/>
      <c r="T62" s="100"/>
      <c r="U62" s="100"/>
      <c r="V62" s="100"/>
    </row>
    <row r="63" customFormat="false" ht="18.75" hidden="false" customHeight="true" outlineLevel="0" collapsed="false">
      <c r="A63" s="100" t="s">
        <v>2120</v>
      </c>
      <c r="B63" s="100"/>
      <c r="C63" s="100"/>
      <c r="D63" s="103" t="n">
        <f aca="false">D59</f>
        <v>400</v>
      </c>
      <c r="E63" s="100"/>
      <c r="F63" s="100"/>
      <c r="G63" s="100"/>
      <c r="H63" s="100"/>
      <c r="I63" s="100"/>
      <c r="J63" s="100"/>
      <c r="K63" s="100"/>
      <c r="L63" s="100"/>
      <c r="M63" s="100"/>
      <c r="N63" s="100"/>
      <c r="O63" s="100"/>
      <c r="P63" s="100"/>
      <c r="Q63" s="100"/>
      <c r="R63" s="100"/>
      <c r="S63" s="100"/>
      <c r="T63" s="100"/>
      <c r="U63" s="100"/>
      <c r="V63" s="100"/>
    </row>
    <row r="64" customFormat="false" ht="18.75" hidden="false" customHeight="true" outlineLevel="0" collapsed="false">
      <c r="A64" s="100" t="s">
        <v>2121</v>
      </c>
      <c r="B64" s="100"/>
      <c r="C64" s="100"/>
      <c r="D64" s="103" t="n">
        <f aca="false">MIN(E33,E34*(1-E35))</f>
        <v>400</v>
      </c>
      <c r="E64" s="100"/>
      <c r="F64" s="100"/>
      <c r="G64" s="100"/>
      <c r="H64" s="100"/>
      <c r="I64" s="100"/>
      <c r="J64" s="100"/>
      <c r="K64" s="100"/>
      <c r="L64" s="100"/>
      <c r="M64" s="100"/>
      <c r="N64" s="100"/>
      <c r="O64" s="100"/>
      <c r="P64" s="100"/>
      <c r="Q64" s="100"/>
      <c r="R64" s="100"/>
      <c r="S64" s="100"/>
      <c r="T64" s="100"/>
      <c r="U64" s="100"/>
      <c r="V64" s="100"/>
    </row>
    <row r="65" customFormat="false" ht="18.75" hidden="false" customHeight="true" outlineLevel="0" collapsed="false">
      <c r="A65" s="100" t="s">
        <v>2122</v>
      </c>
      <c r="B65" s="100"/>
      <c r="C65" s="100"/>
      <c r="D65" s="103" t="n">
        <f aca="false">MIN(D64,MAX(0,D61-D62-D63))</f>
        <v>295</v>
      </c>
      <c r="E65" s="100"/>
      <c r="F65" s="100"/>
      <c r="G65" s="100"/>
      <c r="H65" s="100"/>
      <c r="I65" s="100"/>
      <c r="J65" s="100"/>
      <c r="K65" s="100"/>
      <c r="L65" s="100"/>
      <c r="M65" s="100"/>
      <c r="N65" s="100"/>
      <c r="O65" s="100"/>
      <c r="P65" s="100"/>
      <c r="Q65" s="100"/>
      <c r="R65" s="100"/>
      <c r="S65" s="100"/>
      <c r="T65" s="100"/>
      <c r="U65" s="100"/>
      <c r="V65" s="100"/>
    </row>
    <row r="66" customFormat="false" ht="18.75" hidden="false" customHeight="true" outlineLevel="0" collapsed="false">
      <c r="A66" s="100" t="s">
        <v>2123</v>
      </c>
      <c r="B66" s="100"/>
      <c r="C66" s="100"/>
      <c r="D66" s="103" t="n">
        <f aca="false">MAX(0,D61-D62-D63-D65)</f>
        <v>0</v>
      </c>
      <c r="E66" s="100"/>
      <c r="F66" s="100"/>
      <c r="G66" s="100"/>
      <c r="H66" s="100"/>
      <c r="I66" s="100"/>
      <c r="J66" s="100"/>
      <c r="K66" s="100"/>
      <c r="L66" s="100"/>
      <c r="M66" s="100"/>
      <c r="N66" s="100"/>
      <c r="O66" s="100"/>
      <c r="P66" s="100"/>
      <c r="Q66" s="100"/>
      <c r="R66" s="100"/>
      <c r="S66" s="100"/>
      <c r="T66" s="100"/>
      <c r="U66" s="100"/>
      <c r="V66" s="100"/>
    </row>
    <row r="67" customFormat="false" ht="18.75" hidden="false" customHeight="true" outlineLevel="0" collapsed="false">
      <c r="A67" s="100"/>
      <c r="B67" s="100"/>
      <c r="C67" s="100"/>
      <c r="D67" s="103"/>
      <c r="E67" s="100"/>
      <c r="F67" s="100"/>
      <c r="G67" s="100"/>
      <c r="H67" s="100"/>
      <c r="I67" s="100"/>
      <c r="J67" s="100"/>
      <c r="K67" s="100"/>
      <c r="L67" s="100"/>
      <c r="M67" s="100"/>
      <c r="N67" s="100"/>
      <c r="O67" s="100"/>
      <c r="P67" s="100"/>
      <c r="Q67" s="100"/>
      <c r="R67" s="100"/>
      <c r="S67" s="100"/>
      <c r="T67" s="100"/>
      <c r="U67" s="100"/>
      <c r="V67" s="100"/>
    </row>
    <row r="68" customFormat="false" ht="18.75" hidden="false" customHeight="true" outlineLevel="0" collapsed="false">
      <c r="A68" s="100"/>
      <c r="B68" s="100"/>
      <c r="C68" s="100"/>
      <c r="D68" s="103"/>
      <c r="E68" s="100"/>
      <c r="F68" s="100"/>
      <c r="G68" s="100"/>
      <c r="H68" s="100"/>
      <c r="I68" s="100"/>
      <c r="J68" s="100"/>
      <c r="K68" s="100"/>
      <c r="L68" s="100"/>
      <c r="M68" s="100"/>
      <c r="N68" s="100"/>
      <c r="O68" s="100"/>
      <c r="P68" s="100"/>
      <c r="Q68" s="100"/>
      <c r="R68" s="100"/>
      <c r="S68" s="100"/>
      <c r="T68" s="100"/>
      <c r="U68" s="100"/>
      <c r="V68" s="100"/>
    </row>
    <row r="69" customFormat="false" ht="48" hidden="false" customHeight="true" outlineLevel="0" collapsed="false">
      <c r="A69" s="76" t="s">
        <v>2124</v>
      </c>
      <c r="B69" s="76" t="s">
        <v>2125</v>
      </c>
      <c r="C69" s="76" t="s">
        <v>2126</v>
      </c>
      <c r="D69" s="113" t="s">
        <v>2127</v>
      </c>
      <c r="E69" s="76" t="s">
        <v>2128</v>
      </c>
      <c r="F69" s="76" t="s">
        <v>2129</v>
      </c>
      <c r="G69" s="76" t="s">
        <v>2130</v>
      </c>
      <c r="H69" s="76" t="s">
        <v>2131</v>
      </c>
      <c r="I69" s="76" t="s">
        <v>2132</v>
      </c>
      <c r="J69" s="76" t="s">
        <v>2133</v>
      </c>
      <c r="K69" s="76" t="s">
        <v>2134</v>
      </c>
      <c r="L69" s="76" t="s">
        <v>2135</v>
      </c>
      <c r="M69" s="76" t="s">
        <v>2136</v>
      </c>
      <c r="N69" s="76" t="s">
        <v>2137</v>
      </c>
      <c r="O69" s="76" t="s">
        <v>2138</v>
      </c>
      <c r="P69" s="76" t="s">
        <v>2139</v>
      </c>
      <c r="Q69" s="76" t="s">
        <v>2140</v>
      </c>
      <c r="R69" s="76" t="s">
        <v>2141</v>
      </c>
      <c r="S69" s="76" t="s">
        <v>2142</v>
      </c>
      <c r="T69" s="76" t="s">
        <v>2143</v>
      </c>
      <c r="U69" s="76" t="s">
        <v>2144</v>
      </c>
      <c r="V69" s="76" t="s">
        <v>2145</v>
      </c>
    </row>
    <row r="70" customFormat="false" ht="18.75" hidden="false" customHeight="true" outlineLevel="0" collapsed="false">
      <c r="A70" s="114" t="n">
        <v>1</v>
      </c>
      <c r="B70" s="115" t="n">
        <f aca="false">IF(AND(A70&gt;=4,A70&lt;=6),$E$39*$E$40*CHOOSE(A70-3,0.4,0.35,0.25),0)</f>
        <v>0</v>
      </c>
      <c r="C70" s="115" t="n">
        <f aca="false">IF(AND(A70&gt;=4,A70&lt;=6),$E$41/3,0)</f>
        <v>0</v>
      </c>
      <c r="D70" s="115" t="n">
        <f aca="false">IF(AND(A70&gt;=4,A70&lt;=6),$E$43*CHOOSE(A70-3,0.5,0.35,0.15),0)</f>
        <v>0</v>
      </c>
      <c r="E70" s="115" t="n">
        <f aca="false">Japan!$X$86*(jp_coupon+jp_foreign_repay)/12+IF(A70=12,$J$89,0)</f>
        <v>3.64353908632445</v>
      </c>
      <c r="F70" s="115" t="n">
        <f aca="false">IF(AND(A70&gt;=4,A70&lt;=6),$E$42/3,IF(A70&gt;=7,$E$52,0))</f>
        <v>0</v>
      </c>
      <c r="G70" s="115" t="n">
        <f aca="false">SUM(B70:E70)-F70</f>
        <v>3.64353908632445</v>
      </c>
      <c r="H70" s="115" t="n">
        <f aca="false">$E$44+$E$45</f>
        <v>550</v>
      </c>
      <c r="I70" s="115" t="n">
        <f aca="false">MIN(H70,MAX(0,G70))</f>
        <v>3.64353908632445</v>
      </c>
      <c r="J70" s="115" t="n">
        <f aca="false">H70-I70</f>
        <v>546.356460913676</v>
      </c>
      <c r="K70" s="115" t="n">
        <f aca="false">$E$36</f>
        <v>1500</v>
      </c>
      <c r="L70" s="115" t="n">
        <f aca="false">$E$41/3*$E$37</f>
        <v>375</v>
      </c>
      <c r="M70" s="115" t="n">
        <f aca="false">G70-I70</f>
        <v>0</v>
      </c>
      <c r="N70" s="115" t="n">
        <f aca="false">$E$36-M70</f>
        <v>1500</v>
      </c>
      <c r="O70" s="115" t="n">
        <f aca="false">MAX(0,L70-K70+M70)</f>
        <v>0</v>
      </c>
      <c r="P70" s="115" t="n">
        <f aca="false">IF(AND(A70&gt;=4,A70&lt;=6),MIN(O70,MAX(0,$D$21-SUM(P$69:P69))),0)</f>
        <v>0</v>
      </c>
      <c r="Q70" s="115" t="n">
        <f aca="false">K70-M70+P70</f>
        <v>1500</v>
      </c>
      <c r="R70" s="115" t="n">
        <f aca="false">Q70-L70</f>
        <v>1125</v>
      </c>
      <c r="S70" s="115" t="n">
        <f aca="false">MAX(0,-R70)</f>
        <v>0</v>
      </c>
      <c r="T70" s="115" t="n">
        <f aca="false">SUM(P$70:P70)</f>
        <v>0</v>
      </c>
      <c r="U70" s="115" t="n">
        <f aca="false">IF(A70&gt;=4,$D$65,0)</f>
        <v>0</v>
      </c>
      <c r="V70" s="115" t="n">
        <f aca="false">N70-L70</f>
        <v>1125</v>
      </c>
    </row>
    <row r="71" customFormat="false" ht="18.75" hidden="false" customHeight="true" outlineLevel="0" collapsed="false">
      <c r="A71" s="114" t="n">
        <v>2</v>
      </c>
      <c r="B71" s="115" t="n">
        <f aca="false">IF(AND(A71&gt;=4,A71&lt;=6),$E$39*$E$40*CHOOSE(A71-3,0.4,0.35,0.25),0)</f>
        <v>0</v>
      </c>
      <c r="C71" s="115" t="n">
        <f aca="false">IF(AND(A71&gt;=4,A71&lt;=6),$E$41/3,0)</f>
        <v>0</v>
      </c>
      <c r="D71" s="115" t="n">
        <f aca="false">IF(AND(A71&gt;=4,A71&lt;=6),$E$43*CHOOSE(A71-3,0.5,0.35,0.15),0)</f>
        <v>0</v>
      </c>
      <c r="E71" s="115" t="n">
        <f aca="false">Japan!$X$86*(jp_coupon+jp_foreign_repay)/12+IF(A71=12,$J$89,0)</f>
        <v>3.64353908632445</v>
      </c>
      <c r="F71" s="115" t="n">
        <f aca="false">IF(AND(A71&gt;=4,A71&lt;=6),$E$42/3,IF(A71&gt;=7,$E$52,0))</f>
        <v>0</v>
      </c>
      <c r="G71" s="115" t="n">
        <f aca="false">SUM(B71:E71)-F71</f>
        <v>3.64353908632445</v>
      </c>
      <c r="H71" s="115" t="n">
        <f aca="false">J70</f>
        <v>546.356460913676</v>
      </c>
      <c r="I71" s="115" t="n">
        <f aca="false">MIN(H71,MAX(0,G71))</f>
        <v>3.64353908632445</v>
      </c>
      <c r="J71" s="115" t="n">
        <f aca="false">H71-I71</f>
        <v>542.712921827351</v>
      </c>
      <c r="K71" s="115" t="n">
        <f aca="false">Q70</f>
        <v>1500</v>
      </c>
      <c r="L71" s="115" t="n">
        <f aca="false">$E$41/3*$E$37</f>
        <v>375</v>
      </c>
      <c r="M71" s="115" t="n">
        <f aca="false">G71-I71</f>
        <v>0</v>
      </c>
      <c r="N71" s="115" t="n">
        <f aca="false">N70-M71</f>
        <v>1500</v>
      </c>
      <c r="O71" s="115" t="n">
        <f aca="false">MAX(0,L71-K71+M71)</f>
        <v>0</v>
      </c>
      <c r="P71" s="115" t="n">
        <f aca="false">IF(AND(A71&gt;=4,A71&lt;=6),MIN(O71,MAX(0,$D$21-SUM(P$69:P70))),0)</f>
        <v>0</v>
      </c>
      <c r="Q71" s="115" t="n">
        <f aca="false">K71-M71+P71</f>
        <v>1500</v>
      </c>
      <c r="R71" s="115" t="n">
        <f aca="false">Q71-L71</f>
        <v>1125</v>
      </c>
      <c r="S71" s="115" t="n">
        <f aca="false">MAX(0,-R71)</f>
        <v>0</v>
      </c>
      <c r="T71" s="115" t="n">
        <f aca="false">SUM(P$70:P71)</f>
        <v>0</v>
      </c>
      <c r="U71" s="115" t="n">
        <f aca="false">IF(A71&gt;=4,$D$65,0)</f>
        <v>0</v>
      </c>
      <c r="V71" s="115" t="n">
        <f aca="false">N71-L71</f>
        <v>1125</v>
      </c>
    </row>
    <row r="72" customFormat="false" ht="18.75" hidden="false" customHeight="true" outlineLevel="0" collapsed="false">
      <c r="A72" s="114" t="n">
        <v>3</v>
      </c>
      <c r="B72" s="115" t="n">
        <f aca="false">IF(AND(A72&gt;=4,A72&lt;=6),$E$39*$E$40*CHOOSE(A72-3,0.4,0.35,0.25),0)</f>
        <v>0</v>
      </c>
      <c r="C72" s="115" t="n">
        <f aca="false">IF(AND(A72&gt;=4,A72&lt;=6),$E$41/3,0)</f>
        <v>0</v>
      </c>
      <c r="D72" s="115" t="n">
        <f aca="false">IF(AND(A72&gt;=4,A72&lt;=6),$E$43*CHOOSE(A72-3,0.5,0.35,0.15),0)</f>
        <v>0</v>
      </c>
      <c r="E72" s="115" t="n">
        <f aca="false">Japan!$X$86*(jp_coupon+jp_foreign_repay)/12+IF(A72=12,$J$89,0)</f>
        <v>3.64353908632445</v>
      </c>
      <c r="F72" s="115" t="n">
        <f aca="false">IF(AND(A72&gt;=4,A72&lt;=6),$E$42/3,IF(A72&gt;=7,$E$52,0))</f>
        <v>0</v>
      </c>
      <c r="G72" s="115" t="n">
        <f aca="false">SUM(B72:E72)-F72</f>
        <v>3.64353908632445</v>
      </c>
      <c r="H72" s="115" t="n">
        <f aca="false">J71</f>
        <v>542.712921827351</v>
      </c>
      <c r="I72" s="115" t="n">
        <f aca="false">MIN(H72,MAX(0,G72))</f>
        <v>3.64353908632445</v>
      </c>
      <c r="J72" s="115" t="n">
        <f aca="false">H72-I72</f>
        <v>539.069382741027</v>
      </c>
      <c r="K72" s="115" t="n">
        <f aca="false">Q71</f>
        <v>1500</v>
      </c>
      <c r="L72" s="115" t="n">
        <f aca="false">$E$41/3*$E$37</f>
        <v>375</v>
      </c>
      <c r="M72" s="115" t="n">
        <f aca="false">G72-I72</f>
        <v>0</v>
      </c>
      <c r="N72" s="115" t="n">
        <f aca="false">N71-M72</f>
        <v>1500</v>
      </c>
      <c r="O72" s="115" t="n">
        <f aca="false">MAX(0,L72-K72+M72)</f>
        <v>0</v>
      </c>
      <c r="P72" s="115" t="n">
        <f aca="false">IF(AND(A72&gt;=4,A72&lt;=6),MIN(O72,MAX(0,$D$21-SUM(P$69:P71))),0)</f>
        <v>0</v>
      </c>
      <c r="Q72" s="115" t="n">
        <f aca="false">K72-M72+P72</f>
        <v>1500</v>
      </c>
      <c r="R72" s="115" t="n">
        <f aca="false">Q72-L72</f>
        <v>1125</v>
      </c>
      <c r="S72" s="115" t="n">
        <f aca="false">MAX(0,-R72)</f>
        <v>0</v>
      </c>
      <c r="T72" s="115" t="n">
        <f aca="false">SUM(P$70:P72)</f>
        <v>0</v>
      </c>
      <c r="U72" s="115" t="n">
        <f aca="false">IF(A72&gt;=4,$D$65,0)</f>
        <v>0</v>
      </c>
      <c r="V72" s="115" t="n">
        <f aca="false">N72-L72</f>
        <v>1125</v>
      </c>
    </row>
    <row r="73" customFormat="false" ht="18.75" hidden="false" customHeight="true" outlineLevel="0" collapsed="false">
      <c r="A73" s="114" t="n">
        <v>4</v>
      </c>
      <c r="B73" s="115" t="n">
        <f aca="false">IF(AND(A73&gt;=4,A73&lt;=6),$E$39*$E$40*CHOOSE(A73-3,0.4,0.35,0.25),0)</f>
        <v>600</v>
      </c>
      <c r="C73" s="115" t="n">
        <f aca="false">IF(AND(A73&gt;=4,A73&lt;=6),$E$41/3,0)</f>
        <v>250</v>
      </c>
      <c r="D73" s="115" t="n">
        <f aca="false">IF(AND(A73&gt;=4,A73&lt;=6),$E$43*CHOOSE(A73-3,0.5,0.35,0.15),0)</f>
        <v>250</v>
      </c>
      <c r="E73" s="115" t="n">
        <f aca="false">Japan!$X$86*(jp_coupon+jp_foreign_repay)/12+IF(A73=12,$J$89,0)</f>
        <v>3.64353908632445</v>
      </c>
      <c r="F73" s="115" t="n">
        <f aca="false">IF(AND(A73&gt;=4,A73&lt;=6),$E$42/3,IF(A73&gt;=7,$E$52,0))</f>
        <v>200</v>
      </c>
      <c r="G73" s="115" t="n">
        <f aca="false">SUM(B73:E73)-F73</f>
        <v>903.643539086324</v>
      </c>
      <c r="H73" s="115" t="n">
        <f aca="false">J72</f>
        <v>539.069382741027</v>
      </c>
      <c r="I73" s="115" t="n">
        <f aca="false">MIN(H73,MAX(0,G73))</f>
        <v>539.069382741027</v>
      </c>
      <c r="J73" s="115" t="n">
        <f aca="false">H73-I73</f>
        <v>0</v>
      </c>
      <c r="K73" s="115" t="n">
        <f aca="false">Q72</f>
        <v>1500</v>
      </c>
      <c r="L73" s="115" t="n">
        <f aca="false">$E$41/3*$E$37</f>
        <v>375</v>
      </c>
      <c r="M73" s="115" t="n">
        <f aca="false">G73-I73</f>
        <v>364.574156345298</v>
      </c>
      <c r="N73" s="115" t="n">
        <f aca="false">N72-M73</f>
        <v>1135.4258436547</v>
      </c>
      <c r="O73" s="115" t="n">
        <f aca="false">MAX(0,L73-K73+M73)</f>
        <v>0</v>
      </c>
      <c r="P73" s="115" t="n">
        <f aca="false">IF(AND(A73&gt;=4,A73&lt;=6),MIN(O73,MAX(0,$D$21-SUM(P$69:P72))),0)</f>
        <v>0</v>
      </c>
      <c r="Q73" s="115" t="n">
        <f aca="false">K73-M73+P73</f>
        <v>1135.4258436547</v>
      </c>
      <c r="R73" s="115" t="n">
        <f aca="false">Q73-L73</f>
        <v>760.425843654702</v>
      </c>
      <c r="S73" s="115" t="n">
        <f aca="false">MAX(0,-R73)</f>
        <v>0</v>
      </c>
      <c r="T73" s="115" t="n">
        <f aca="false">SUM(P$70:P73)</f>
        <v>0</v>
      </c>
      <c r="U73" s="115" t="n">
        <f aca="false">IF(A73&gt;=4,$D$65,0)</f>
        <v>295</v>
      </c>
      <c r="V73" s="115" t="n">
        <f aca="false">N73-L73</f>
        <v>760.425843654702</v>
      </c>
    </row>
    <row r="74" customFormat="false" ht="18.75" hidden="false" customHeight="true" outlineLevel="0" collapsed="false">
      <c r="A74" s="114" t="n">
        <v>5</v>
      </c>
      <c r="B74" s="115" t="n">
        <f aca="false">IF(AND(A74&gt;=4,A74&lt;=6),$E$39*$E$40*CHOOSE(A74-3,0.4,0.35,0.25),0)</f>
        <v>525</v>
      </c>
      <c r="C74" s="115" t="n">
        <f aca="false">IF(AND(A74&gt;=4,A74&lt;=6),$E$41/3,0)</f>
        <v>250</v>
      </c>
      <c r="D74" s="115" t="n">
        <f aca="false">IF(AND(A74&gt;=4,A74&lt;=6),$E$43*CHOOSE(A74-3,0.5,0.35,0.15),0)</f>
        <v>175</v>
      </c>
      <c r="E74" s="115" t="n">
        <f aca="false">Japan!$X$86*(jp_coupon+jp_foreign_repay)/12+IF(A74=12,$J$89,0)</f>
        <v>3.64353908632445</v>
      </c>
      <c r="F74" s="115" t="n">
        <f aca="false">IF(AND(A74&gt;=4,A74&lt;=6),$E$42/3,IF(A74&gt;=7,$E$52,0))</f>
        <v>200</v>
      </c>
      <c r="G74" s="115" t="n">
        <f aca="false">SUM(B74:E74)-F74</f>
        <v>753.643539086325</v>
      </c>
      <c r="H74" s="115" t="n">
        <f aca="false">J73</f>
        <v>0</v>
      </c>
      <c r="I74" s="115" t="n">
        <f aca="false">MIN(H74,MAX(0,G74))</f>
        <v>0</v>
      </c>
      <c r="J74" s="115" t="n">
        <f aca="false">H74-I74</f>
        <v>0</v>
      </c>
      <c r="K74" s="115" t="n">
        <f aca="false">Q73</f>
        <v>1135.4258436547</v>
      </c>
      <c r="L74" s="115" t="n">
        <f aca="false">$E$41/3*$E$37</f>
        <v>375</v>
      </c>
      <c r="M74" s="115" t="n">
        <f aca="false">G74-I74</f>
        <v>753.643539086325</v>
      </c>
      <c r="N74" s="115" t="n">
        <f aca="false">N73-M74</f>
        <v>381.782304568378</v>
      </c>
      <c r="O74" s="115" t="n">
        <f aca="false">MAX(0,L74-K74+M74)</f>
        <v>0</v>
      </c>
      <c r="P74" s="115" t="n">
        <f aca="false">IF(AND(A74&gt;=4,A74&lt;=6),MIN(O74,MAX(0,$D$21-SUM(P$69:P73))),0)</f>
        <v>0</v>
      </c>
      <c r="Q74" s="115" t="n">
        <f aca="false">K74-M74+P74</f>
        <v>381.782304568378</v>
      </c>
      <c r="R74" s="115" t="n">
        <f aca="false">Q74-L74</f>
        <v>6.78230456837753</v>
      </c>
      <c r="S74" s="115" t="n">
        <f aca="false">MAX(0,-R74)</f>
        <v>0</v>
      </c>
      <c r="T74" s="115" t="n">
        <f aca="false">SUM(P$70:P74)</f>
        <v>0</v>
      </c>
      <c r="U74" s="115" t="n">
        <f aca="false">IF(A74&gt;=4,$D$65,0)</f>
        <v>295</v>
      </c>
      <c r="V74" s="115" t="n">
        <f aca="false">N74-L74</f>
        <v>6.78230456837753</v>
      </c>
    </row>
    <row r="75" customFormat="false" ht="18.75" hidden="false" customHeight="true" outlineLevel="0" collapsed="false">
      <c r="A75" s="114" t="n">
        <v>6</v>
      </c>
      <c r="B75" s="115" t="n">
        <f aca="false">IF(AND(A75&gt;=4,A75&lt;=6),$E$39*$E$40*CHOOSE(A75-3,0.4,0.35,0.25),0)</f>
        <v>375</v>
      </c>
      <c r="C75" s="115" t="n">
        <f aca="false">IF(AND(A75&gt;=4,A75&lt;=6),$E$41/3,0)</f>
        <v>250</v>
      </c>
      <c r="D75" s="115" t="n">
        <f aca="false">IF(AND(A75&gt;=4,A75&lt;=6),$E$43*CHOOSE(A75-3,0.5,0.35,0.15),0)</f>
        <v>75</v>
      </c>
      <c r="E75" s="115" t="n">
        <f aca="false">Japan!$X$86*(jp_coupon+jp_foreign_repay)/12+IF(A75=12,$J$89,0)</f>
        <v>3.64353908632445</v>
      </c>
      <c r="F75" s="115" t="n">
        <f aca="false">IF(AND(A75&gt;=4,A75&lt;=6),$E$42/3,IF(A75&gt;=7,$E$52,0))</f>
        <v>200</v>
      </c>
      <c r="G75" s="115" t="n">
        <f aca="false">SUM(B75:E75)-F75</f>
        <v>503.643539086325</v>
      </c>
      <c r="H75" s="115" t="n">
        <f aca="false">J74</f>
        <v>0</v>
      </c>
      <c r="I75" s="115" t="n">
        <f aca="false">MIN(H75,MAX(0,G75))</f>
        <v>0</v>
      </c>
      <c r="J75" s="115" t="n">
        <f aca="false">H75-I75</f>
        <v>0</v>
      </c>
      <c r="K75" s="115" t="n">
        <f aca="false">Q74</f>
        <v>381.782304568378</v>
      </c>
      <c r="L75" s="115" t="n">
        <f aca="false">$E$41/3*$E$37</f>
        <v>375</v>
      </c>
      <c r="M75" s="115" t="n">
        <f aca="false">G75-I75</f>
        <v>503.643539086325</v>
      </c>
      <c r="N75" s="115" t="n">
        <f aca="false">N74-M75</f>
        <v>-121.861234517947</v>
      </c>
      <c r="O75" s="115" t="n">
        <f aca="false">MAX(0,L75-K75+M75)</f>
        <v>496.861234517947</v>
      </c>
      <c r="P75" s="115" t="n">
        <f aca="false">IF(AND(A75&gt;=4,A75&lt;=6),MIN(O75,MAX(0,$D$21-SUM(P$69:P74))),0)</f>
        <v>496.861234517947</v>
      </c>
      <c r="Q75" s="115" t="n">
        <f aca="false">K75-M75+P75</f>
        <v>375</v>
      </c>
      <c r="R75" s="115" t="n">
        <f aca="false">Q75-L75</f>
        <v>0</v>
      </c>
      <c r="S75" s="115" t="n">
        <f aca="false">MAX(0,-R75)</f>
        <v>-0</v>
      </c>
      <c r="T75" s="115" t="n">
        <f aca="false">SUM(P$70:P75)</f>
        <v>496.861234517947</v>
      </c>
      <c r="U75" s="115" t="n">
        <f aca="false">IF(A75&gt;=4,$D$65,0)</f>
        <v>295</v>
      </c>
      <c r="V75" s="115" t="n">
        <f aca="false">N75-L75</f>
        <v>-496.861234517947</v>
      </c>
    </row>
    <row r="76" customFormat="false" ht="18.75" hidden="false" customHeight="true" outlineLevel="0" collapsed="false">
      <c r="A76" s="114" t="n">
        <v>7</v>
      </c>
      <c r="B76" s="115" t="n">
        <f aca="false">IF(AND(A76&gt;=4,A76&lt;=6),$E$39*$E$40*CHOOSE(A76-3,0.4,0.35,0.25),0)</f>
        <v>0</v>
      </c>
      <c r="C76" s="115" t="n">
        <f aca="false">IF(AND(A76&gt;=4,A76&lt;=6),$E$41/3,0)</f>
        <v>0</v>
      </c>
      <c r="D76" s="115" t="n">
        <f aca="false">IF(AND(A76&gt;=4,A76&lt;=6),$E$43*CHOOSE(A76-3,0.5,0.35,0.15),0)</f>
        <v>0</v>
      </c>
      <c r="E76" s="115" t="n">
        <f aca="false">Japan!$X$86*(jp_coupon+jp_foreign_repay)/12+IF(A76=12,$J$89,0)</f>
        <v>3.64353908632445</v>
      </c>
      <c r="F76" s="115" t="n">
        <f aca="false">IF(AND(A76&gt;=4,A76&lt;=6),$E$42/3,IF(A76&gt;=7,$E$52,0))</f>
        <v>100</v>
      </c>
      <c r="G76" s="115" t="n">
        <f aca="false">SUM(B76:E76)-F76</f>
        <v>-96.3564609136756</v>
      </c>
      <c r="H76" s="115" t="n">
        <f aca="false">J75</f>
        <v>0</v>
      </c>
      <c r="I76" s="115" t="n">
        <f aca="false">MIN(H76,MAX(0,G76))</f>
        <v>0</v>
      </c>
      <c r="J76" s="115" t="n">
        <f aca="false">H76-I76</f>
        <v>0</v>
      </c>
      <c r="K76" s="115" t="n">
        <f aca="false">Q75</f>
        <v>375</v>
      </c>
      <c r="L76" s="115" t="n">
        <f aca="false">$E$41/3*$E$37</f>
        <v>375</v>
      </c>
      <c r="M76" s="115" t="n">
        <f aca="false">G76-I76</f>
        <v>-96.3564609136756</v>
      </c>
      <c r="N76" s="115" t="n">
        <f aca="false">N75-M76</f>
        <v>-25.5047736042714</v>
      </c>
      <c r="O76" s="115" t="n">
        <f aca="false">MAX(0,L76-K76+M76)</f>
        <v>0</v>
      </c>
      <c r="P76" s="115" t="n">
        <f aca="false">IF(AND(A76&gt;=4,A76&lt;=6),MIN(O76,MAX(0,$D$21-SUM(P$69:P75))),0)</f>
        <v>0</v>
      </c>
      <c r="Q76" s="115" t="n">
        <f aca="false">K76-M76+P76</f>
        <v>471.356460913676</v>
      </c>
      <c r="R76" s="115" t="n">
        <f aca="false">Q76-L76</f>
        <v>96.3564609136756</v>
      </c>
      <c r="S76" s="115" t="n">
        <f aca="false">MAX(0,-R76)</f>
        <v>0</v>
      </c>
      <c r="T76" s="115" t="n">
        <f aca="false">SUM(P$70:P76)</f>
        <v>496.861234517947</v>
      </c>
      <c r="U76" s="115" t="n">
        <f aca="false">IF(A76&gt;=4,$D$65,0)</f>
        <v>295</v>
      </c>
      <c r="V76" s="115" t="n">
        <f aca="false">N76-L76</f>
        <v>-400.504773604271</v>
      </c>
    </row>
    <row r="77" customFormat="false" ht="18.75" hidden="false" customHeight="true" outlineLevel="0" collapsed="false">
      <c r="A77" s="114" t="n">
        <v>8</v>
      </c>
      <c r="B77" s="115" t="n">
        <f aca="false">IF(AND(A77&gt;=4,A77&lt;=6),$E$39*$E$40*CHOOSE(A77-3,0.4,0.35,0.25),0)</f>
        <v>0</v>
      </c>
      <c r="C77" s="115" t="n">
        <f aca="false">IF(AND(A77&gt;=4,A77&lt;=6),$E$41/3,0)</f>
        <v>0</v>
      </c>
      <c r="D77" s="115" t="n">
        <f aca="false">IF(AND(A77&gt;=4,A77&lt;=6),$E$43*CHOOSE(A77-3,0.5,0.35,0.15),0)</f>
        <v>0</v>
      </c>
      <c r="E77" s="115" t="n">
        <f aca="false">Japan!$X$86*(jp_coupon+jp_foreign_repay)/12+IF(A77=12,$J$89,0)</f>
        <v>3.64353908632445</v>
      </c>
      <c r="F77" s="115" t="n">
        <f aca="false">IF(AND(A77&gt;=4,A77&lt;=6),$E$42/3,IF(A77&gt;=7,$E$52,0))</f>
        <v>100</v>
      </c>
      <c r="G77" s="115" t="n">
        <f aca="false">SUM(B77:E77)-F77</f>
        <v>-96.3564609136756</v>
      </c>
      <c r="H77" s="115" t="n">
        <f aca="false">J76</f>
        <v>0</v>
      </c>
      <c r="I77" s="115" t="n">
        <f aca="false">MIN(H77,MAX(0,G77))</f>
        <v>0</v>
      </c>
      <c r="J77" s="115" t="n">
        <f aca="false">H77-I77</f>
        <v>0</v>
      </c>
      <c r="K77" s="115" t="n">
        <f aca="false">Q76</f>
        <v>471.356460913676</v>
      </c>
      <c r="L77" s="115" t="n">
        <f aca="false">$E$41/3*$E$37</f>
        <v>375</v>
      </c>
      <c r="M77" s="115" t="n">
        <f aca="false">G77-I77</f>
        <v>-96.3564609136756</v>
      </c>
      <c r="N77" s="115" t="n">
        <f aca="false">N76-M77</f>
        <v>70.8516873094041</v>
      </c>
      <c r="O77" s="115" t="n">
        <f aca="false">MAX(0,L77-K77+M77)</f>
        <v>0</v>
      </c>
      <c r="P77" s="115" t="n">
        <f aca="false">IF(AND(A77&gt;=4,A77&lt;=6),MIN(O77,MAX(0,$D$21-SUM(P$69:P76))),0)</f>
        <v>0</v>
      </c>
      <c r="Q77" s="115" t="n">
        <f aca="false">K77-M77+P77</f>
        <v>567.712921827351</v>
      </c>
      <c r="R77" s="115" t="n">
        <f aca="false">Q77-L77</f>
        <v>192.712921827351</v>
      </c>
      <c r="S77" s="115" t="n">
        <f aca="false">MAX(0,-R77)</f>
        <v>0</v>
      </c>
      <c r="T77" s="115" t="n">
        <f aca="false">SUM(P$70:P77)</f>
        <v>496.861234517947</v>
      </c>
      <c r="U77" s="115" t="n">
        <f aca="false">IF(A77&gt;=4,$D$65,0)</f>
        <v>295</v>
      </c>
      <c r="V77" s="115" t="n">
        <f aca="false">N77-L77</f>
        <v>-304.148312690596</v>
      </c>
    </row>
    <row r="78" customFormat="false" ht="18.75" hidden="false" customHeight="true" outlineLevel="0" collapsed="false">
      <c r="A78" s="114" t="n">
        <v>9</v>
      </c>
      <c r="B78" s="115" t="n">
        <f aca="false">IF(AND(A78&gt;=4,A78&lt;=6),$E$39*$E$40*CHOOSE(A78-3,0.4,0.35,0.25),0)</f>
        <v>0</v>
      </c>
      <c r="C78" s="115" t="n">
        <f aca="false">IF(AND(A78&gt;=4,A78&lt;=6),$E$41/3,0)</f>
        <v>0</v>
      </c>
      <c r="D78" s="115" t="n">
        <f aca="false">IF(AND(A78&gt;=4,A78&lt;=6),$E$43*CHOOSE(A78-3,0.5,0.35,0.15),0)</f>
        <v>0</v>
      </c>
      <c r="E78" s="115" t="n">
        <f aca="false">Japan!$X$86*(jp_coupon+jp_foreign_repay)/12+IF(A78=12,$J$89,0)</f>
        <v>3.64353908632445</v>
      </c>
      <c r="F78" s="115" t="n">
        <f aca="false">IF(AND(A78&gt;=4,A78&lt;=6),$E$42/3,IF(A78&gt;=7,$E$52,0))</f>
        <v>100</v>
      </c>
      <c r="G78" s="115" t="n">
        <f aca="false">SUM(B78:E78)-F78</f>
        <v>-96.3564609136756</v>
      </c>
      <c r="H78" s="115" t="n">
        <f aca="false">J77</f>
        <v>0</v>
      </c>
      <c r="I78" s="115" t="n">
        <f aca="false">MIN(H78,MAX(0,G78))</f>
        <v>0</v>
      </c>
      <c r="J78" s="115" t="n">
        <f aca="false">H78-I78</f>
        <v>0</v>
      </c>
      <c r="K78" s="115" t="n">
        <f aca="false">Q77</f>
        <v>567.712921827351</v>
      </c>
      <c r="L78" s="115" t="n">
        <f aca="false">$E$41/3*$E$37</f>
        <v>375</v>
      </c>
      <c r="M78" s="115" t="n">
        <f aca="false">G78-I78</f>
        <v>-96.3564609136756</v>
      </c>
      <c r="N78" s="115" t="n">
        <f aca="false">N77-M78</f>
        <v>167.20814822308</v>
      </c>
      <c r="O78" s="115" t="n">
        <f aca="false">MAX(0,L78-K78+M78)</f>
        <v>0</v>
      </c>
      <c r="P78" s="115" t="n">
        <f aca="false">IF(AND(A78&gt;=4,A78&lt;=6),MIN(O78,MAX(0,$D$21-SUM(P$69:P77))),0)</f>
        <v>0</v>
      </c>
      <c r="Q78" s="115" t="n">
        <f aca="false">K78-M78+P78</f>
        <v>664.069382741027</v>
      </c>
      <c r="R78" s="115" t="n">
        <f aca="false">Q78-L78</f>
        <v>289.069382741027</v>
      </c>
      <c r="S78" s="115" t="n">
        <f aca="false">MAX(0,-R78)</f>
        <v>0</v>
      </c>
      <c r="T78" s="115" t="n">
        <f aca="false">SUM(P$70:P78)</f>
        <v>496.861234517947</v>
      </c>
      <c r="U78" s="115" t="n">
        <f aca="false">IF(A78&gt;=4,$D$65,0)</f>
        <v>295</v>
      </c>
      <c r="V78" s="115" t="n">
        <f aca="false">N78-L78</f>
        <v>-207.79185177692</v>
      </c>
    </row>
    <row r="79" customFormat="false" ht="18.75" hidden="false" customHeight="true" outlineLevel="0" collapsed="false">
      <c r="A79" s="114" t="n">
        <v>10</v>
      </c>
      <c r="B79" s="115" t="n">
        <f aca="false">IF(AND(A79&gt;=4,A79&lt;=6),$E$39*$E$40*CHOOSE(A79-3,0.4,0.35,0.25),0)</f>
        <v>0</v>
      </c>
      <c r="C79" s="115" t="n">
        <f aca="false">IF(AND(A79&gt;=4,A79&lt;=6),$E$41/3,0)</f>
        <v>0</v>
      </c>
      <c r="D79" s="115" t="n">
        <f aca="false">IF(AND(A79&gt;=4,A79&lt;=6),$E$43*CHOOSE(A79-3,0.5,0.35,0.15),0)</f>
        <v>0</v>
      </c>
      <c r="E79" s="115" t="n">
        <f aca="false">Japan!$X$86*(jp_coupon+jp_foreign_repay)/12+IF(A79=12,$J$89,0)</f>
        <v>3.64353908632445</v>
      </c>
      <c r="F79" s="115" t="n">
        <f aca="false">IF(AND(A79&gt;=4,A79&lt;=6),$E$42/3,IF(A79&gt;=7,$E$52,0))</f>
        <v>100</v>
      </c>
      <c r="G79" s="115" t="n">
        <f aca="false">SUM(B79:E79)-F79</f>
        <v>-96.3564609136756</v>
      </c>
      <c r="H79" s="115" t="n">
        <f aca="false">J78</f>
        <v>0</v>
      </c>
      <c r="I79" s="115" t="n">
        <f aca="false">MIN(H79,MAX(0,G79))</f>
        <v>0</v>
      </c>
      <c r="J79" s="115" t="n">
        <f aca="false">H79-I79</f>
        <v>0</v>
      </c>
      <c r="K79" s="115" t="n">
        <f aca="false">Q78</f>
        <v>664.069382741027</v>
      </c>
      <c r="L79" s="115" t="n">
        <f aca="false">$E$41/3*$E$37</f>
        <v>375</v>
      </c>
      <c r="M79" s="115" t="n">
        <f aca="false">G79-I79</f>
        <v>-96.3564609136756</v>
      </c>
      <c r="N79" s="115" t="n">
        <f aca="false">N78-M79</f>
        <v>263.564609136755</v>
      </c>
      <c r="O79" s="115" t="n">
        <f aca="false">MAX(0,L79-K79+M79)</f>
        <v>0</v>
      </c>
      <c r="P79" s="115" t="n">
        <f aca="false">IF(AND(A79&gt;=4,A79&lt;=6),MIN(O79,MAX(0,$D$21-SUM(P$69:P78))),0)</f>
        <v>0</v>
      </c>
      <c r="Q79" s="115" t="n">
        <f aca="false">K79-M79+P79</f>
        <v>760.425843654702</v>
      </c>
      <c r="R79" s="115" t="n">
        <f aca="false">Q79-L79</f>
        <v>385.425843654702</v>
      </c>
      <c r="S79" s="115" t="n">
        <f aca="false">MAX(0,-R79)</f>
        <v>0</v>
      </c>
      <c r="T79" s="115" t="n">
        <f aca="false">SUM(P$70:P79)</f>
        <v>496.861234517947</v>
      </c>
      <c r="U79" s="115" t="n">
        <f aca="false">IF(A79&gt;=4,$D$65,0)</f>
        <v>295</v>
      </c>
      <c r="V79" s="115" t="n">
        <f aca="false">N79-L79</f>
        <v>-111.435390863245</v>
      </c>
    </row>
    <row r="80" customFormat="false" ht="18.75" hidden="false" customHeight="true" outlineLevel="0" collapsed="false">
      <c r="A80" s="114" t="n">
        <v>11</v>
      </c>
      <c r="B80" s="115" t="n">
        <f aca="false">IF(AND(A80&gt;=4,A80&lt;=6),$E$39*$E$40*CHOOSE(A80-3,0.4,0.35,0.25),0)</f>
        <v>0</v>
      </c>
      <c r="C80" s="115" t="n">
        <f aca="false">IF(AND(A80&gt;=4,A80&lt;=6),$E$41/3,0)</f>
        <v>0</v>
      </c>
      <c r="D80" s="115" t="n">
        <f aca="false">IF(AND(A80&gt;=4,A80&lt;=6),$E$43*CHOOSE(A80-3,0.5,0.35,0.15),0)</f>
        <v>0</v>
      </c>
      <c r="E80" s="115" t="n">
        <f aca="false">Japan!$X$86*(jp_coupon+jp_foreign_repay)/12+IF(A80=12,$J$89,0)</f>
        <v>3.64353908632445</v>
      </c>
      <c r="F80" s="115" t="n">
        <f aca="false">IF(AND(A80&gt;=4,A80&lt;=6),$E$42/3,IF(A80&gt;=7,$E$52,0))</f>
        <v>100</v>
      </c>
      <c r="G80" s="115" t="n">
        <f aca="false">SUM(B80:E80)-F80</f>
        <v>-96.3564609136756</v>
      </c>
      <c r="H80" s="115" t="n">
        <f aca="false">J79</f>
        <v>0</v>
      </c>
      <c r="I80" s="115" t="n">
        <f aca="false">MIN(H80,MAX(0,G80))</f>
        <v>0</v>
      </c>
      <c r="J80" s="115" t="n">
        <f aca="false">H80-I80</f>
        <v>0</v>
      </c>
      <c r="K80" s="115" t="n">
        <f aca="false">Q79</f>
        <v>760.425843654702</v>
      </c>
      <c r="L80" s="115" t="n">
        <f aca="false">$E$41/3*$E$37</f>
        <v>375</v>
      </c>
      <c r="M80" s="115" t="n">
        <f aca="false">G80-I80</f>
        <v>-96.3564609136756</v>
      </c>
      <c r="N80" s="115" t="n">
        <f aca="false">N79-M80</f>
        <v>359.921070050431</v>
      </c>
      <c r="O80" s="115" t="n">
        <f aca="false">MAX(0,L80-K80+M80)</f>
        <v>0</v>
      </c>
      <c r="P80" s="115" t="n">
        <f aca="false">IF(AND(A80&gt;=4,A80&lt;=6),MIN(O80,MAX(0,$D$21-SUM(P$69:P79))),0)</f>
        <v>0</v>
      </c>
      <c r="Q80" s="115" t="n">
        <f aca="false">K80-M80+P80</f>
        <v>856.782304568378</v>
      </c>
      <c r="R80" s="115" t="n">
        <f aca="false">Q80-L80</f>
        <v>481.782304568378</v>
      </c>
      <c r="S80" s="115" t="n">
        <f aca="false">MAX(0,-R80)</f>
        <v>0</v>
      </c>
      <c r="T80" s="115" t="n">
        <f aca="false">SUM(P$70:P80)</f>
        <v>496.861234517947</v>
      </c>
      <c r="U80" s="115" t="n">
        <f aca="false">IF(A80&gt;=4,$D$65,0)</f>
        <v>295</v>
      </c>
      <c r="V80" s="115" t="n">
        <f aca="false">N80-L80</f>
        <v>-15.0789299495692</v>
      </c>
    </row>
    <row r="81" customFormat="false" ht="18.75" hidden="false" customHeight="true" outlineLevel="0" collapsed="false">
      <c r="A81" s="114" t="n">
        <v>12</v>
      </c>
      <c r="B81" s="115" t="n">
        <f aca="false">IF(AND(A81&gt;=4,A81&lt;=6),$E$39*$E$40*CHOOSE(A81-3,0.4,0.35,0.25),0)</f>
        <v>0</v>
      </c>
      <c r="C81" s="115" t="n">
        <f aca="false">IF(AND(A81&gt;=4,A81&lt;=6),$E$41/3,0)</f>
        <v>0</v>
      </c>
      <c r="D81" s="115" t="n">
        <f aca="false">IF(AND(A81&gt;=4,A81&lt;=6),$E$43*CHOOSE(A81-3,0.5,0.35,0.15),0)</f>
        <v>0</v>
      </c>
      <c r="E81" s="115" t="n">
        <f aca="false">Japan!$X$86*(jp_coupon+jp_foreign_repay)/12+IF(A81=12,$J$89,0)</f>
        <v>19.5845036937752</v>
      </c>
      <c r="F81" s="115" t="n">
        <f aca="false">IF(AND(A81&gt;=4,A81&lt;=6),$E$42/3,IF(A81&gt;=7,$E$52,0))</f>
        <v>100</v>
      </c>
      <c r="G81" s="115" t="n">
        <f aca="false">SUM(B81:E81)-F81</f>
        <v>-80.4154963062248</v>
      </c>
      <c r="H81" s="115" t="n">
        <f aca="false">J80</f>
        <v>0</v>
      </c>
      <c r="I81" s="115" t="n">
        <f aca="false">MIN(H81,MAX(0,G81))</f>
        <v>0</v>
      </c>
      <c r="J81" s="115" t="n">
        <f aca="false">H81-I81</f>
        <v>0</v>
      </c>
      <c r="K81" s="115" t="n">
        <f aca="false">Q80</f>
        <v>856.782304568378</v>
      </c>
      <c r="L81" s="115" t="n">
        <f aca="false">$E$41/3*$E$37</f>
        <v>375</v>
      </c>
      <c r="M81" s="115" t="n">
        <f aca="false">G81-I81</f>
        <v>-80.4154963062248</v>
      </c>
      <c r="N81" s="115" t="n">
        <f aca="false">N80-M81</f>
        <v>440.336566356656</v>
      </c>
      <c r="O81" s="115" t="n">
        <f aca="false">MAX(0,L81-K81+M81)</f>
        <v>0</v>
      </c>
      <c r="P81" s="115" t="n">
        <f aca="false">IF(AND(A81&gt;=4,A81&lt;=6),MIN(O81,MAX(0,$D$21-SUM(P$69:P80))),0)</f>
        <v>0</v>
      </c>
      <c r="Q81" s="115" t="n">
        <f aca="false">K81-M81+P81</f>
        <v>937.197800874602</v>
      </c>
      <c r="R81" s="115" t="n">
        <f aca="false">Q81-L81</f>
        <v>562.197800874602</v>
      </c>
      <c r="S81" s="115" t="n">
        <f aca="false">MAX(0,-R81)</f>
        <v>0</v>
      </c>
      <c r="T81" s="115" t="n">
        <f aca="false">SUM(P$70:P81)</f>
        <v>496.861234517947</v>
      </c>
      <c r="U81" s="115" t="n">
        <f aca="false">IF(A81&gt;=4,$D$65,0)</f>
        <v>295</v>
      </c>
      <c r="V81" s="115" t="n">
        <f aca="false">N81-L81</f>
        <v>65.3365663566556</v>
      </c>
    </row>
    <row r="82" customFormat="false" ht="18.75" hidden="false" customHeight="true" outlineLevel="0" collapsed="false">
      <c r="A82" s="100"/>
      <c r="B82" s="100"/>
      <c r="C82" s="100"/>
      <c r="D82" s="103"/>
      <c r="E82" s="100"/>
      <c r="F82" s="100"/>
      <c r="G82" s="100"/>
      <c r="H82" s="100"/>
      <c r="I82" s="100"/>
      <c r="J82" s="100"/>
      <c r="K82" s="100"/>
      <c r="L82" s="100"/>
      <c r="M82" s="100"/>
      <c r="N82" s="100"/>
      <c r="O82" s="100"/>
      <c r="P82" s="100"/>
      <c r="Q82" s="100"/>
      <c r="R82" s="100"/>
      <c r="S82" s="100"/>
      <c r="T82" s="100"/>
      <c r="U82" s="100"/>
      <c r="V82" s="100"/>
    </row>
    <row r="83" customFormat="false" ht="18.75" hidden="false" customHeight="true" outlineLevel="0" collapsed="false">
      <c r="A83" s="100"/>
      <c r="B83" s="100"/>
      <c r="C83" s="100"/>
      <c r="D83" s="103"/>
      <c r="E83" s="100"/>
      <c r="F83" s="100"/>
      <c r="G83" s="100"/>
      <c r="H83" s="100"/>
      <c r="I83" s="100"/>
      <c r="J83" s="100"/>
      <c r="K83" s="100"/>
      <c r="L83" s="100"/>
      <c r="M83" s="100"/>
      <c r="N83" s="100"/>
      <c r="O83" s="100"/>
      <c r="P83" s="100"/>
      <c r="Q83" s="100"/>
      <c r="R83" s="100"/>
      <c r="S83" s="100"/>
      <c r="T83" s="100"/>
      <c r="U83" s="100"/>
      <c r="V83" s="100"/>
    </row>
    <row r="84" customFormat="false" ht="18.75" hidden="false" customHeight="true" outlineLevel="0" collapsed="false">
      <c r="A84" s="100" t="s">
        <v>2146</v>
      </c>
      <c r="B84" s="100"/>
      <c r="C84" s="100"/>
      <c r="D84" s="103"/>
      <c r="E84" s="100"/>
      <c r="F84" s="100"/>
      <c r="G84" s="100"/>
      <c r="H84" s="100"/>
      <c r="I84" s="100"/>
      <c r="J84" s="100"/>
      <c r="K84" s="100"/>
      <c r="L84" s="100"/>
      <c r="M84" s="100"/>
      <c r="N84" s="100"/>
      <c r="O84" s="100"/>
      <c r="P84" s="100"/>
      <c r="Q84" s="100"/>
      <c r="R84" s="100"/>
      <c r="S84" s="100"/>
      <c r="T84" s="100"/>
      <c r="U84" s="100"/>
      <c r="V84" s="100"/>
    </row>
    <row r="85" customFormat="false" ht="18.75" hidden="false" customHeight="true" outlineLevel="0" collapsed="false">
      <c r="A85" s="100" t="s">
        <v>2147</v>
      </c>
      <c r="B85" s="100"/>
      <c r="C85" s="100"/>
      <c r="D85" s="103"/>
      <c r="E85" s="100"/>
      <c r="F85" s="100"/>
      <c r="G85" s="100"/>
      <c r="H85" s="100"/>
      <c r="I85" s="100"/>
      <c r="J85" s="100"/>
      <c r="K85" s="100"/>
      <c r="L85" s="100"/>
      <c r="M85" s="100"/>
      <c r="N85" s="100"/>
      <c r="O85" s="100"/>
      <c r="P85" s="100"/>
      <c r="Q85" s="100"/>
      <c r="R85" s="100"/>
      <c r="S85" s="100"/>
      <c r="T85" s="100"/>
      <c r="U85" s="100"/>
      <c r="V85" s="100"/>
    </row>
    <row r="86" customFormat="false" ht="18.75" hidden="false" customHeight="true" outlineLevel="0" collapsed="false">
      <c r="A86" s="100" t="s">
        <v>2148</v>
      </c>
      <c r="B86" s="100"/>
      <c r="C86" s="100"/>
      <c r="D86" s="103"/>
      <c r="E86" s="100"/>
      <c r="F86" s="100"/>
      <c r="G86" s="100"/>
      <c r="H86" s="100"/>
      <c r="I86" s="100"/>
      <c r="J86" s="100"/>
      <c r="K86" s="100"/>
      <c r="L86" s="100"/>
      <c r="M86" s="100"/>
      <c r="N86" s="100"/>
      <c r="O86" s="100"/>
      <c r="P86" s="100"/>
      <c r="Q86" s="100"/>
      <c r="R86" s="100"/>
      <c r="S86" s="100"/>
      <c r="T86" s="100"/>
      <c r="U86" s="100"/>
      <c r="V86" s="100"/>
    </row>
    <row r="87" customFormat="false" ht="18.75" hidden="false" customHeight="true" outlineLevel="0" collapsed="false">
      <c r="A87" s="100"/>
      <c r="B87" s="100"/>
      <c r="C87" s="100"/>
      <c r="D87" s="103"/>
      <c r="E87" s="100"/>
      <c r="F87" s="100"/>
      <c r="G87" s="100"/>
      <c r="H87" s="100"/>
      <c r="I87" s="100"/>
      <c r="J87" s="100"/>
      <c r="K87" s="100"/>
      <c r="L87" s="100"/>
      <c r="M87" s="100"/>
      <c r="N87" s="100"/>
      <c r="O87" s="100"/>
      <c r="P87" s="100"/>
      <c r="Q87" s="100"/>
      <c r="R87" s="100"/>
      <c r="S87" s="100"/>
      <c r="T87" s="100"/>
      <c r="U87" s="100"/>
      <c r="V87" s="100"/>
    </row>
    <row r="88" customFormat="false" ht="48" hidden="false" customHeight="true" outlineLevel="0" collapsed="false">
      <c r="A88" s="76" t="s">
        <v>103</v>
      </c>
      <c r="B88" s="76" t="s">
        <v>2149</v>
      </c>
      <c r="C88" s="76" t="s">
        <v>2150</v>
      </c>
      <c r="D88" s="113" t="s">
        <v>2151</v>
      </c>
      <c r="E88" s="76" t="s">
        <v>2152</v>
      </c>
      <c r="F88" s="76" t="s">
        <v>2153</v>
      </c>
      <c r="G88" s="76" t="s">
        <v>2154</v>
      </c>
      <c r="H88" s="76" t="s">
        <v>2155</v>
      </c>
      <c r="I88" s="76" t="s">
        <v>2156</v>
      </c>
      <c r="J88" s="76" t="s">
        <v>2157</v>
      </c>
      <c r="K88" s="76" t="s">
        <v>2158</v>
      </c>
      <c r="L88" s="76" t="s">
        <v>2159</v>
      </c>
      <c r="M88" s="76" t="s">
        <v>2160</v>
      </c>
      <c r="N88" s="76" t="s">
        <v>2161</v>
      </c>
      <c r="O88" s="76" t="s">
        <v>2162</v>
      </c>
      <c r="P88" s="76" t="s">
        <v>2163</v>
      </c>
      <c r="Q88" s="76" t="s">
        <v>2164</v>
      </c>
      <c r="R88" s="100"/>
      <c r="S88" s="100"/>
      <c r="T88" s="100"/>
      <c r="U88" s="100"/>
      <c r="V88" s="100"/>
    </row>
    <row r="89" customFormat="false" ht="18.75" hidden="false" customHeight="true" outlineLevel="0" collapsed="false">
      <c r="A89" s="116" t="n">
        <v>1927</v>
      </c>
      <c r="B89" s="103" t="n">
        <f aca="false">0</f>
        <v>0</v>
      </c>
      <c r="C89" s="103" t="n">
        <f aca="false">SUM(P70:P81)</f>
        <v>496.861234517947</v>
      </c>
      <c r="D89" s="103" t="n">
        <f aca="false">C89*$E$47</f>
        <v>165.620411505982</v>
      </c>
      <c r="E89" s="103" t="n">
        <f aca="false">C89-D89</f>
        <v>331.240823011965</v>
      </c>
      <c r="F89" s="103" t="n">
        <f aca="false">IF(AND(A89&gt;=$E$50,A89&lt;$E$50+$E$51),$C$89/$E$51,0)</f>
        <v>0</v>
      </c>
      <c r="G89" s="103" t="n">
        <f aca="false">F89*$E$47</f>
        <v>0</v>
      </c>
      <c r="H89" s="103" t="n">
        <f aca="false">B89+C89-F89</f>
        <v>496.861234517947</v>
      </c>
      <c r="I89" s="103" t="n">
        <f aca="false">H89*$E$47</f>
        <v>165.620411505982</v>
      </c>
      <c r="J89" s="103" t="n">
        <f aca="false">$E$49*(P73*9/12+P74*8/12+P75*7/12)</f>
        <v>15.9409646074508</v>
      </c>
      <c r="K89" s="103" t="n">
        <f aca="false">J89*$E$47</f>
        <v>5.31365486915026</v>
      </c>
      <c r="L89" s="103" t="n">
        <f aca="false">J89-K89</f>
        <v>10.6273097383005</v>
      </c>
      <c r="M89" s="103" t="n">
        <f aca="false">H89-I89</f>
        <v>331.240823011965</v>
      </c>
      <c r="N89" s="103" t="n">
        <f aca="false">F89-G89</f>
        <v>0</v>
      </c>
      <c r="O89" s="103" t="n">
        <f aca="false">C89-D89-E89</f>
        <v>0</v>
      </c>
      <c r="P89" s="103" t="n">
        <f aca="false">H89-I89-M89</f>
        <v>0</v>
      </c>
      <c r="Q89" s="103" t="n">
        <f aca="false">J89-K89-L89</f>
        <v>0</v>
      </c>
      <c r="R89" s="100"/>
      <c r="S89" s="100"/>
      <c r="T89" s="100"/>
      <c r="U89" s="100"/>
      <c r="V89" s="100"/>
    </row>
    <row r="90" customFormat="false" ht="18.75" hidden="false" customHeight="true" outlineLevel="0" collapsed="false">
      <c r="A90" s="116" t="n">
        <v>1928</v>
      </c>
      <c r="B90" s="103" t="n">
        <f aca="false">H89</f>
        <v>496.861234517947</v>
      </c>
      <c r="C90" s="103" t="n">
        <f aca="false">0</f>
        <v>0</v>
      </c>
      <c r="D90" s="103" t="n">
        <f aca="false">C90*$E$47</f>
        <v>0</v>
      </c>
      <c r="E90" s="103" t="n">
        <f aca="false">C90-D90</f>
        <v>0</v>
      </c>
      <c r="F90" s="103" t="n">
        <f aca="false">IF(AND(A90&gt;=$E$50,A90&lt;$E$50+$E$51),$C$89/$E$51,0)</f>
        <v>0</v>
      </c>
      <c r="G90" s="103" t="n">
        <f aca="false">F90*$E$47</f>
        <v>0</v>
      </c>
      <c r="H90" s="103" t="n">
        <f aca="false">B90+C90-F90</f>
        <v>496.861234517947</v>
      </c>
      <c r="I90" s="103" t="n">
        <f aca="false">H90*$E$47</f>
        <v>165.620411505982</v>
      </c>
      <c r="J90" s="103" t="n">
        <f aca="false">B90*$E$49</f>
        <v>27.3273678984871</v>
      </c>
      <c r="K90" s="103" t="n">
        <f aca="false">J90*$E$47</f>
        <v>9.10912263282902</v>
      </c>
      <c r="L90" s="103" t="n">
        <f aca="false">J90-K90</f>
        <v>18.2182452656581</v>
      </c>
      <c r="M90" s="103" t="n">
        <f aca="false">H90-I90</f>
        <v>331.240823011965</v>
      </c>
      <c r="N90" s="103" t="n">
        <f aca="false">F90-G90</f>
        <v>0</v>
      </c>
      <c r="O90" s="103" t="n">
        <f aca="false">C90-D90-E90</f>
        <v>0</v>
      </c>
      <c r="P90" s="103" t="n">
        <f aca="false">H90-I90-M90</f>
        <v>0</v>
      </c>
      <c r="Q90" s="103" t="n">
        <f aca="false">J90-K90-L90</f>
        <v>0</v>
      </c>
      <c r="R90" s="100"/>
      <c r="S90" s="100"/>
      <c r="T90" s="100"/>
      <c r="U90" s="100"/>
      <c r="V90" s="100"/>
    </row>
    <row r="91" customFormat="false" ht="18.75" hidden="false" customHeight="true" outlineLevel="0" collapsed="false">
      <c r="A91" s="116" t="n">
        <v>1929</v>
      </c>
      <c r="B91" s="103" t="n">
        <f aca="false">H90</f>
        <v>496.861234517947</v>
      </c>
      <c r="C91" s="103" t="n">
        <f aca="false">0</f>
        <v>0</v>
      </c>
      <c r="D91" s="103" t="n">
        <f aca="false">C91*$E$47</f>
        <v>0</v>
      </c>
      <c r="E91" s="103" t="n">
        <f aca="false">C91-D91</f>
        <v>0</v>
      </c>
      <c r="F91" s="103" t="n">
        <f aca="false">IF(AND(A91&gt;=$E$50,A91&lt;$E$50+$E$51),$C$89/$E$51,0)</f>
        <v>99.3722469035894</v>
      </c>
      <c r="G91" s="103" t="n">
        <f aca="false">F91*$E$47</f>
        <v>33.1240823011964</v>
      </c>
      <c r="H91" s="103" t="n">
        <f aca="false">B91+C91-F91</f>
        <v>397.488987614358</v>
      </c>
      <c r="I91" s="103" t="n">
        <f aca="false">H91*$E$47</f>
        <v>132.496329204786</v>
      </c>
      <c r="J91" s="103" t="n">
        <f aca="false">B91*$E$49</f>
        <v>27.3273678984871</v>
      </c>
      <c r="K91" s="103" t="n">
        <f aca="false">J91*$E$47</f>
        <v>9.10912263282902</v>
      </c>
      <c r="L91" s="103" t="n">
        <f aca="false">J91-K91</f>
        <v>18.2182452656581</v>
      </c>
      <c r="M91" s="103" t="n">
        <f aca="false">H91-I91</f>
        <v>264.992658409572</v>
      </c>
      <c r="N91" s="103" t="n">
        <f aca="false">F91-G91</f>
        <v>66.248164602393</v>
      </c>
      <c r="O91" s="103" t="n">
        <f aca="false">C91-D91-E91</f>
        <v>0</v>
      </c>
      <c r="P91" s="103" t="n">
        <f aca="false">H91-I91-M91</f>
        <v>0</v>
      </c>
      <c r="Q91" s="103" t="n">
        <f aca="false">J91-K91-L91</f>
        <v>0</v>
      </c>
      <c r="R91" s="100"/>
      <c r="S91" s="100"/>
      <c r="T91" s="100"/>
      <c r="U91" s="100"/>
      <c r="V91" s="100"/>
    </row>
    <row r="92" customFormat="false" ht="18.75" hidden="false" customHeight="true" outlineLevel="0" collapsed="false">
      <c r="A92" s="116" t="n">
        <v>1930</v>
      </c>
      <c r="B92" s="103" t="n">
        <f aca="false">H91</f>
        <v>397.488987614358</v>
      </c>
      <c r="C92" s="103" t="n">
        <f aca="false">0</f>
        <v>0</v>
      </c>
      <c r="D92" s="103" t="n">
        <f aca="false">C92*$E$47</f>
        <v>0</v>
      </c>
      <c r="E92" s="103" t="n">
        <f aca="false">C92-D92</f>
        <v>0</v>
      </c>
      <c r="F92" s="103" t="n">
        <f aca="false">IF(AND(A92&gt;=$E$50,A92&lt;$E$50+$E$51),$C$89/$E$51,0)</f>
        <v>99.3722469035894</v>
      </c>
      <c r="G92" s="103" t="n">
        <f aca="false">F92*$E$47</f>
        <v>33.1240823011964</v>
      </c>
      <c r="H92" s="103" t="n">
        <f aca="false">B92+C92-F92</f>
        <v>298.116740710768</v>
      </c>
      <c r="I92" s="103" t="n">
        <f aca="false">H92*$E$47</f>
        <v>99.3722469035893</v>
      </c>
      <c r="J92" s="103" t="n">
        <f aca="false">B92*$E$49</f>
        <v>21.8618943187897</v>
      </c>
      <c r="K92" s="103" t="n">
        <f aca="false">J92*$E$47</f>
        <v>7.28729810626322</v>
      </c>
      <c r="L92" s="103" t="n">
        <f aca="false">J92-K92</f>
        <v>14.5745962125265</v>
      </c>
      <c r="M92" s="103" t="n">
        <f aca="false">H92-I92</f>
        <v>198.744493807179</v>
      </c>
      <c r="N92" s="103" t="n">
        <f aca="false">F92-G92</f>
        <v>66.248164602393</v>
      </c>
      <c r="O92" s="103" t="n">
        <f aca="false">C92-D92-E92</f>
        <v>0</v>
      </c>
      <c r="P92" s="103" t="n">
        <f aca="false">H92-I92-M92</f>
        <v>0</v>
      </c>
      <c r="Q92" s="103" t="n">
        <f aca="false">J92-K92-L92</f>
        <v>0</v>
      </c>
      <c r="R92" s="100"/>
      <c r="S92" s="100"/>
      <c r="T92" s="100"/>
      <c r="U92" s="100"/>
      <c r="V92" s="100"/>
    </row>
    <row r="93" customFormat="false" ht="18.75" hidden="false" customHeight="true" outlineLevel="0" collapsed="false">
      <c r="A93" s="116" t="n">
        <v>1931</v>
      </c>
      <c r="B93" s="103" t="n">
        <f aca="false">H92</f>
        <v>298.116740710768</v>
      </c>
      <c r="C93" s="103" t="n">
        <f aca="false">0</f>
        <v>0</v>
      </c>
      <c r="D93" s="103" t="n">
        <f aca="false">C93*$E$47</f>
        <v>0</v>
      </c>
      <c r="E93" s="103" t="n">
        <f aca="false">C93-D93</f>
        <v>0</v>
      </c>
      <c r="F93" s="103" t="n">
        <f aca="false">IF(AND(A93&gt;=$E$50,A93&lt;$E$50+$E$51),$C$89/$E$51,0)</f>
        <v>99.3722469035894</v>
      </c>
      <c r="G93" s="103" t="n">
        <f aca="false">F93*$E$47</f>
        <v>33.1240823011964</v>
      </c>
      <c r="H93" s="103" t="n">
        <f aca="false">B93+C93-F93</f>
        <v>198.744493807179</v>
      </c>
      <c r="I93" s="103" t="n">
        <f aca="false">H93*$E$47</f>
        <v>66.2481646023929</v>
      </c>
      <c r="J93" s="103" t="n">
        <f aca="false">B93*$E$49</f>
        <v>16.3964207390923</v>
      </c>
      <c r="K93" s="103" t="n">
        <f aca="false">J93*$E$47</f>
        <v>5.46547357969741</v>
      </c>
      <c r="L93" s="103" t="n">
        <f aca="false">J93-K93</f>
        <v>10.9309471593948</v>
      </c>
      <c r="M93" s="103" t="n">
        <f aca="false">H93-I93</f>
        <v>132.496329204786</v>
      </c>
      <c r="N93" s="103" t="n">
        <f aca="false">F93-G93</f>
        <v>66.248164602393</v>
      </c>
      <c r="O93" s="103" t="n">
        <f aca="false">C93-D93-E93</f>
        <v>0</v>
      </c>
      <c r="P93" s="103" t="n">
        <f aca="false">H93-I93-M93</f>
        <v>0</v>
      </c>
      <c r="Q93" s="103" t="n">
        <f aca="false">J93-K93-L93</f>
        <v>0</v>
      </c>
      <c r="R93" s="100"/>
      <c r="S93" s="100"/>
      <c r="T93" s="100"/>
      <c r="U93" s="100"/>
      <c r="V93" s="100"/>
    </row>
    <row r="94" customFormat="false" ht="18.75" hidden="false" customHeight="true" outlineLevel="0" collapsed="false">
      <c r="A94" s="116" t="n">
        <v>1932</v>
      </c>
      <c r="B94" s="103" t="n">
        <f aca="false">H93</f>
        <v>198.744493807179</v>
      </c>
      <c r="C94" s="103" t="n">
        <f aca="false">0</f>
        <v>0</v>
      </c>
      <c r="D94" s="103" t="n">
        <f aca="false">C94*$E$47</f>
        <v>0</v>
      </c>
      <c r="E94" s="103" t="n">
        <f aca="false">C94-D94</f>
        <v>0</v>
      </c>
      <c r="F94" s="103" t="n">
        <f aca="false">IF(AND(A94&gt;=$E$50,A94&lt;$E$50+$E$51),$C$89/$E$51,0)</f>
        <v>99.3722469035894</v>
      </c>
      <c r="G94" s="103" t="n">
        <f aca="false">F94*$E$47</f>
        <v>33.1240823011964</v>
      </c>
      <c r="H94" s="103" t="n">
        <f aca="false">B94+C94-F94</f>
        <v>99.3722469035894</v>
      </c>
      <c r="I94" s="103" t="n">
        <f aca="false">H94*$E$47</f>
        <v>33.1240823011964</v>
      </c>
      <c r="J94" s="103" t="n">
        <f aca="false">B94*$E$49</f>
        <v>10.9309471593948</v>
      </c>
      <c r="K94" s="103" t="n">
        <f aca="false">J94*$E$47</f>
        <v>3.64364905313161</v>
      </c>
      <c r="L94" s="103" t="n">
        <f aca="false">J94-K94</f>
        <v>7.28729810626323</v>
      </c>
      <c r="M94" s="103" t="n">
        <f aca="false">H94-I94</f>
        <v>66.248164602393</v>
      </c>
      <c r="N94" s="103" t="n">
        <f aca="false">F94-G94</f>
        <v>66.248164602393</v>
      </c>
      <c r="O94" s="103" t="n">
        <f aca="false">C94-D94-E94</f>
        <v>0</v>
      </c>
      <c r="P94" s="103" t="n">
        <f aca="false">H94-I94-M94</f>
        <v>0</v>
      </c>
      <c r="Q94" s="103" t="n">
        <f aca="false">J94-K94-L94</f>
        <v>0</v>
      </c>
      <c r="R94" s="100"/>
      <c r="S94" s="100"/>
      <c r="T94" s="100"/>
      <c r="U94" s="100"/>
      <c r="V94" s="100"/>
    </row>
    <row r="95" customFormat="false" ht="18.75" hidden="false" customHeight="true" outlineLevel="0" collapsed="false">
      <c r="A95" s="116" t="n">
        <v>1933</v>
      </c>
      <c r="B95" s="103" t="n">
        <f aca="false">H94</f>
        <v>99.3722469035894</v>
      </c>
      <c r="C95" s="103" t="n">
        <f aca="false">0</f>
        <v>0</v>
      </c>
      <c r="D95" s="103" t="n">
        <f aca="false">C95*$E$47</f>
        <v>0</v>
      </c>
      <c r="E95" s="103" t="n">
        <f aca="false">C95-D95</f>
        <v>0</v>
      </c>
      <c r="F95" s="103" t="n">
        <f aca="false">IF(AND(A95&gt;=$E$50,A95&lt;$E$50+$E$51),$C$89/$E$51,0)</f>
        <v>99.3722469035894</v>
      </c>
      <c r="G95" s="103" t="n">
        <f aca="false">F95*$E$47</f>
        <v>33.1240823011964</v>
      </c>
      <c r="H95" s="103" t="n">
        <f aca="false">B95+C95-F95</f>
        <v>0</v>
      </c>
      <c r="I95" s="103" t="n">
        <f aca="false">H95*$E$47</f>
        <v>0</v>
      </c>
      <c r="J95" s="103" t="n">
        <f aca="false">B95*$E$49</f>
        <v>5.46547357969742</v>
      </c>
      <c r="K95" s="103" t="n">
        <f aca="false">J95*$E$47</f>
        <v>1.8218245265658</v>
      </c>
      <c r="L95" s="103" t="n">
        <f aca="false">J95-K95</f>
        <v>3.64364905313161</v>
      </c>
      <c r="M95" s="103" t="n">
        <f aca="false">H95-I95</f>
        <v>0</v>
      </c>
      <c r="N95" s="103" t="n">
        <f aca="false">F95-G95</f>
        <v>66.248164602393</v>
      </c>
      <c r="O95" s="103" t="n">
        <f aca="false">C95-D95-E95</f>
        <v>0</v>
      </c>
      <c r="P95" s="103" t="n">
        <f aca="false">H95-I95-M95</f>
        <v>0</v>
      </c>
      <c r="Q95" s="103" t="n">
        <f aca="false">J95-K95-L95</f>
        <v>0</v>
      </c>
      <c r="R95" s="100"/>
      <c r="S95" s="100"/>
      <c r="T95" s="100"/>
      <c r="U95" s="100"/>
      <c r="V95" s="100"/>
    </row>
    <row r="96" customFormat="false" ht="18.75" hidden="false" customHeight="true" outlineLevel="0" collapsed="false">
      <c r="A96" s="100"/>
      <c r="B96" s="100"/>
      <c r="C96" s="100"/>
      <c r="D96" s="103"/>
      <c r="E96" s="100"/>
      <c r="F96" s="100"/>
      <c r="G96" s="100"/>
      <c r="H96" s="100"/>
      <c r="I96" s="100"/>
      <c r="J96" s="100"/>
      <c r="K96" s="100"/>
      <c r="L96" s="100"/>
      <c r="M96" s="100"/>
      <c r="N96" s="100"/>
      <c r="O96" s="100"/>
      <c r="P96" s="100"/>
      <c r="Q96" s="100"/>
      <c r="R96" s="100"/>
      <c r="S96" s="100"/>
      <c r="T96" s="100"/>
      <c r="U96" s="100"/>
      <c r="V96" s="100"/>
    </row>
    <row r="97" customFormat="false" ht="18.75" hidden="false" customHeight="true" outlineLevel="0" collapsed="false">
      <c r="A97" s="100"/>
      <c r="B97" s="100"/>
      <c r="C97" s="100"/>
      <c r="D97" s="103"/>
      <c r="E97" s="100"/>
      <c r="F97" s="100"/>
      <c r="G97" s="100"/>
      <c r="H97" s="100"/>
      <c r="I97" s="100"/>
      <c r="J97" s="100"/>
      <c r="K97" s="100"/>
      <c r="L97" s="100"/>
      <c r="M97" s="100"/>
      <c r="N97" s="100"/>
      <c r="O97" s="100"/>
      <c r="P97" s="100"/>
      <c r="Q97" s="100"/>
      <c r="R97" s="100"/>
      <c r="S97" s="100"/>
      <c r="T97" s="100"/>
      <c r="U97" s="100"/>
      <c r="V97" s="100"/>
    </row>
    <row r="98" customFormat="false" ht="18.75" hidden="false" customHeight="true" outlineLevel="0" collapsed="false">
      <c r="A98" s="100" t="s">
        <v>2165</v>
      </c>
      <c r="B98" s="100"/>
      <c r="C98" s="100"/>
      <c r="D98" s="103"/>
      <c r="E98" s="100"/>
      <c r="F98" s="100"/>
      <c r="G98" s="100"/>
      <c r="H98" s="100"/>
      <c r="I98" s="100"/>
      <c r="J98" s="100"/>
      <c r="K98" s="100"/>
      <c r="L98" s="100"/>
      <c r="M98" s="100"/>
      <c r="N98" s="100"/>
      <c r="O98" s="100"/>
      <c r="P98" s="100"/>
      <c r="Q98" s="100"/>
      <c r="R98" s="100"/>
      <c r="S98" s="100"/>
      <c r="T98" s="100"/>
      <c r="U98" s="100"/>
      <c r="V98" s="100"/>
    </row>
    <row r="99" customFormat="false" ht="18.75" hidden="false" customHeight="true" outlineLevel="0" collapsed="false">
      <c r="A99" s="100"/>
      <c r="B99" s="100"/>
      <c r="C99" s="100"/>
      <c r="D99" s="103"/>
      <c r="E99" s="100"/>
      <c r="F99" s="100"/>
      <c r="G99" s="100"/>
      <c r="H99" s="100"/>
      <c r="I99" s="100"/>
      <c r="J99" s="100"/>
      <c r="K99" s="100"/>
      <c r="L99" s="100"/>
      <c r="M99" s="100"/>
      <c r="N99" s="100"/>
      <c r="O99" s="100"/>
      <c r="P99" s="100"/>
      <c r="Q99" s="100"/>
      <c r="R99" s="100"/>
      <c r="S99" s="100"/>
      <c r="T99" s="100"/>
      <c r="U99" s="100"/>
      <c r="V99" s="100"/>
    </row>
    <row r="100" customFormat="false" ht="18.75" hidden="false" customHeight="true" outlineLevel="0" collapsed="false">
      <c r="A100" s="104" t="s">
        <v>2166</v>
      </c>
      <c r="B100" s="105"/>
      <c r="C100" s="105"/>
      <c r="D100" s="117"/>
      <c r="E100" s="105"/>
      <c r="F100" s="105"/>
      <c r="G100" s="105"/>
      <c r="H100" s="100"/>
      <c r="I100" s="100"/>
      <c r="J100" s="100"/>
      <c r="K100" s="100"/>
      <c r="L100" s="100"/>
      <c r="M100" s="100"/>
      <c r="N100" s="100"/>
      <c r="O100" s="100"/>
      <c r="P100" s="100"/>
      <c r="Q100" s="100"/>
      <c r="R100" s="100"/>
      <c r="S100" s="100"/>
      <c r="T100" s="100"/>
      <c r="U100" s="100"/>
      <c r="V100" s="100"/>
    </row>
    <row r="101" customFormat="false" ht="18.75" hidden="false" customHeight="true" outlineLevel="0" collapsed="false">
      <c r="A101" s="100" t="s">
        <v>2167</v>
      </c>
      <c r="B101" s="100"/>
      <c r="C101" s="100"/>
      <c r="D101" s="103" t="n">
        <f aca="false">E25+E30+E44</f>
        <v>6400</v>
      </c>
      <c r="E101" s="100"/>
      <c r="F101" s="100"/>
      <c r="G101" s="100"/>
      <c r="H101" s="100"/>
      <c r="I101" s="100"/>
      <c r="J101" s="100"/>
      <c r="K101" s="100"/>
      <c r="L101" s="100"/>
      <c r="M101" s="100"/>
      <c r="N101" s="100"/>
      <c r="O101" s="100"/>
      <c r="P101" s="100"/>
      <c r="Q101" s="100"/>
      <c r="R101" s="100"/>
      <c r="S101" s="100"/>
      <c r="T101" s="100"/>
      <c r="U101" s="100"/>
      <c r="V101" s="100"/>
    </row>
    <row r="102" customFormat="false" ht="18.75" hidden="false" customHeight="true" outlineLevel="0" collapsed="false">
      <c r="A102" s="100" t="s">
        <v>2168</v>
      </c>
      <c r="B102" s="100"/>
      <c r="C102" s="100"/>
      <c r="D102" s="103" t="n">
        <f aca="false">E31+E39+E38+E26</f>
        <v>6400</v>
      </c>
      <c r="E102" s="100"/>
      <c r="F102" s="100"/>
      <c r="G102" s="100"/>
      <c r="H102" s="100"/>
      <c r="I102" s="100"/>
      <c r="J102" s="100"/>
      <c r="K102" s="100"/>
      <c r="L102" s="100"/>
      <c r="M102" s="100"/>
      <c r="N102" s="100"/>
      <c r="O102" s="100"/>
      <c r="P102" s="100"/>
      <c r="Q102" s="100"/>
      <c r="R102" s="100"/>
      <c r="S102" s="100"/>
      <c r="T102" s="100"/>
      <c r="U102" s="100"/>
      <c r="V102" s="100"/>
    </row>
    <row r="103" customFormat="false" ht="18.75" hidden="false" customHeight="true" outlineLevel="0" collapsed="false">
      <c r="A103" s="100" t="s">
        <v>2169</v>
      </c>
      <c r="B103" s="100"/>
      <c r="C103" s="100"/>
      <c r="D103" s="103" t="n">
        <f aca="false">D101-D102</f>
        <v>0</v>
      </c>
      <c r="E103" s="100"/>
      <c r="F103" s="100"/>
      <c r="G103" s="100"/>
      <c r="H103" s="100"/>
      <c r="I103" s="100"/>
      <c r="J103" s="100"/>
      <c r="K103" s="100"/>
      <c r="L103" s="100"/>
      <c r="M103" s="100"/>
      <c r="N103" s="100"/>
      <c r="O103" s="100"/>
      <c r="P103" s="100"/>
      <c r="Q103" s="100"/>
      <c r="R103" s="100"/>
      <c r="S103" s="100"/>
      <c r="T103" s="100"/>
      <c r="U103" s="100"/>
      <c r="V103" s="100"/>
    </row>
    <row r="104" customFormat="false" ht="18.75" hidden="false" customHeight="true" outlineLevel="0" collapsed="false">
      <c r="A104" s="100" t="s">
        <v>2170</v>
      </c>
      <c r="B104" s="100"/>
      <c r="C104" s="100"/>
      <c r="D104" s="103" t="n">
        <f aca="false">D55+D59</f>
        <v>400</v>
      </c>
      <c r="E104" s="100"/>
      <c r="F104" s="100"/>
      <c r="G104" s="100"/>
      <c r="H104" s="100"/>
      <c r="I104" s="100"/>
      <c r="J104" s="100"/>
      <c r="K104" s="100"/>
      <c r="L104" s="100"/>
      <c r="M104" s="100"/>
      <c r="N104" s="100"/>
      <c r="O104" s="100"/>
      <c r="P104" s="100"/>
      <c r="Q104" s="100"/>
      <c r="R104" s="100"/>
      <c r="S104" s="100"/>
      <c r="T104" s="100"/>
      <c r="U104" s="100"/>
      <c r="V104" s="100"/>
    </row>
    <row r="105" customFormat="false" ht="18.75" hidden="false" customHeight="true" outlineLevel="0" collapsed="false">
      <c r="A105" s="100" t="s">
        <v>2171</v>
      </c>
      <c r="B105" s="100"/>
      <c r="C105" s="100"/>
      <c r="D105" s="118" t="n">
        <f aca="false">D104/D56</f>
        <v>0.08</v>
      </c>
      <c r="E105" s="100"/>
      <c r="F105" s="100"/>
      <c r="G105" s="100"/>
      <c r="H105" s="100"/>
      <c r="I105" s="100"/>
      <c r="J105" s="100"/>
      <c r="K105" s="100"/>
      <c r="L105" s="100"/>
      <c r="M105" s="100"/>
      <c r="N105" s="100"/>
      <c r="O105" s="100"/>
      <c r="P105" s="100"/>
      <c r="Q105" s="100"/>
      <c r="R105" s="100"/>
      <c r="S105" s="100"/>
      <c r="T105" s="100"/>
      <c r="U105" s="100"/>
      <c r="V105" s="100"/>
    </row>
    <row r="106" customFormat="false" ht="18.75" hidden="false" customHeight="true" outlineLevel="0" collapsed="false">
      <c r="A106" s="100" t="s">
        <v>2172</v>
      </c>
      <c r="B106" s="100"/>
      <c r="C106" s="100"/>
      <c r="D106" s="103" t="n">
        <f aca="false">D56*0.07</f>
        <v>350</v>
      </c>
      <c r="E106" s="100"/>
      <c r="F106" s="100"/>
      <c r="G106" s="100"/>
      <c r="H106" s="100"/>
      <c r="I106" s="100"/>
      <c r="J106" s="100"/>
      <c r="K106" s="100"/>
      <c r="L106" s="100"/>
      <c r="M106" s="100"/>
      <c r="N106" s="100"/>
      <c r="O106" s="100"/>
      <c r="P106" s="100"/>
      <c r="Q106" s="100"/>
      <c r="R106" s="100"/>
      <c r="S106" s="100"/>
      <c r="T106" s="100"/>
      <c r="U106" s="100"/>
      <c r="V106" s="100"/>
    </row>
    <row r="107" customFormat="false" ht="18.75" hidden="false" customHeight="true" outlineLevel="0" collapsed="false">
      <c r="A107" s="100" t="s">
        <v>2173</v>
      </c>
      <c r="B107" s="100"/>
      <c r="C107" s="100"/>
      <c r="D107" s="103" t="n">
        <f aca="false">MIN(D65,D106)</f>
        <v>295</v>
      </c>
      <c r="E107" s="100"/>
      <c r="F107" s="100"/>
      <c r="G107" s="100"/>
      <c r="H107" s="100"/>
      <c r="I107" s="100"/>
      <c r="J107" s="100"/>
      <c r="K107" s="100"/>
      <c r="L107" s="100"/>
      <c r="M107" s="100"/>
      <c r="N107" s="100"/>
      <c r="O107" s="100"/>
      <c r="P107" s="100"/>
      <c r="Q107" s="100"/>
      <c r="R107" s="100"/>
      <c r="S107" s="100"/>
      <c r="T107" s="100"/>
      <c r="U107" s="100"/>
      <c r="V107" s="100"/>
    </row>
    <row r="108" customFormat="false" ht="18.75" hidden="false" customHeight="true" outlineLevel="0" collapsed="false">
      <c r="A108" s="100" t="s">
        <v>2174</v>
      </c>
      <c r="B108" s="100"/>
      <c r="C108" s="100"/>
      <c r="D108" s="103" t="n">
        <f aca="false">D65-D107</f>
        <v>0</v>
      </c>
      <c r="E108" s="100"/>
      <c r="F108" s="100"/>
      <c r="G108" s="100"/>
      <c r="H108" s="100"/>
      <c r="I108" s="100"/>
      <c r="J108" s="100"/>
      <c r="K108" s="100"/>
      <c r="L108" s="100"/>
      <c r="M108" s="100"/>
      <c r="N108" s="100"/>
      <c r="O108" s="100"/>
      <c r="P108" s="100"/>
      <c r="Q108" s="100"/>
      <c r="R108" s="100"/>
      <c r="S108" s="100"/>
      <c r="T108" s="100"/>
      <c r="U108" s="100"/>
      <c r="V108" s="100"/>
    </row>
    <row r="109" customFormat="false" ht="18.75" hidden="false" customHeight="true" outlineLevel="0" collapsed="false">
      <c r="A109" s="100" t="s">
        <v>2175</v>
      </c>
      <c r="B109" s="100"/>
      <c r="C109" s="100"/>
      <c r="D109" s="103" t="n">
        <f aca="false">MIN(E46*(1-E47),Abroad!C87*E48)</f>
        <v>400</v>
      </c>
      <c r="E109" s="100"/>
      <c r="F109" s="100"/>
      <c r="G109" s="100"/>
      <c r="H109" s="100"/>
      <c r="I109" s="100"/>
      <c r="J109" s="100"/>
      <c r="K109" s="100"/>
      <c r="L109" s="100"/>
      <c r="M109" s="100"/>
      <c r="N109" s="100"/>
      <c r="O109" s="100"/>
      <c r="P109" s="100"/>
      <c r="Q109" s="100"/>
      <c r="R109" s="100"/>
      <c r="S109" s="100"/>
      <c r="T109" s="100"/>
      <c r="U109" s="100"/>
      <c r="V109" s="100"/>
    </row>
    <row r="110" customFormat="false" ht="18.75" hidden="false" customHeight="true" outlineLevel="0" collapsed="false">
      <c r="A110" s="100" t="s">
        <v>2176</v>
      </c>
      <c r="B110" s="100"/>
      <c r="C110" s="100"/>
      <c r="D110" s="103" t="n">
        <f aca="false">MIN(E46*E47,'Debt &amp; cash'!S86)</f>
        <v>200</v>
      </c>
      <c r="E110" s="100"/>
      <c r="F110" s="100"/>
      <c r="G110" s="100"/>
      <c r="H110" s="100"/>
      <c r="I110" s="100"/>
      <c r="J110" s="100"/>
      <c r="K110" s="100"/>
      <c r="L110" s="100"/>
      <c r="M110" s="100"/>
      <c r="N110" s="100"/>
      <c r="O110" s="100"/>
      <c r="P110" s="100"/>
      <c r="Q110" s="100"/>
      <c r="R110" s="100"/>
      <c r="S110" s="100"/>
      <c r="T110" s="100"/>
      <c r="U110" s="100"/>
      <c r="V110" s="100"/>
    </row>
    <row r="111" customFormat="false" ht="18.75" hidden="false" customHeight="true" outlineLevel="0" collapsed="false">
      <c r="A111" s="100" t="s">
        <v>2177</v>
      </c>
      <c r="B111" s="100"/>
      <c r="C111" s="100"/>
      <c r="D111" s="103" t="n">
        <f aca="false">D56*0.05</f>
        <v>250</v>
      </c>
      <c r="E111" s="100"/>
      <c r="F111" s="100"/>
      <c r="G111" s="100"/>
      <c r="H111" s="100"/>
      <c r="I111" s="100"/>
      <c r="J111" s="100"/>
      <c r="K111" s="100"/>
      <c r="L111" s="100"/>
      <c r="M111" s="100"/>
      <c r="N111" s="100"/>
      <c r="O111" s="100"/>
      <c r="P111" s="100"/>
      <c r="Q111" s="100"/>
      <c r="R111" s="100"/>
      <c r="S111" s="100"/>
      <c r="T111" s="100"/>
      <c r="U111" s="100"/>
      <c r="V111" s="100"/>
    </row>
    <row r="112" customFormat="false" ht="18.75" hidden="false" customHeight="true" outlineLevel="0" collapsed="false">
      <c r="A112" s="100" t="s">
        <v>2178</v>
      </c>
      <c r="B112" s="100"/>
      <c r="C112" s="100"/>
      <c r="D112" s="103" t="n">
        <f aca="false">MAX(0,E31-D61)*0.025</f>
        <v>60.125</v>
      </c>
      <c r="E112" s="100"/>
      <c r="F112" s="100"/>
      <c r="G112" s="100"/>
      <c r="H112" s="100"/>
      <c r="I112" s="100"/>
      <c r="J112" s="100"/>
      <c r="K112" s="100"/>
      <c r="L112" s="100"/>
      <c r="M112" s="100"/>
      <c r="N112" s="100"/>
      <c r="O112" s="100"/>
      <c r="P112" s="100"/>
      <c r="Q112" s="100"/>
      <c r="R112" s="100"/>
      <c r="S112" s="100"/>
      <c r="T112" s="100"/>
      <c r="U112" s="100"/>
      <c r="V112" s="100"/>
    </row>
    <row r="113" customFormat="false" ht="18.75" hidden="false" customHeight="true" outlineLevel="0" collapsed="false">
      <c r="A113" s="100" t="s">
        <v>2179</v>
      </c>
      <c r="B113" s="100"/>
      <c r="C113" s="100"/>
      <c r="D113" s="103" t="n">
        <f aca="false">(E39-E39*E40)*0.055</f>
        <v>27.5</v>
      </c>
      <c r="E113" s="100"/>
      <c r="F113" s="100"/>
      <c r="G113" s="100"/>
      <c r="H113" s="100"/>
      <c r="I113" s="100"/>
      <c r="J113" s="100"/>
      <c r="K113" s="100"/>
      <c r="L113" s="100"/>
      <c r="M113" s="100"/>
      <c r="N113" s="100"/>
      <c r="O113" s="100"/>
      <c r="P113" s="100"/>
      <c r="Q113" s="100"/>
      <c r="R113" s="100"/>
      <c r="S113" s="100"/>
      <c r="T113" s="100"/>
      <c r="U113" s="100"/>
      <c r="V113" s="100"/>
    </row>
    <row r="114" customFormat="false" ht="18.75" hidden="false" customHeight="true" outlineLevel="0" collapsed="false">
      <c r="A114" s="100" t="s">
        <v>2180</v>
      </c>
      <c r="B114" s="100"/>
      <c r="C114" s="100"/>
      <c r="D114" s="103" t="n">
        <f aca="false">D65*0.055*9/12</f>
        <v>12.16875</v>
      </c>
      <c r="E114" s="100"/>
      <c r="F114" s="100"/>
      <c r="G114" s="100"/>
      <c r="H114" s="100"/>
      <c r="I114" s="100"/>
      <c r="J114" s="100"/>
      <c r="K114" s="100"/>
      <c r="L114" s="100"/>
      <c r="M114" s="100"/>
      <c r="N114" s="100"/>
      <c r="O114" s="100"/>
      <c r="P114" s="100"/>
      <c r="Q114" s="100"/>
      <c r="R114" s="100"/>
      <c r="S114" s="100"/>
      <c r="T114" s="100"/>
      <c r="U114" s="100"/>
      <c r="V114" s="100"/>
    </row>
    <row r="115" customFormat="false" ht="18.75" hidden="false" customHeight="true" outlineLevel="0" collapsed="false">
      <c r="A115" s="100" t="s">
        <v>2181</v>
      </c>
      <c r="B115" s="100"/>
      <c r="C115" s="100"/>
      <c r="D115" s="103" t="n">
        <f aca="false">80</f>
        <v>80</v>
      </c>
      <c r="E115" s="100"/>
      <c r="F115" s="100"/>
      <c r="G115" s="100"/>
      <c r="H115" s="100"/>
      <c r="I115" s="100"/>
      <c r="J115" s="100"/>
      <c r="K115" s="100"/>
      <c r="L115" s="100"/>
      <c r="M115" s="100"/>
      <c r="N115" s="100"/>
      <c r="O115" s="100"/>
      <c r="P115" s="100"/>
      <c r="Q115" s="100"/>
      <c r="R115" s="100"/>
      <c r="S115" s="100"/>
      <c r="T115" s="100"/>
      <c r="U115" s="100"/>
      <c r="V115" s="100"/>
    </row>
    <row r="116" customFormat="false" ht="18.75" hidden="false" customHeight="true" outlineLevel="0" collapsed="false">
      <c r="A116" s="100" t="s">
        <v>2182</v>
      </c>
      <c r="B116" s="100"/>
      <c r="C116" s="100"/>
      <c r="D116" s="103" t="n">
        <f aca="false">D111-D112-D113-D114-D115-J89</f>
        <v>54.2652853925492</v>
      </c>
      <c r="E116" s="100"/>
      <c r="F116" s="100"/>
      <c r="G116" s="100"/>
      <c r="H116" s="100"/>
      <c r="I116" s="100"/>
      <c r="J116" s="100"/>
      <c r="K116" s="100"/>
      <c r="L116" s="100"/>
      <c r="M116" s="100"/>
      <c r="N116" s="100"/>
      <c r="O116" s="100"/>
      <c r="P116" s="100"/>
      <c r="Q116" s="100"/>
      <c r="R116" s="100"/>
      <c r="S116" s="100"/>
      <c r="T116" s="100"/>
      <c r="U116" s="100"/>
      <c r="V116" s="100"/>
    </row>
    <row r="117" customFormat="false" ht="18.75" hidden="false" customHeight="true" outlineLevel="0" collapsed="false">
      <c r="A117" s="100"/>
      <c r="B117" s="100"/>
      <c r="C117" s="100"/>
      <c r="D117" s="100"/>
      <c r="E117" s="100"/>
      <c r="F117" s="100"/>
      <c r="G117" s="100"/>
      <c r="H117" s="100"/>
      <c r="I117" s="100"/>
      <c r="J117" s="100"/>
      <c r="K117" s="100"/>
      <c r="L117" s="100"/>
      <c r="M117" s="100"/>
      <c r="N117" s="100"/>
      <c r="O117" s="100"/>
      <c r="P117" s="100"/>
      <c r="Q117" s="100"/>
      <c r="R117" s="100"/>
      <c r="S117" s="100"/>
      <c r="T117" s="100"/>
      <c r="U117" s="100"/>
      <c r="V117" s="100"/>
    </row>
    <row r="118" customFormat="false" ht="18.75" hidden="false" customHeight="true" outlineLevel="0" collapsed="false">
      <c r="A118" s="100" t="s">
        <v>2183</v>
      </c>
      <c r="B118" s="100"/>
      <c r="C118" s="100"/>
      <c r="D118" s="100"/>
      <c r="E118" s="100"/>
      <c r="F118" s="100"/>
      <c r="G118" s="100"/>
      <c r="H118" s="100"/>
      <c r="I118" s="100"/>
      <c r="J118" s="100"/>
      <c r="K118" s="100"/>
      <c r="L118" s="100"/>
      <c r="M118" s="100"/>
      <c r="N118" s="100"/>
      <c r="O118" s="100"/>
      <c r="P118" s="100"/>
      <c r="Q118" s="100"/>
      <c r="R118" s="100"/>
      <c r="S118" s="100"/>
      <c r="T118" s="100"/>
      <c r="U118" s="100"/>
      <c r="V118" s="100"/>
    </row>
    <row r="119" customFormat="false" ht="18.75" hidden="false" customHeight="true" outlineLevel="0" collapsed="false">
      <c r="A119" s="100" t="s">
        <v>2184</v>
      </c>
      <c r="B119" s="100"/>
      <c r="C119" s="100"/>
      <c r="D119" s="100"/>
      <c r="E119" s="100"/>
      <c r="F119" s="100"/>
      <c r="G119" s="100"/>
      <c r="H119" s="100"/>
      <c r="I119" s="100"/>
      <c r="J119" s="100"/>
      <c r="K119" s="100"/>
      <c r="L119" s="100"/>
      <c r="M119" s="100"/>
      <c r="N119" s="100"/>
      <c r="O119" s="100"/>
      <c r="P119" s="100"/>
      <c r="Q119" s="100"/>
      <c r="R119" s="100"/>
      <c r="S119" s="100"/>
      <c r="T119" s="100"/>
      <c r="U119" s="100"/>
      <c r="V119" s="100"/>
    </row>
    <row r="120" customFormat="false" ht="18.75" hidden="false" customHeight="true" outlineLevel="0" collapsed="false">
      <c r="A120" s="100" t="s">
        <v>2185</v>
      </c>
      <c r="B120" s="100"/>
      <c r="C120" s="100"/>
      <c r="D120" s="100"/>
      <c r="E120" s="100"/>
      <c r="F120" s="100"/>
      <c r="G120" s="100"/>
      <c r="H120" s="100"/>
      <c r="I120" s="100"/>
      <c r="J120" s="100"/>
      <c r="K120" s="100"/>
      <c r="L120" s="100"/>
      <c r="M120" s="100"/>
      <c r="N120" s="100"/>
      <c r="O120" s="100"/>
      <c r="P120" s="100"/>
      <c r="Q120" s="100"/>
      <c r="R120" s="100"/>
      <c r="S120" s="100"/>
      <c r="T120" s="100"/>
      <c r="U120" s="100"/>
      <c r="V120" s="100"/>
    </row>
    <row r="121" customFormat="false" ht="18.75" hidden="false" customHeight="true" outlineLevel="0" collapsed="false">
      <c r="A121" s="100" t="s">
        <v>2186</v>
      </c>
      <c r="B121" s="100"/>
      <c r="C121" s="100"/>
      <c r="D121" s="100"/>
      <c r="E121" s="100"/>
      <c r="F121" s="100"/>
      <c r="G121" s="100"/>
      <c r="H121" s="100"/>
      <c r="I121" s="100"/>
      <c r="J121" s="100"/>
      <c r="K121" s="100"/>
      <c r="L121" s="100"/>
      <c r="M121" s="100"/>
      <c r="N121" s="100"/>
      <c r="O121" s="100"/>
      <c r="P121" s="100"/>
      <c r="Q121" s="100"/>
      <c r="R121" s="100"/>
      <c r="S121" s="100"/>
      <c r="T121" s="100"/>
      <c r="U121" s="100"/>
      <c r="V121" s="100"/>
    </row>
    <row r="122" customFormat="false" ht="18.75" hidden="false" customHeight="true" outlineLevel="0" collapsed="false">
      <c r="A122" s="100" t="s">
        <v>2187</v>
      </c>
      <c r="B122" s="100"/>
      <c r="C122" s="100"/>
      <c r="D122" s="100"/>
      <c r="E122" s="100"/>
      <c r="F122" s="100"/>
      <c r="G122" s="100"/>
      <c r="H122" s="100"/>
      <c r="I122" s="100"/>
      <c r="J122" s="100"/>
      <c r="K122" s="100"/>
      <c r="L122" s="100"/>
      <c r="M122" s="100"/>
      <c r="N122" s="100"/>
      <c r="O122" s="100"/>
      <c r="P122" s="100"/>
      <c r="Q122" s="100"/>
      <c r="R122" s="100"/>
      <c r="S122" s="100"/>
      <c r="T122" s="100"/>
      <c r="U122" s="100"/>
      <c r="V122" s="100"/>
    </row>
    <row r="123" customFormat="false" ht="18.75" hidden="false" customHeight="true" outlineLevel="0" collapsed="false">
      <c r="A123" s="100"/>
      <c r="B123" s="100"/>
      <c r="C123" s="100"/>
      <c r="D123" s="100"/>
      <c r="E123" s="100"/>
      <c r="F123" s="100"/>
      <c r="G123" s="100"/>
      <c r="H123" s="100"/>
      <c r="I123" s="100"/>
      <c r="J123" s="100"/>
      <c r="K123" s="100"/>
      <c r="L123" s="100"/>
      <c r="M123" s="100"/>
      <c r="N123" s="100"/>
      <c r="O123" s="100"/>
      <c r="P123" s="100"/>
      <c r="Q123" s="100"/>
      <c r="R123" s="100"/>
      <c r="S123" s="100"/>
      <c r="T123" s="100"/>
      <c r="U123" s="100"/>
      <c r="V123" s="100"/>
    </row>
    <row r="124" customFormat="false" ht="18.75" hidden="false" customHeight="true" outlineLevel="0" collapsed="false">
      <c r="A124" s="104" t="s">
        <v>2188</v>
      </c>
      <c r="B124" s="105"/>
      <c r="C124" s="105"/>
      <c r="D124" s="105"/>
      <c r="E124" s="105"/>
      <c r="F124" s="105"/>
      <c r="G124" s="105"/>
      <c r="H124" s="100"/>
      <c r="I124" s="100"/>
      <c r="J124" s="100"/>
      <c r="K124" s="100"/>
      <c r="L124" s="100"/>
      <c r="M124" s="100"/>
      <c r="N124" s="100"/>
      <c r="O124" s="100"/>
      <c r="P124" s="100"/>
      <c r="Q124" s="100"/>
      <c r="R124" s="100"/>
      <c r="S124" s="100"/>
      <c r="T124" s="100"/>
      <c r="U124" s="100"/>
      <c r="V124" s="100"/>
    </row>
    <row r="125" customFormat="false" ht="34.5" hidden="false" customHeight="true" outlineLevel="0" collapsed="false">
      <c r="A125" s="100" t="s">
        <v>2189</v>
      </c>
      <c r="B125" s="100"/>
      <c r="C125" s="109" t="n">
        <v>0.5</v>
      </c>
      <c r="D125" s="109" t="n">
        <v>0.7</v>
      </c>
      <c r="E125" s="118" t="n">
        <f aca="false">IF(Levers!$E$4=1,C125,D125)</f>
        <v>0.5</v>
      </c>
      <c r="F125" s="100"/>
      <c r="G125" s="108" t="s">
        <v>2190</v>
      </c>
      <c r="H125" s="100"/>
      <c r="I125" s="100"/>
      <c r="J125" s="100"/>
      <c r="K125" s="100"/>
      <c r="L125" s="100"/>
      <c r="M125" s="100"/>
      <c r="N125" s="100"/>
      <c r="O125" s="100"/>
      <c r="P125" s="100"/>
      <c r="Q125" s="100"/>
      <c r="R125" s="100"/>
      <c r="S125" s="100"/>
      <c r="T125" s="100"/>
      <c r="U125" s="100"/>
      <c r="V125" s="100"/>
    </row>
    <row r="126" customFormat="false" ht="18.75" hidden="false" customHeight="true" outlineLevel="0" collapsed="false">
      <c r="A126" s="100" t="s">
        <v>2191</v>
      </c>
      <c r="B126" s="100"/>
      <c r="C126" s="100"/>
      <c r="D126" s="103" t="n">
        <f aca="false">C89*E125</f>
        <v>248.430617258973</v>
      </c>
      <c r="E126" s="100"/>
      <c r="F126" s="100"/>
      <c r="G126" s="100"/>
      <c r="H126" s="100"/>
      <c r="I126" s="100"/>
      <c r="J126" s="100"/>
      <c r="K126" s="100"/>
      <c r="L126" s="100"/>
      <c r="M126" s="100"/>
      <c r="N126" s="100"/>
      <c r="O126" s="100"/>
      <c r="P126" s="100"/>
      <c r="Q126" s="100"/>
      <c r="R126" s="100"/>
      <c r="S126" s="100"/>
      <c r="T126" s="100"/>
      <c r="U126" s="100"/>
      <c r="V126" s="100"/>
    </row>
    <row r="127" customFormat="false" ht="18.75" hidden="false" customHeight="true" outlineLevel="0" collapsed="false">
      <c r="A127" s="100" t="s">
        <v>2192</v>
      </c>
      <c r="B127" s="100"/>
      <c r="C127" s="100"/>
      <c r="D127" s="103" t="n">
        <f aca="false">D89+E89</f>
        <v>496.861234517947</v>
      </c>
      <c r="E127" s="100"/>
      <c r="F127" s="100"/>
      <c r="G127" s="100"/>
      <c r="H127" s="100"/>
      <c r="I127" s="100"/>
      <c r="J127" s="100"/>
      <c r="K127" s="100"/>
      <c r="L127" s="100"/>
      <c r="M127" s="100"/>
      <c r="N127" s="100"/>
      <c r="O127" s="100"/>
      <c r="P127" s="100"/>
      <c r="Q127" s="100"/>
      <c r="R127" s="100"/>
      <c r="S127" s="100"/>
      <c r="T127" s="100"/>
      <c r="U127" s="100"/>
      <c r="V127" s="100"/>
    </row>
    <row r="128" customFormat="false" ht="18.75" hidden="false" customHeight="true" outlineLevel="0" collapsed="false">
      <c r="A128" s="100" t="s">
        <v>2193</v>
      </c>
      <c r="B128" s="100"/>
      <c r="C128" s="100"/>
      <c r="D128" s="103" t="n">
        <f aca="false">C89-D127</f>
        <v>0</v>
      </c>
      <c r="E128" s="100"/>
      <c r="F128" s="100"/>
      <c r="G128" s="100"/>
      <c r="H128" s="100"/>
      <c r="I128" s="100"/>
      <c r="J128" s="100"/>
      <c r="K128" s="100"/>
      <c r="L128" s="100"/>
      <c r="M128" s="100"/>
      <c r="N128" s="100"/>
      <c r="O128" s="100"/>
      <c r="P128" s="100"/>
      <c r="Q128" s="100"/>
      <c r="R128" s="100"/>
      <c r="S128" s="100"/>
      <c r="T128" s="100"/>
      <c r="U128" s="100"/>
      <c r="V128" s="100"/>
    </row>
    <row r="129" customFormat="false" ht="18.75" hidden="false" customHeight="true" outlineLevel="0" collapsed="false">
      <c r="A129" s="100" t="s">
        <v>2194</v>
      </c>
      <c r="B129" s="100"/>
      <c r="C129" s="100"/>
      <c r="D129" s="103" t="n">
        <f aca="false">Abroad!C87-E89</f>
        <v>1229.48995615563</v>
      </c>
      <c r="E129" s="100"/>
      <c r="F129" s="100"/>
      <c r="G129" s="100"/>
      <c r="H129" s="100"/>
      <c r="I129" s="100"/>
      <c r="J129" s="100"/>
      <c r="K129" s="100"/>
      <c r="L129" s="100"/>
      <c r="M129" s="100"/>
      <c r="N129" s="100"/>
      <c r="O129" s="100"/>
      <c r="P129" s="100"/>
      <c r="Q129" s="100"/>
      <c r="R129" s="100"/>
      <c r="S129" s="100"/>
      <c r="T129" s="100"/>
      <c r="U129" s="100"/>
      <c r="V129" s="100"/>
    </row>
    <row r="130" customFormat="false" ht="18.75" hidden="false" customHeight="true" outlineLevel="0" collapsed="false">
      <c r="A130" s="100" t="s">
        <v>2195</v>
      </c>
      <c r="B130" s="100"/>
      <c r="C130" s="100"/>
      <c r="D130" s="103" t="n">
        <f aca="false">C89-D126</f>
        <v>248.430617258973</v>
      </c>
      <c r="E130" s="100"/>
      <c r="F130" s="100"/>
      <c r="G130" s="100"/>
      <c r="H130" s="100"/>
      <c r="I130" s="100"/>
      <c r="J130" s="100"/>
      <c r="K130" s="100"/>
      <c r="L130" s="100"/>
      <c r="M130" s="100"/>
      <c r="N130" s="100"/>
      <c r="O130" s="100"/>
      <c r="P130" s="100"/>
      <c r="Q130" s="100"/>
      <c r="R130" s="100"/>
      <c r="S130" s="100"/>
      <c r="T130" s="100"/>
      <c r="U130" s="100"/>
      <c r="V130" s="100"/>
    </row>
    <row r="131" customFormat="false" ht="18.75" hidden="false" customHeight="true" outlineLevel="0" collapsed="false">
      <c r="A131" s="100" t="s">
        <v>2196</v>
      </c>
      <c r="B131" s="100"/>
      <c r="C131" s="100"/>
      <c r="D131" s="103" t="n">
        <f aca="false">D130</f>
        <v>248.430617258973</v>
      </c>
      <c r="E131" s="100"/>
      <c r="F131" s="100"/>
      <c r="G131" s="100"/>
      <c r="H131" s="100"/>
      <c r="I131" s="100"/>
      <c r="J131" s="100"/>
      <c r="K131" s="100"/>
      <c r="L131" s="100"/>
      <c r="M131" s="100"/>
      <c r="N131" s="100"/>
      <c r="O131" s="100"/>
      <c r="P131" s="100"/>
      <c r="Q131" s="100"/>
      <c r="R131" s="100"/>
      <c r="S131" s="100"/>
      <c r="T131" s="100"/>
      <c r="U131" s="100"/>
      <c r="V131" s="100"/>
    </row>
    <row r="132" customFormat="false" ht="18.75" hidden="false" customHeight="true" outlineLevel="0" collapsed="false">
      <c r="A132" s="100" t="s">
        <v>2197</v>
      </c>
      <c r="B132" s="100"/>
      <c r="C132" s="100"/>
      <c r="D132" s="103" t="n">
        <f aca="false">D131*gold_cover</f>
        <v>99.3722469035894</v>
      </c>
      <c r="E132" s="100"/>
      <c r="F132" s="100"/>
      <c r="G132" s="100"/>
      <c r="H132" s="100"/>
      <c r="I132" s="100"/>
      <c r="J132" s="100"/>
      <c r="K132" s="100"/>
      <c r="L132" s="100"/>
      <c r="M132" s="100"/>
      <c r="N132" s="100"/>
      <c r="O132" s="100"/>
      <c r="P132" s="100"/>
      <c r="Q132" s="100"/>
      <c r="R132" s="100"/>
      <c r="S132" s="100"/>
      <c r="T132" s="100"/>
      <c r="U132" s="100"/>
      <c r="V132" s="100"/>
    </row>
    <row r="133" customFormat="false" ht="18.75" hidden="false" customHeight="true" outlineLevel="0" collapsed="false">
      <c r="A133" s="100" t="s">
        <v>2198</v>
      </c>
      <c r="B133" s="100"/>
      <c r="C133" s="100"/>
      <c r="D133" s="103" t="n">
        <f aca="false">D126+D132</f>
        <v>347.802864162563</v>
      </c>
      <c r="E133" s="100"/>
      <c r="F133" s="100"/>
      <c r="G133" s="100"/>
      <c r="H133" s="100"/>
      <c r="I133" s="100"/>
      <c r="J133" s="100"/>
      <c r="K133" s="100"/>
      <c r="L133" s="100"/>
      <c r="M133" s="100"/>
      <c r="N133" s="100"/>
      <c r="O133" s="100"/>
      <c r="P133" s="100"/>
      <c r="Q133" s="100"/>
      <c r="R133" s="100"/>
      <c r="S133" s="100"/>
      <c r="T133" s="100"/>
      <c r="U133" s="100"/>
      <c r="V133" s="100"/>
    </row>
    <row r="134" customFormat="false" ht="18.75" hidden="false" customHeight="true" outlineLevel="0" collapsed="false">
      <c r="A134" s="100" t="s">
        <v>2199</v>
      </c>
      <c r="B134" s="100"/>
      <c r="C134" s="100"/>
      <c r="D134" s="100"/>
      <c r="E134" s="100"/>
      <c r="F134" s="100"/>
      <c r="G134" s="100"/>
      <c r="H134" s="100"/>
      <c r="I134" s="100"/>
      <c r="J134" s="100"/>
      <c r="K134" s="100"/>
      <c r="L134" s="100"/>
      <c r="M134" s="100"/>
      <c r="N134" s="100"/>
      <c r="O134" s="100"/>
      <c r="P134" s="100"/>
      <c r="Q134" s="100"/>
      <c r="R134" s="100"/>
      <c r="S134" s="100"/>
      <c r="T134" s="100"/>
      <c r="U134" s="100"/>
      <c r="V134" s="100"/>
    </row>
  </sheetData>
  <conditionalFormatting sqref="D16:D18">
    <cfRule type="cellIs" priority="2" operator="greaterThan" aboveAverage="0" equalAverage="0" bottom="0" percent="0" rank="0" text="" dxfId="5">
      <formula>0.001</formula>
    </cfRule>
  </conditionalFormatting>
  <conditionalFormatting sqref="S70:S81">
    <cfRule type="cellIs" priority="3" operator="greaterThan" aboveAverage="0" equalAverage="0" bottom="0" percent="0" rank="0" text="" dxfId="6">
      <formula>0.001</formula>
    </cfRule>
  </conditionalFormatting>
  <conditionalFormatting sqref="D60">
    <cfRule type="cellIs" priority="4" operator="greaterThan" aboveAverage="0" equalAverage="0" bottom="0" percent="0" rank="0" text="" dxfId="7">
      <formula>0.001</formula>
    </cfRule>
  </conditionalFormatting>
  <conditionalFormatting sqref="D66">
    <cfRule type="cellIs" priority="5" operator="greaterThan" aboveAverage="0" equalAverage="0" bottom="0" percent="0" rank="0" text="" dxfId="8">
      <formula>0.001</formula>
    </cfRule>
  </conditionalFormatting>
  <conditionalFormatting sqref="R70:R81">
    <cfRule type="cellIs" priority="6" operator="lessThan" aboveAverage="0" equalAverage="0" bottom="0" percent="0" rank="0" text="" dxfId="9">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99" t="s">
        <v>2200</v>
      </c>
      <c r="B1" s="100"/>
      <c r="C1" s="100"/>
      <c r="D1" s="100"/>
      <c r="E1" s="100"/>
      <c r="F1" s="100"/>
      <c r="G1" s="100"/>
      <c r="H1" s="100"/>
      <c r="I1" s="100"/>
      <c r="J1" s="100"/>
      <c r="K1" s="100"/>
      <c r="L1" s="100"/>
      <c r="M1" s="100"/>
      <c r="N1" s="100"/>
      <c r="O1" s="100"/>
      <c r="P1" s="100"/>
      <c r="Q1" s="100"/>
      <c r="R1" s="100"/>
      <c r="S1" s="100"/>
    </row>
    <row r="2" customFormat="false" ht="19.5" hidden="false" customHeight="true" outlineLevel="0" collapsed="false">
      <c r="A2" s="101" t="s">
        <v>2201</v>
      </c>
      <c r="B2" s="100"/>
      <c r="C2" s="100"/>
      <c r="D2" s="100"/>
      <c r="E2" s="100"/>
      <c r="F2" s="100"/>
      <c r="G2" s="100"/>
      <c r="H2" s="100"/>
      <c r="I2" s="100"/>
      <c r="J2" s="100"/>
      <c r="K2" s="100"/>
      <c r="L2" s="100"/>
      <c r="M2" s="100"/>
      <c r="N2" s="100"/>
      <c r="O2" s="100"/>
      <c r="P2" s="100"/>
      <c r="Q2" s="100"/>
      <c r="R2" s="100"/>
      <c r="S2" s="100"/>
    </row>
    <row r="3" customFormat="false" ht="19.5" hidden="false" customHeight="true" outlineLevel="0" collapsed="false">
      <c r="A3" s="100" t="s">
        <v>2039</v>
      </c>
      <c r="B3" s="100"/>
      <c r="C3" s="100"/>
      <c r="D3" s="100"/>
      <c r="E3" s="119" t="str">
        <f aca="false">Levers!F4</f>
        <v>Story case</v>
      </c>
      <c r="F3" s="100"/>
      <c r="G3" s="100"/>
      <c r="H3" s="100"/>
      <c r="I3" s="100"/>
      <c r="J3" s="100"/>
      <c r="K3" s="100"/>
      <c r="L3" s="100"/>
      <c r="M3" s="100"/>
      <c r="N3" s="100"/>
      <c r="O3" s="100"/>
      <c r="P3" s="100"/>
      <c r="Q3" s="100"/>
      <c r="R3" s="100"/>
      <c r="S3" s="100"/>
    </row>
    <row r="4" customFormat="false" ht="19.5" hidden="false" customHeight="true" outlineLevel="0" collapsed="false">
      <c r="A4" s="100"/>
      <c r="B4" s="100"/>
      <c r="C4" s="100"/>
      <c r="D4" s="100"/>
      <c r="E4" s="100"/>
      <c r="F4" s="100"/>
      <c r="G4" s="100"/>
      <c r="H4" s="100"/>
      <c r="I4" s="100"/>
      <c r="J4" s="100"/>
      <c r="K4" s="100"/>
      <c r="L4" s="100"/>
      <c r="M4" s="100"/>
      <c r="N4" s="100"/>
      <c r="O4" s="100"/>
      <c r="P4" s="100"/>
      <c r="Q4" s="100"/>
      <c r="R4" s="100"/>
      <c r="S4" s="100"/>
    </row>
    <row r="5" customFormat="false" ht="19.5" hidden="false" customHeight="true" outlineLevel="0" collapsed="false">
      <c r="A5" s="100" t="s">
        <v>2202</v>
      </c>
      <c r="B5" s="103"/>
      <c r="C5" s="103"/>
      <c r="D5" s="103" t="n">
        <f aca="false">SUM('War credit'!B74:B78)</f>
        <v>8500</v>
      </c>
      <c r="E5" s="103"/>
      <c r="F5" s="103"/>
      <c r="G5" s="103"/>
      <c r="H5" s="103"/>
      <c r="I5" s="103"/>
      <c r="J5" s="103"/>
      <c r="K5" s="103"/>
      <c r="L5" s="103"/>
      <c r="M5" s="103"/>
      <c r="N5" s="103"/>
      <c r="O5" s="103"/>
      <c r="P5" s="103"/>
      <c r="Q5" s="103"/>
      <c r="R5" s="103"/>
      <c r="S5" s="103"/>
    </row>
    <row r="6" customFormat="false" ht="19.5" hidden="false" customHeight="true" outlineLevel="0" collapsed="false">
      <c r="A6" s="100" t="s">
        <v>2203</v>
      </c>
      <c r="B6" s="103"/>
      <c r="C6" s="103"/>
      <c r="D6" s="103" t="n">
        <f aca="false">SUM('War credit'!C74:C78)</f>
        <v>1700</v>
      </c>
      <c r="E6" s="103"/>
      <c r="F6" s="103"/>
      <c r="G6" s="103"/>
      <c r="H6" s="103"/>
      <c r="I6" s="103"/>
      <c r="J6" s="103"/>
      <c r="K6" s="103"/>
      <c r="L6" s="103"/>
      <c r="M6" s="103"/>
      <c r="N6" s="103"/>
      <c r="O6" s="103"/>
      <c r="P6" s="103"/>
      <c r="Q6" s="103"/>
      <c r="R6" s="103"/>
      <c r="S6" s="103"/>
    </row>
    <row r="7" customFormat="false" ht="19.5" hidden="false" customHeight="true" outlineLevel="0" collapsed="false">
      <c r="A7" s="100" t="s">
        <v>2204</v>
      </c>
      <c r="B7" s="103"/>
      <c r="C7" s="103"/>
      <c r="D7" s="103" t="n">
        <f aca="false">SUM('War credit'!D74:D78)</f>
        <v>2850</v>
      </c>
      <c r="E7" s="103"/>
      <c r="F7" s="103"/>
      <c r="G7" s="103"/>
      <c r="H7" s="103"/>
      <c r="I7" s="103"/>
      <c r="J7" s="103"/>
      <c r="K7" s="103"/>
      <c r="L7" s="103"/>
      <c r="M7" s="103"/>
      <c r="N7" s="103"/>
      <c r="O7" s="103"/>
      <c r="P7" s="103"/>
      <c r="Q7" s="103"/>
      <c r="R7" s="103"/>
      <c r="S7" s="103"/>
    </row>
    <row r="8" customFormat="false" ht="19.5" hidden="false" customHeight="true" outlineLevel="0" collapsed="false">
      <c r="A8" s="100" t="s">
        <v>2205</v>
      </c>
      <c r="B8" s="103"/>
      <c r="C8" s="103"/>
      <c r="D8" s="103" t="n">
        <f aca="false">SUM('War credit'!E74:E78)</f>
        <v>3950</v>
      </c>
      <c r="E8" s="103"/>
      <c r="F8" s="103"/>
      <c r="G8" s="103"/>
      <c r="H8" s="103"/>
      <c r="I8" s="103"/>
      <c r="J8" s="103"/>
      <c r="K8" s="103"/>
      <c r="L8" s="103"/>
      <c r="M8" s="103"/>
      <c r="N8" s="103"/>
      <c r="O8" s="103"/>
      <c r="P8" s="103"/>
      <c r="Q8" s="103"/>
      <c r="R8" s="103"/>
      <c r="S8" s="103"/>
    </row>
    <row r="9" customFormat="false" ht="19.5" hidden="false" customHeight="true" outlineLevel="0" collapsed="false">
      <c r="A9" s="100" t="s">
        <v>2206</v>
      </c>
      <c r="B9" s="103"/>
      <c r="C9" s="103"/>
      <c r="D9" s="103" t="n">
        <f aca="false">MAX('War credit'!E74:E78)</f>
        <v>1200</v>
      </c>
      <c r="E9" s="103"/>
      <c r="F9" s="103"/>
      <c r="G9" s="103"/>
      <c r="H9" s="103"/>
      <c r="I9" s="103"/>
      <c r="J9" s="103"/>
      <c r="K9" s="103"/>
      <c r="L9" s="103"/>
      <c r="M9" s="103"/>
      <c r="N9" s="103"/>
      <c r="O9" s="103"/>
      <c r="P9" s="103"/>
      <c r="Q9" s="103"/>
      <c r="R9" s="103"/>
      <c r="S9" s="103"/>
    </row>
    <row r="10" customFormat="false" ht="19.5" hidden="false" customHeight="true" outlineLevel="0" collapsed="false">
      <c r="A10" s="100" t="s">
        <v>2207</v>
      </c>
      <c r="B10" s="103"/>
      <c r="C10" s="103"/>
      <c r="D10" s="103" t="n">
        <f aca="false">'Japan expansion'!D25</f>
        <v>1657.5</v>
      </c>
      <c r="E10" s="103"/>
      <c r="F10" s="103"/>
      <c r="G10" s="103"/>
      <c r="H10" s="103"/>
      <c r="I10" s="103"/>
      <c r="J10" s="103"/>
      <c r="K10" s="103"/>
      <c r="L10" s="103"/>
      <c r="M10" s="103"/>
      <c r="N10" s="103"/>
      <c r="O10" s="103"/>
      <c r="P10" s="103"/>
      <c r="Q10" s="103"/>
      <c r="R10" s="103"/>
      <c r="S10" s="103"/>
    </row>
    <row r="11" customFormat="false" ht="19.5" hidden="false" customHeight="true" outlineLevel="0" collapsed="false">
      <c r="A11" s="100" t="s">
        <v>2208</v>
      </c>
      <c r="B11" s="103"/>
      <c r="C11" s="103"/>
      <c r="D11" s="103" t="n">
        <f aca="false">'Japan expansion'!D31</f>
        <v>1201.6875</v>
      </c>
      <c r="E11" s="103"/>
      <c r="F11" s="103"/>
      <c r="G11" s="103"/>
      <c r="H11" s="103"/>
      <c r="I11" s="103"/>
      <c r="J11" s="103"/>
      <c r="K11" s="103"/>
      <c r="L11" s="103"/>
      <c r="M11" s="103"/>
      <c r="N11" s="103"/>
      <c r="O11" s="103"/>
      <c r="P11" s="103"/>
      <c r="Q11" s="103"/>
      <c r="R11" s="103"/>
      <c r="S11" s="103"/>
    </row>
    <row r="12" customFormat="false" ht="19.5" hidden="false" customHeight="true" outlineLevel="0" collapsed="false">
      <c r="A12" s="100" t="s">
        <v>2209</v>
      </c>
      <c r="B12" s="103"/>
      <c r="C12" s="103"/>
      <c r="D12" s="103" t="n">
        <f aca="false">'Japan expansion'!D35</f>
        <v>2000</v>
      </c>
      <c r="E12" s="103"/>
      <c r="F12" s="103"/>
      <c r="G12" s="103"/>
      <c r="H12" s="103"/>
      <c r="I12" s="103"/>
      <c r="J12" s="103"/>
      <c r="K12" s="103"/>
      <c r="L12" s="103"/>
      <c r="M12" s="103"/>
      <c r="N12" s="103"/>
      <c r="O12" s="103"/>
      <c r="P12" s="103"/>
      <c r="Q12" s="103"/>
      <c r="R12" s="103"/>
      <c r="S12" s="103"/>
    </row>
    <row r="13" customFormat="false" ht="19.5" hidden="false" customHeight="true" outlineLevel="0" collapsed="false">
      <c r="A13" s="100" t="s">
        <v>2210</v>
      </c>
      <c r="B13" s="103"/>
      <c r="C13" s="103"/>
      <c r="D13" s="103" t="n">
        <f aca="false">'Japan rescue'!D10</f>
        <v>496.861234517947</v>
      </c>
      <c r="E13" s="103"/>
      <c r="F13" s="103"/>
      <c r="G13" s="103"/>
      <c r="H13" s="103"/>
      <c r="I13" s="103"/>
      <c r="J13" s="103"/>
      <c r="K13" s="103"/>
      <c r="L13" s="103"/>
      <c r="M13" s="103"/>
      <c r="N13" s="103"/>
      <c r="O13" s="103"/>
      <c r="P13" s="103"/>
      <c r="Q13" s="103"/>
      <c r="R13" s="103"/>
      <c r="S13" s="103"/>
    </row>
    <row r="14" customFormat="false" ht="19.5" hidden="false" customHeight="true" outlineLevel="0" collapsed="false">
      <c r="A14" s="100" t="s">
        <v>2211</v>
      </c>
      <c r="B14" s="103"/>
      <c r="C14" s="103"/>
      <c r="D14" s="103" t="n">
        <f aca="false">S123</f>
        <v>15.6276969884854</v>
      </c>
      <c r="E14" s="103"/>
      <c r="F14" s="103"/>
      <c r="G14" s="103"/>
      <c r="H14" s="103"/>
      <c r="I14" s="103"/>
      <c r="J14" s="103"/>
      <c r="K14" s="103"/>
      <c r="L14" s="103"/>
      <c r="M14" s="103"/>
      <c r="N14" s="103"/>
      <c r="O14" s="103"/>
      <c r="P14" s="103"/>
      <c r="Q14" s="103"/>
      <c r="R14" s="103"/>
      <c r="S14" s="103"/>
    </row>
    <row r="15" customFormat="false" ht="19.5" hidden="false" customHeight="true" outlineLevel="0" collapsed="false">
      <c r="A15" s="100" t="s">
        <v>2212</v>
      </c>
      <c r="B15" s="103"/>
      <c r="C15" s="103"/>
      <c r="D15" s="103" t="n">
        <f aca="false">MAX(M135:M221)</f>
        <v>0</v>
      </c>
      <c r="E15" s="103"/>
      <c r="F15" s="103"/>
      <c r="G15" s="103"/>
      <c r="H15" s="103"/>
      <c r="I15" s="103"/>
      <c r="J15" s="103"/>
      <c r="K15" s="103"/>
      <c r="L15" s="103"/>
      <c r="M15" s="103"/>
      <c r="N15" s="103"/>
      <c r="O15" s="103"/>
      <c r="P15" s="103"/>
      <c r="Q15" s="103"/>
      <c r="R15" s="103"/>
      <c r="S15" s="103"/>
    </row>
    <row r="16" customFormat="false" ht="19.5" hidden="false" customHeight="true" outlineLevel="0" collapsed="false">
      <c r="A16" s="100" t="s">
        <v>2213</v>
      </c>
      <c r="B16" s="103"/>
      <c r="C16" s="103"/>
      <c r="D16" s="103" t="n">
        <f aca="false">SUM('Capital accounts'!L6:L92)</f>
        <v>0</v>
      </c>
      <c r="E16" s="103"/>
      <c r="F16" s="103"/>
      <c r="G16" s="103"/>
      <c r="H16" s="103"/>
      <c r="I16" s="103"/>
      <c r="J16" s="103"/>
      <c r="K16" s="103"/>
      <c r="L16" s="103"/>
      <c r="M16" s="103"/>
      <c r="N16" s="103"/>
      <c r="O16" s="103"/>
      <c r="P16" s="103"/>
      <c r="Q16" s="103"/>
      <c r="R16" s="103"/>
      <c r="S16" s="103"/>
    </row>
    <row r="17" customFormat="false" ht="19.5" hidden="false" customHeight="true" outlineLevel="0" collapsed="false">
      <c r="A17" s="100" t="s">
        <v>2214</v>
      </c>
      <c r="B17" s="103"/>
      <c r="C17" s="103"/>
      <c r="D17" s="103" t="n">
        <f aca="false">'Japan expansion'!D42</f>
        <v>800</v>
      </c>
      <c r="E17" s="103"/>
      <c r="F17" s="103"/>
      <c r="G17" s="103"/>
      <c r="H17" s="103"/>
      <c r="I17" s="103"/>
      <c r="J17" s="103"/>
      <c r="K17" s="103"/>
      <c r="L17" s="103"/>
      <c r="M17" s="103"/>
      <c r="N17" s="103"/>
      <c r="O17" s="103"/>
      <c r="P17" s="103"/>
      <c r="Q17" s="103"/>
      <c r="R17" s="103"/>
      <c r="S17" s="103"/>
    </row>
    <row r="18" customFormat="false" ht="19.5" hidden="false" customHeight="true" outlineLevel="0" collapsed="false">
      <c r="A18" s="100" t="s">
        <v>2215</v>
      </c>
      <c r="B18" s="103"/>
      <c r="C18" s="103"/>
      <c r="D18" s="107" t="str">
        <f aca="false">IF(SUM('Entente subscribers'!I6:I10)&lt;0.001,"Named subscribers cover every year (MODEL)","Subscriber gap: see Entente subscribers")</f>
        <v>Named subscribers cover every year (MODEL)</v>
      </c>
      <c r="E18" s="103"/>
      <c r="F18" s="103"/>
      <c r="G18" s="103"/>
      <c r="H18" s="103"/>
      <c r="I18" s="103"/>
      <c r="J18" s="103"/>
      <c r="K18" s="103"/>
      <c r="L18" s="103"/>
      <c r="M18" s="103"/>
      <c r="N18" s="103"/>
      <c r="O18" s="103"/>
      <c r="P18" s="103"/>
      <c r="Q18" s="103"/>
      <c r="R18" s="103"/>
      <c r="S18" s="103"/>
    </row>
    <row r="19" customFormat="false" ht="19.5" hidden="false" customHeight="true" outlineLevel="0" collapsed="false">
      <c r="A19" s="100"/>
      <c r="B19" s="103"/>
      <c r="C19" s="103"/>
      <c r="D19" s="103"/>
      <c r="E19" s="103"/>
      <c r="F19" s="103"/>
      <c r="G19" s="103"/>
      <c r="H19" s="103"/>
      <c r="I19" s="103"/>
      <c r="J19" s="103"/>
      <c r="K19" s="103"/>
      <c r="L19" s="103"/>
      <c r="M19" s="103"/>
      <c r="N19" s="103"/>
      <c r="O19" s="103"/>
      <c r="P19" s="103"/>
      <c r="Q19" s="103"/>
      <c r="R19" s="103"/>
      <c r="S19" s="103"/>
    </row>
    <row r="20" customFormat="false" ht="19.5" hidden="false" customHeight="true" outlineLevel="0" collapsed="false">
      <c r="A20" s="100"/>
      <c r="B20" s="103"/>
      <c r="C20" s="103"/>
      <c r="D20" s="103"/>
      <c r="E20" s="103"/>
      <c r="F20" s="103"/>
      <c r="G20" s="103"/>
      <c r="H20" s="103"/>
      <c r="I20" s="103"/>
      <c r="J20" s="103"/>
      <c r="K20" s="103"/>
      <c r="L20" s="103"/>
      <c r="M20" s="103"/>
      <c r="N20" s="103"/>
      <c r="O20" s="103"/>
      <c r="P20" s="103"/>
      <c r="Q20" s="103"/>
      <c r="R20" s="103"/>
      <c r="S20" s="103"/>
    </row>
    <row r="21" customFormat="false" ht="19.5" hidden="false" customHeight="true" outlineLevel="0" collapsed="false">
      <c r="A21" s="100"/>
      <c r="B21" s="103"/>
      <c r="C21" s="103"/>
      <c r="D21" s="103"/>
      <c r="E21" s="103"/>
      <c r="F21" s="103"/>
      <c r="G21" s="103"/>
      <c r="H21" s="103"/>
      <c r="I21" s="103"/>
      <c r="J21" s="103"/>
      <c r="K21" s="103"/>
      <c r="L21" s="103"/>
      <c r="M21" s="103"/>
      <c r="N21" s="103"/>
      <c r="O21" s="103"/>
      <c r="P21" s="103"/>
      <c r="Q21" s="103"/>
      <c r="R21" s="103"/>
      <c r="S21" s="103"/>
    </row>
    <row r="22" customFormat="false" ht="19.5" hidden="false" customHeight="true" outlineLevel="0" collapsed="false">
      <c r="A22" s="100"/>
      <c r="B22" s="103"/>
      <c r="C22" s="103"/>
      <c r="D22" s="103"/>
      <c r="E22" s="103"/>
      <c r="F22" s="103"/>
      <c r="G22" s="103"/>
      <c r="H22" s="103"/>
      <c r="I22" s="103"/>
      <c r="J22" s="103"/>
      <c r="K22" s="103"/>
      <c r="L22" s="103"/>
      <c r="M22" s="103"/>
      <c r="N22" s="103"/>
      <c r="O22" s="103"/>
      <c r="P22" s="103"/>
      <c r="Q22" s="103"/>
      <c r="R22" s="103"/>
      <c r="S22" s="103"/>
    </row>
    <row r="23" customFormat="false" ht="19.5" hidden="false" customHeight="true" outlineLevel="0" collapsed="false">
      <c r="A23" s="100"/>
      <c r="B23" s="103"/>
      <c r="C23" s="103"/>
      <c r="D23" s="103"/>
      <c r="E23" s="103"/>
      <c r="F23" s="103"/>
      <c r="G23" s="103"/>
      <c r="H23" s="103"/>
      <c r="I23" s="103"/>
      <c r="J23" s="103"/>
      <c r="K23" s="103"/>
      <c r="L23" s="103"/>
      <c r="M23" s="103"/>
      <c r="N23" s="103"/>
      <c r="O23" s="103"/>
      <c r="P23" s="103"/>
      <c r="Q23" s="103"/>
      <c r="R23" s="103"/>
      <c r="S23" s="103"/>
    </row>
    <row r="24" customFormat="false" ht="57.75" hidden="false" customHeight="true" outlineLevel="0" collapsed="false">
      <c r="A24" s="76" t="s">
        <v>2057</v>
      </c>
      <c r="B24" s="113"/>
      <c r="C24" s="113" t="s">
        <v>2058</v>
      </c>
      <c r="D24" s="113" t="s">
        <v>2059</v>
      </c>
      <c r="E24" s="113" t="s">
        <v>194</v>
      </c>
      <c r="F24" s="113" t="s">
        <v>1943</v>
      </c>
      <c r="G24" s="103"/>
      <c r="H24" s="103"/>
      <c r="I24" s="103"/>
      <c r="J24" s="103"/>
      <c r="K24" s="103"/>
      <c r="L24" s="103"/>
      <c r="M24" s="103"/>
      <c r="N24" s="103"/>
      <c r="O24" s="103"/>
      <c r="P24" s="103"/>
      <c r="Q24" s="103"/>
      <c r="R24" s="103"/>
      <c r="S24" s="103"/>
    </row>
    <row r="25" customFormat="false" ht="37.5" hidden="false" customHeight="true" outlineLevel="0" collapsed="false">
      <c r="A25" s="100" t="s">
        <v>2216</v>
      </c>
      <c r="B25" s="103"/>
      <c r="C25" s="109" t="n">
        <v>0.22</v>
      </c>
      <c r="D25" s="109" t="n">
        <v>0.18</v>
      </c>
      <c r="E25" s="120" t="n">
        <f aca="false">IF(Levers!$E$4=1,IF(ISNUMBER(C25),C25,"n.a."),IF(ISNUMBER(D25),D25,"n.a."))</f>
        <v>0.22</v>
      </c>
      <c r="F25" s="121" t="s">
        <v>2217</v>
      </c>
      <c r="G25" s="103"/>
      <c r="H25" s="103"/>
      <c r="I25" s="103"/>
      <c r="J25" s="103"/>
      <c r="K25" s="103"/>
      <c r="L25" s="103"/>
      <c r="M25" s="103"/>
      <c r="N25" s="103"/>
      <c r="O25" s="103"/>
      <c r="P25" s="103"/>
      <c r="Q25" s="103"/>
      <c r="R25" s="103"/>
      <c r="S25" s="103"/>
    </row>
    <row r="26" customFormat="false" ht="37.5" hidden="false" customHeight="true" outlineLevel="0" collapsed="false">
      <c r="A26" s="100" t="s">
        <v>2218</v>
      </c>
      <c r="B26" s="103"/>
      <c r="C26" s="109" t="n">
        <v>0.15</v>
      </c>
      <c r="D26" s="109" t="n">
        <v>0.15</v>
      </c>
      <c r="E26" s="120" t="n">
        <f aca="false">IF(Levers!$E$4=1,IF(ISNUMBER(C26),C26,"n.a."),IF(ISNUMBER(D26),D26,"n.a."))</f>
        <v>0.15</v>
      </c>
      <c r="F26" s="121" t="s">
        <v>2219</v>
      </c>
      <c r="G26" s="103"/>
      <c r="H26" s="103"/>
      <c r="I26" s="103"/>
      <c r="J26" s="103"/>
      <c r="K26" s="103"/>
      <c r="L26" s="103"/>
      <c r="M26" s="103"/>
      <c r="N26" s="103"/>
      <c r="O26" s="103"/>
      <c r="P26" s="103"/>
      <c r="Q26" s="103"/>
      <c r="R26" s="103"/>
      <c r="S26" s="103"/>
    </row>
    <row r="27" customFormat="false" ht="37.5" hidden="false" customHeight="true" outlineLevel="0" collapsed="false">
      <c r="A27" s="100" t="s">
        <v>2220</v>
      </c>
      <c r="B27" s="103"/>
      <c r="C27" s="109" t="n">
        <v>0.5</v>
      </c>
      <c r="D27" s="109" t="n">
        <v>0.5</v>
      </c>
      <c r="E27" s="120" t="n">
        <f aca="false">IF(Levers!$E$4=1,IF(ISNUMBER(C27),C27,"n.a."),IF(ISNUMBER(D27),D27,"n.a."))</f>
        <v>0.5</v>
      </c>
      <c r="F27" s="121" t="s">
        <v>2221</v>
      </c>
      <c r="G27" s="103"/>
      <c r="H27" s="103"/>
      <c r="I27" s="103"/>
      <c r="J27" s="103"/>
      <c r="K27" s="103"/>
      <c r="L27" s="103"/>
      <c r="M27" s="103"/>
      <c r="N27" s="103"/>
      <c r="O27" s="103"/>
      <c r="P27" s="103"/>
      <c r="Q27" s="103"/>
      <c r="R27" s="103"/>
      <c r="S27" s="103"/>
    </row>
    <row r="28" customFormat="false" ht="37.5" hidden="false" customHeight="true" outlineLevel="0" collapsed="false">
      <c r="A28" s="100" t="s">
        <v>2222</v>
      </c>
      <c r="B28" s="103"/>
      <c r="C28" s="109" t="n">
        <v>0.5</v>
      </c>
      <c r="D28" s="109" t="n">
        <v>0.5</v>
      </c>
      <c r="E28" s="120" t="n">
        <f aca="false">IF(Levers!$E$4=1,IF(ISNUMBER(C28),C28,"n.a."),IF(ISNUMBER(D28),D28,"n.a."))</f>
        <v>0.5</v>
      </c>
      <c r="F28" s="121" t="s">
        <v>2223</v>
      </c>
      <c r="G28" s="103"/>
      <c r="H28" s="103"/>
      <c r="I28" s="103"/>
      <c r="J28" s="103"/>
      <c r="K28" s="103"/>
      <c r="L28" s="103"/>
      <c r="M28" s="103"/>
      <c r="N28" s="103"/>
      <c r="O28" s="103"/>
      <c r="P28" s="103"/>
      <c r="Q28" s="103"/>
      <c r="R28" s="103"/>
      <c r="S28" s="103"/>
    </row>
    <row r="29" customFormat="false" ht="37.5" hidden="false" customHeight="true" outlineLevel="0" collapsed="false">
      <c r="A29" s="100" t="s">
        <v>2224</v>
      </c>
      <c r="B29" s="103"/>
      <c r="C29" s="103" t="n">
        <f aca="false">SUM('Entente subscribers'!B6:F10)</f>
        <v>3950</v>
      </c>
      <c r="D29" s="103" t="n">
        <f aca="false">SUM('Entente subscribers'!B6:F10)*'Entente subscribers'!C13</f>
        <v>3357.5</v>
      </c>
      <c r="E29" s="122" t="n">
        <f aca="false">IF(Levers!$E$4=1,IF(ISNUMBER(C29),C29,"n.a."),IF(ISNUMBER(D29),D29,"n.a."))</f>
        <v>3950</v>
      </c>
      <c r="F29" s="121" t="s">
        <v>2225</v>
      </c>
      <c r="G29" s="103"/>
      <c r="H29" s="103"/>
      <c r="I29" s="103"/>
      <c r="J29" s="103"/>
      <c r="K29" s="103"/>
      <c r="L29" s="103"/>
      <c r="M29" s="103"/>
      <c r="N29" s="103"/>
      <c r="O29" s="103"/>
      <c r="P29" s="103"/>
      <c r="Q29" s="103"/>
      <c r="R29" s="103"/>
      <c r="S29" s="103"/>
    </row>
    <row r="30" customFormat="false" ht="37.5" hidden="false" customHeight="true" outlineLevel="0" collapsed="false">
      <c r="A30" s="100" t="s">
        <v>2226</v>
      </c>
      <c r="B30" s="103"/>
      <c r="C30" s="103" t="n">
        <f aca="false">'Japan expansion'!C50</f>
        <v>800</v>
      </c>
      <c r="D30" s="103" t="n">
        <f aca="false">'Japan expansion'!D50</f>
        <v>800</v>
      </c>
      <c r="E30" s="122" t="n">
        <f aca="false">IF(Levers!$E$4=1,IF(ISNUMBER(C30),C30,"n.a."),IF(ISNUMBER(D30),D30,"n.a."))</f>
        <v>800</v>
      </c>
      <c r="F30" s="121" t="s">
        <v>2227</v>
      </c>
      <c r="G30" s="103"/>
      <c r="H30" s="103"/>
      <c r="I30" s="103"/>
      <c r="J30" s="103"/>
      <c r="K30" s="103"/>
      <c r="L30" s="103"/>
      <c r="M30" s="103"/>
      <c r="N30" s="103"/>
      <c r="O30" s="103"/>
      <c r="P30" s="103"/>
      <c r="Q30" s="103"/>
      <c r="R30" s="103"/>
      <c r="S30" s="103"/>
    </row>
    <row r="31" customFormat="false" ht="37.5" hidden="false" customHeight="true" outlineLevel="0" collapsed="false">
      <c r="A31" s="100" t="s">
        <v>2228</v>
      </c>
      <c r="B31" s="103"/>
      <c r="C31" s="109" t="n">
        <v>0.2</v>
      </c>
      <c r="D31" s="109" t="n">
        <v>0.15</v>
      </c>
      <c r="E31" s="120" t="n">
        <f aca="false">IF(Levers!$E$4=1,IF(ISNUMBER(C31),C31,"n.a."),IF(ISNUMBER(D31),D31,"n.a."))</f>
        <v>0.2</v>
      </c>
      <c r="F31" s="121" t="s">
        <v>2229</v>
      </c>
      <c r="G31" s="103"/>
      <c r="H31" s="103"/>
      <c r="I31" s="103"/>
      <c r="J31" s="103"/>
      <c r="K31" s="103"/>
      <c r="L31" s="103"/>
      <c r="M31" s="103"/>
      <c r="N31" s="103"/>
      <c r="O31" s="103"/>
      <c r="P31" s="103"/>
      <c r="Q31" s="103"/>
      <c r="R31" s="103"/>
      <c r="S31" s="103"/>
    </row>
    <row r="32" customFormat="false" ht="37.5" hidden="false" customHeight="true" outlineLevel="0" collapsed="false">
      <c r="A32" s="100" t="s">
        <v>2230</v>
      </c>
      <c r="B32" s="103"/>
      <c r="C32" s="109" t="n">
        <v>0.35</v>
      </c>
      <c r="D32" s="109" t="n">
        <v>0.35</v>
      </c>
      <c r="E32" s="120" t="n">
        <f aca="false">IF(Levers!$E$4=1,IF(ISNUMBER(C32),C32,"n.a."),IF(ISNUMBER(D32),D32,"n.a."))</f>
        <v>0.35</v>
      </c>
      <c r="F32" s="121" t="s">
        <v>2231</v>
      </c>
      <c r="G32" s="103"/>
      <c r="H32" s="103"/>
      <c r="I32" s="103"/>
      <c r="J32" s="103"/>
      <c r="K32" s="103"/>
      <c r="L32" s="103"/>
      <c r="M32" s="103"/>
      <c r="N32" s="103"/>
      <c r="O32" s="103"/>
      <c r="P32" s="103"/>
      <c r="Q32" s="103"/>
      <c r="R32" s="103"/>
      <c r="S32" s="103"/>
    </row>
    <row r="33" customFormat="false" ht="37.5" hidden="false" customHeight="true" outlineLevel="0" collapsed="false">
      <c r="A33" s="100" t="s">
        <v>2232</v>
      </c>
      <c r="B33" s="103"/>
      <c r="C33" s="109" t="n">
        <v>0.5</v>
      </c>
      <c r="D33" s="109" t="n">
        <v>0.5</v>
      </c>
      <c r="E33" s="120" t="n">
        <f aca="false">IF(Levers!$E$4=1,IF(ISNUMBER(C33),C33,"n.a."),IF(ISNUMBER(D33),D33,"n.a."))</f>
        <v>0.5</v>
      </c>
      <c r="F33" s="121" t="s">
        <v>2233</v>
      </c>
      <c r="G33" s="103"/>
      <c r="H33" s="103"/>
      <c r="I33" s="103"/>
      <c r="J33" s="103"/>
      <c r="K33" s="103"/>
      <c r="L33" s="103"/>
      <c r="M33" s="103"/>
      <c r="N33" s="103"/>
      <c r="O33" s="103"/>
      <c r="P33" s="103"/>
      <c r="Q33" s="103"/>
      <c r="R33" s="103"/>
      <c r="S33" s="103"/>
    </row>
    <row r="34" customFormat="false" ht="37.5" hidden="false" customHeight="true" outlineLevel="0" collapsed="false">
      <c r="A34" s="100" t="s">
        <v>2234</v>
      </c>
      <c r="B34" s="103"/>
      <c r="C34" s="109" t="n">
        <v>0.5</v>
      </c>
      <c r="D34" s="109" t="n">
        <v>0.5</v>
      </c>
      <c r="E34" s="120" t="n">
        <f aca="false">IF(Levers!$E$4=1,IF(ISNUMBER(C34),C34,"n.a."),IF(ISNUMBER(D34),D34,"n.a."))</f>
        <v>0.5</v>
      </c>
      <c r="F34" s="121" t="s">
        <v>2235</v>
      </c>
      <c r="G34" s="103"/>
      <c r="H34" s="103"/>
      <c r="I34" s="103"/>
      <c r="J34" s="103"/>
      <c r="K34" s="103"/>
      <c r="L34" s="103"/>
      <c r="M34" s="103"/>
      <c r="N34" s="103"/>
      <c r="O34" s="103"/>
      <c r="P34" s="103"/>
      <c r="Q34" s="103"/>
      <c r="R34" s="103"/>
      <c r="S34" s="103"/>
    </row>
    <row r="35" customFormat="false" ht="37.5" hidden="false" customHeight="true" outlineLevel="0" collapsed="false">
      <c r="A35" s="100" t="s">
        <v>2236</v>
      </c>
      <c r="B35" s="103"/>
      <c r="C35" s="109" t="n">
        <v>0.8</v>
      </c>
      <c r="D35" s="109" t="n">
        <v>0.8</v>
      </c>
      <c r="E35" s="120" t="n">
        <f aca="false">IF(Levers!$E$4=1,IF(ISNUMBER(C35),C35,"n.a."),IF(ISNUMBER(D35),D35,"n.a."))</f>
        <v>0.8</v>
      </c>
      <c r="F35" s="121" t="s">
        <v>2237</v>
      </c>
      <c r="G35" s="103"/>
      <c r="H35" s="103"/>
      <c r="I35" s="103"/>
      <c r="J35" s="103"/>
      <c r="K35" s="103"/>
      <c r="L35" s="103"/>
      <c r="M35" s="103"/>
      <c r="N35" s="103"/>
      <c r="O35" s="103"/>
      <c r="P35" s="103"/>
      <c r="Q35" s="103"/>
      <c r="R35" s="103"/>
      <c r="S35" s="103"/>
    </row>
    <row r="36" customFormat="false" ht="37.5" hidden="false" customHeight="true" outlineLevel="0" collapsed="false">
      <c r="A36" s="100" t="s">
        <v>2238</v>
      </c>
      <c r="B36" s="103"/>
      <c r="C36" s="109" t="n">
        <v>0.6</v>
      </c>
      <c r="D36" s="109" t="n">
        <v>0.5</v>
      </c>
      <c r="E36" s="120" t="n">
        <f aca="false">IF(Levers!$E$4=1,IF(ISNUMBER(C36),C36,"n.a."),IF(ISNUMBER(D36),D36,"n.a."))</f>
        <v>0.6</v>
      </c>
      <c r="F36" s="121" t="s">
        <v>2239</v>
      </c>
      <c r="G36" s="103"/>
      <c r="H36" s="103"/>
      <c r="I36" s="103"/>
      <c r="J36" s="103"/>
      <c r="K36" s="103"/>
      <c r="L36" s="103"/>
      <c r="M36" s="103"/>
      <c r="N36" s="103"/>
      <c r="O36" s="103"/>
      <c r="P36" s="103"/>
      <c r="Q36" s="103"/>
      <c r="R36" s="103"/>
      <c r="S36" s="103"/>
    </row>
    <row r="37" customFormat="false" ht="19.5" hidden="false" customHeight="true" outlineLevel="0" collapsed="false">
      <c r="A37" s="100" t="s">
        <v>2240</v>
      </c>
      <c r="B37" s="103"/>
      <c r="C37" s="103" t="n">
        <v>0.13</v>
      </c>
      <c r="D37" s="103" t="n">
        <v>0.13</v>
      </c>
      <c r="E37" s="103" t="n">
        <f aca="false">IF(Levers!$E$4=1,IF(ISNUMBER(C37),C37,"n.a."),IF(ISNUMBER(D37),D37,"n.a."))</f>
        <v>0.13</v>
      </c>
      <c r="F37" s="103" t="s">
        <v>2241</v>
      </c>
      <c r="G37" s="103"/>
      <c r="H37" s="103"/>
      <c r="I37" s="103"/>
      <c r="J37" s="103"/>
      <c r="K37" s="103"/>
      <c r="L37" s="103"/>
      <c r="M37" s="103"/>
      <c r="N37" s="103"/>
      <c r="O37" s="103"/>
      <c r="P37" s="103"/>
      <c r="Q37" s="103"/>
      <c r="R37" s="103"/>
      <c r="S37" s="103"/>
    </row>
    <row r="38" customFormat="false" ht="19.5" hidden="false" customHeight="true" outlineLevel="0" collapsed="false">
      <c r="A38" s="100" t="s">
        <v>2242</v>
      </c>
      <c r="B38" s="103"/>
      <c r="C38" s="103" t="n">
        <v>0.123</v>
      </c>
      <c r="D38" s="103" t="n">
        <v>0.123</v>
      </c>
      <c r="E38" s="103" t="n">
        <f aca="false">IF(Levers!$E$4=1,IF(ISNUMBER(C38),C38,"n.a."),IF(ISNUMBER(D38),D38,"n.a."))</f>
        <v>0.123</v>
      </c>
      <c r="F38" s="103" t="s">
        <v>2243</v>
      </c>
      <c r="G38" s="103"/>
      <c r="H38" s="103"/>
      <c r="I38" s="103"/>
      <c r="J38" s="103"/>
      <c r="K38" s="103"/>
      <c r="L38" s="103"/>
      <c r="M38" s="103"/>
      <c r="N38" s="103"/>
      <c r="O38" s="103"/>
      <c r="P38" s="103"/>
      <c r="Q38" s="103"/>
      <c r="R38" s="103"/>
      <c r="S38" s="103"/>
    </row>
    <row r="39" customFormat="false" ht="57.75" hidden="false" customHeight="true" outlineLevel="0" collapsed="false">
      <c r="A39" s="76" t="s">
        <v>103</v>
      </c>
      <c r="B39" s="113" t="s">
        <v>2244</v>
      </c>
      <c r="C39" s="113" t="s">
        <v>2245</v>
      </c>
      <c r="D39" s="113" t="s">
        <v>2246</v>
      </c>
      <c r="E39" s="113" t="s">
        <v>2247</v>
      </c>
      <c r="F39" s="113" t="s">
        <v>2248</v>
      </c>
      <c r="G39" s="113" t="s">
        <v>2249</v>
      </c>
      <c r="H39" s="113" t="s">
        <v>2250</v>
      </c>
      <c r="I39" s="113" t="s">
        <v>2251</v>
      </c>
      <c r="J39" s="113" t="s">
        <v>2252</v>
      </c>
      <c r="K39" s="113" t="s">
        <v>2253</v>
      </c>
      <c r="L39" s="113" t="s">
        <v>2254</v>
      </c>
      <c r="M39" s="113" t="s">
        <v>1314</v>
      </c>
      <c r="N39" s="113" t="s">
        <v>2255</v>
      </c>
      <c r="O39" s="113" t="s">
        <v>2256</v>
      </c>
      <c r="P39" s="113" t="s">
        <v>2257</v>
      </c>
      <c r="Q39" s="113" t="s">
        <v>2258</v>
      </c>
      <c r="R39" s="113" t="s">
        <v>2259</v>
      </c>
      <c r="S39" s="113" t="s">
        <v>2260</v>
      </c>
    </row>
    <row r="40" customFormat="false" ht="19.5" hidden="false" customHeight="true" outlineLevel="0" collapsed="false">
      <c r="A40" s="111" t="n">
        <v>1846</v>
      </c>
      <c r="B40" s="122" t="n">
        <f aca="false">Levers!E33</f>
        <v>0.05</v>
      </c>
      <c r="C40" s="107" t="n">
        <f aca="false">0</f>
        <v>0</v>
      </c>
      <c r="D40" s="122" t="n">
        <f aca="false">Budget!M6</f>
        <v>0.8996253075</v>
      </c>
      <c r="E40" s="122" t="n">
        <f aca="false">Loans!W6</f>
        <v>0</v>
      </c>
      <c r="F40" s="122" t="n">
        <f aca="false">('Debt &amp; cash'!H6+'Debt &amp; cash'!Q6)*issue_price</f>
        <v>0.086850119375</v>
      </c>
      <c r="G40" s="107" t="n">
        <f aca="false">SUM(B40:F40)</f>
        <v>1.036475426875</v>
      </c>
      <c r="H40" s="122" t="n">
        <f aca="false">Budget!Y6</f>
        <v>0.8115691</v>
      </c>
      <c r="I40" s="122" t="n">
        <f aca="false">Loans!V6</f>
        <v>0</v>
      </c>
      <c r="J40" s="122" t="n">
        <f aca="false">'Debt &amp; cash'!C6</f>
        <v>0</v>
      </c>
      <c r="K40" s="122" t="n">
        <f aca="false">'Debt &amp; cash'!K6</f>
        <v>0</v>
      </c>
      <c r="L40" s="122" t="n">
        <f aca="false">'Debt &amp; cash'!I6+'Debt &amp; cash'!J6+'Debt &amp; cash'!Q6*issue_price*dev_bonds</f>
        <v>0</v>
      </c>
      <c r="M40" s="122" t="n">
        <f aca="false">'Debt &amp; cash'!M6</f>
        <v>0.224906326875</v>
      </c>
      <c r="N40" s="122" t="n">
        <f aca="false">'Debt &amp; cash'!S6</f>
        <v>0</v>
      </c>
      <c r="O40" s="107" t="n">
        <f aca="false">SUM(H40:N40)</f>
        <v>1.036475426875</v>
      </c>
      <c r="P40" s="123" t="n">
        <f aca="false">G40-O40</f>
        <v>0</v>
      </c>
      <c r="Q40" s="122" t="n">
        <f aca="false">'Debt &amp; cash'!Q6</f>
        <v>0</v>
      </c>
      <c r="R40" s="107" t="n">
        <f aca="false">Q40*issue_price</f>
        <v>0</v>
      </c>
      <c r="S40" s="107" t="n">
        <f aca="false">Q40-R40</f>
        <v>0</v>
      </c>
    </row>
    <row r="41" customFormat="false" ht="19.5" hidden="false" customHeight="true" outlineLevel="0" collapsed="false">
      <c r="A41" s="111" t="n">
        <v>1847</v>
      </c>
      <c r="B41" s="122" t="n">
        <f aca="false">'Debt &amp; cash'!M6</f>
        <v>0.224906326875</v>
      </c>
      <c r="C41" s="122" t="n">
        <f aca="false">'Debt &amp; cash'!S6</f>
        <v>0</v>
      </c>
      <c r="D41" s="122" t="n">
        <f aca="false">Budget!M7</f>
        <v>0.956310569860968</v>
      </c>
      <c r="E41" s="122" t="n">
        <f aca="false">Loans!W7</f>
        <v>0</v>
      </c>
      <c r="F41" s="122" t="n">
        <f aca="false">('Debt &amp; cash'!H7+'Debt &amp; cash'!Q7)*issue_price</f>
        <v>0.487507358520235</v>
      </c>
      <c r="G41" s="107" t="n">
        <f aca="false">SUM(B41:F41)</f>
        <v>1.6687242552562</v>
      </c>
      <c r="H41" s="122" t="n">
        <f aca="false">Budget!Y7</f>
        <v>1.42785588868014</v>
      </c>
      <c r="I41" s="122" t="n">
        <f aca="false">Loans!V7</f>
        <v>0</v>
      </c>
      <c r="J41" s="122" t="n">
        <f aca="false">'Debt &amp; cash'!C7</f>
        <v>0.00179072411082474</v>
      </c>
      <c r="K41" s="122" t="n">
        <f aca="false">'Debt &amp; cash'!K7</f>
        <v>0</v>
      </c>
      <c r="L41" s="122" t="n">
        <f aca="false">'Debt &amp; cash'!I7+'Debt &amp; cash'!J7+'Debt &amp; cash'!Q7*issue_price*dev_bonds</f>
        <v>0</v>
      </c>
      <c r="M41" s="122" t="n">
        <f aca="false">'Debt &amp; cash'!M7</f>
        <v>0.239077642465242</v>
      </c>
      <c r="N41" s="122" t="n">
        <f aca="false">'Debt &amp; cash'!S7</f>
        <v>0</v>
      </c>
      <c r="O41" s="107" t="n">
        <f aca="false">SUM(H41:N41)</f>
        <v>1.6687242552562</v>
      </c>
      <c r="P41" s="123" t="n">
        <f aca="false">G41-O41</f>
        <v>0</v>
      </c>
      <c r="Q41" s="122" t="n">
        <f aca="false">'Debt &amp; cash'!Q7</f>
        <v>0</v>
      </c>
      <c r="R41" s="107" t="n">
        <f aca="false">Q41*issue_price</f>
        <v>0</v>
      </c>
      <c r="S41" s="107" t="n">
        <f aca="false">Q41-R41</f>
        <v>0</v>
      </c>
    </row>
    <row r="42" customFormat="false" ht="19.5" hidden="false" customHeight="true" outlineLevel="0" collapsed="false">
      <c r="A42" s="111" t="n">
        <v>1848</v>
      </c>
      <c r="B42" s="122" t="n">
        <f aca="false">'Debt &amp; cash'!M7</f>
        <v>0.239077642465242</v>
      </c>
      <c r="C42" s="122" t="n">
        <f aca="false">'Debt &amp; cash'!S7</f>
        <v>0</v>
      </c>
      <c r="D42" s="122" t="n">
        <f aca="false">Budget!M8</f>
        <v>1.27478938954484</v>
      </c>
      <c r="E42" s="122" t="n">
        <f aca="false">Loans!W8</f>
        <v>0</v>
      </c>
      <c r="F42" s="122" t="n">
        <f aca="false">('Debt &amp; cash'!H8+'Debt &amp; cash'!Q8)*issue_price</f>
        <v>0.555074643334658</v>
      </c>
      <c r="G42" s="107" t="n">
        <f aca="false">SUM(B42:F42)</f>
        <v>2.06894167534474</v>
      </c>
      <c r="H42" s="122" t="n">
        <f aca="false">Budget!Y8</f>
        <v>1.73843772021611</v>
      </c>
      <c r="I42" s="122" t="n">
        <f aca="false">Loans!V8</f>
        <v>0</v>
      </c>
      <c r="J42" s="122" t="n">
        <f aca="false">'Debt &amp; cash'!C8</f>
        <v>0.0118066077424275</v>
      </c>
      <c r="K42" s="122" t="n">
        <f aca="false">'Debt &amp; cash'!K8</f>
        <v>0</v>
      </c>
      <c r="L42" s="122" t="n">
        <f aca="false">'Debt &amp; cash'!I8+'Debt &amp; cash'!J8+'Debt &amp; cash'!Q8*issue_price*dev_bonds</f>
        <v>0</v>
      </c>
      <c r="M42" s="122" t="n">
        <f aca="false">'Debt &amp; cash'!M8</f>
        <v>0.318697347386211</v>
      </c>
      <c r="N42" s="122" t="n">
        <f aca="false">'Debt &amp; cash'!S8</f>
        <v>0</v>
      </c>
      <c r="O42" s="107" t="n">
        <f aca="false">SUM(H42:N42)</f>
        <v>2.06894167534474</v>
      </c>
      <c r="P42" s="123" t="n">
        <f aca="false">G42-O42</f>
        <v>0</v>
      </c>
      <c r="Q42" s="122" t="n">
        <f aca="false">'Debt &amp; cash'!Q8</f>
        <v>0</v>
      </c>
      <c r="R42" s="107" t="n">
        <f aca="false">Q42*issue_price</f>
        <v>0</v>
      </c>
      <c r="S42" s="107" t="n">
        <f aca="false">Q42-R42</f>
        <v>0</v>
      </c>
    </row>
    <row r="43" customFormat="false" ht="19.5" hidden="false" customHeight="true" outlineLevel="0" collapsed="false">
      <c r="A43" s="111" t="n">
        <v>1849</v>
      </c>
      <c r="B43" s="122" t="n">
        <f aca="false">'Debt &amp; cash'!M8</f>
        <v>0.318697347386211</v>
      </c>
      <c r="C43" s="122" t="n">
        <f aca="false">'Debt &amp; cash'!S8</f>
        <v>0</v>
      </c>
      <c r="D43" s="122" t="n">
        <f aca="false">Budget!M9</f>
        <v>6.41261874442052</v>
      </c>
      <c r="E43" s="122" t="n">
        <f aca="false">Loans!W9</f>
        <v>0</v>
      </c>
      <c r="F43" s="122" t="n">
        <f aca="false">('Debt &amp; cash'!H9+'Debt &amp; cash'!Q9)*issue_price</f>
        <v>0.50115925044475</v>
      </c>
      <c r="G43" s="107" t="n">
        <f aca="false">SUM(B43:F43)</f>
        <v>7.23247534225148</v>
      </c>
      <c r="H43" s="122" t="n">
        <f aca="false">Budget!Y9</f>
        <v>5.31430534255187</v>
      </c>
      <c r="I43" s="122" t="n">
        <f aca="false">Loans!V9</f>
        <v>0</v>
      </c>
      <c r="J43" s="122" t="n">
        <f aca="false">'Debt &amp; cash'!C9</f>
        <v>0.315015313594479</v>
      </c>
      <c r="K43" s="122" t="n">
        <f aca="false">'Debt &amp; cash'!K9</f>
        <v>0</v>
      </c>
      <c r="L43" s="122" t="n">
        <f aca="false">'Debt &amp; cash'!I9+'Debt &amp; cash'!J9+'Debt &amp; cash'!Q9*issue_price*dev_bonds</f>
        <v>0</v>
      </c>
      <c r="M43" s="122" t="n">
        <f aca="false">'Debt &amp; cash'!M9</f>
        <v>1.60315468610513</v>
      </c>
      <c r="N43" s="122" t="n">
        <f aca="false">'Debt &amp; cash'!S9</f>
        <v>0</v>
      </c>
      <c r="O43" s="107" t="n">
        <f aca="false">SUM(H43:N43)</f>
        <v>7.23247534225148</v>
      </c>
      <c r="P43" s="123" t="n">
        <f aca="false">G43-O43</f>
        <v>0</v>
      </c>
      <c r="Q43" s="122" t="n">
        <f aca="false">'Debt &amp; cash'!Q9</f>
        <v>0</v>
      </c>
      <c r="R43" s="107" t="n">
        <f aca="false">Q43*issue_price</f>
        <v>0</v>
      </c>
      <c r="S43" s="107" t="n">
        <f aca="false">Q43-R43</f>
        <v>0</v>
      </c>
    </row>
    <row r="44" customFormat="false" ht="19.5" hidden="false" customHeight="true" outlineLevel="0" collapsed="false">
      <c r="A44" s="111" t="n">
        <v>1850</v>
      </c>
      <c r="B44" s="122" t="n">
        <f aca="false">'Debt &amp; cash'!M9</f>
        <v>1.60315468610513</v>
      </c>
      <c r="C44" s="122" t="n">
        <f aca="false">'Debt &amp; cash'!S9</f>
        <v>0</v>
      </c>
      <c r="D44" s="122" t="n">
        <f aca="false">Budget!M10</f>
        <v>6.90479482948093</v>
      </c>
      <c r="E44" s="122" t="n">
        <f aca="false">Loans!W10</f>
        <v>0</v>
      </c>
      <c r="F44" s="122" t="n">
        <f aca="false">('Debt &amp; cash'!H10+'Debt &amp; cash'!Q10)*issue_price</f>
        <v>0</v>
      </c>
      <c r="G44" s="107" t="n">
        <f aca="false">SUM(B44:F44)</f>
        <v>8.50794951558606</v>
      </c>
      <c r="H44" s="122" t="n">
        <f aca="false">Budget!Y10</f>
        <v>6.2385247626705</v>
      </c>
      <c r="I44" s="122" t="n">
        <f aca="false">Loans!V10</f>
        <v>0</v>
      </c>
      <c r="J44" s="122" t="n">
        <f aca="false">'Debt &amp; cash'!C10</f>
        <v>0.319048187744131</v>
      </c>
      <c r="K44" s="122" t="n">
        <f aca="false">'Debt &amp; cash'!K10</f>
        <v>0.179342286240955</v>
      </c>
      <c r="L44" s="122" t="n">
        <f aca="false">'Debt &amp; cash'!I10+'Debt &amp; cash'!J10+'Debt &amp; cash'!Q10*issue_price*dev_bonds</f>
        <v>0</v>
      </c>
      <c r="M44" s="122" t="n">
        <f aca="false">'Debt &amp; cash'!M10</f>
        <v>1.72619870737023</v>
      </c>
      <c r="N44" s="122" t="n">
        <f aca="false">'Debt &amp; cash'!S10</f>
        <v>0.0448355715602387</v>
      </c>
      <c r="O44" s="107" t="n">
        <f aca="false">SUM(H44:N44)</f>
        <v>8.50794951558605</v>
      </c>
      <c r="P44" s="123" t="n">
        <f aca="false">G44-O44</f>
        <v>0</v>
      </c>
      <c r="Q44" s="122" t="n">
        <f aca="false">'Debt &amp; cash'!Q10</f>
        <v>0</v>
      </c>
      <c r="R44" s="107" t="n">
        <f aca="false">Q44*issue_price</f>
        <v>0</v>
      </c>
      <c r="S44" s="107" t="n">
        <f aca="false">Q44-R44</f>
        <v>0</v>
      </c>
    </row>
    <row r="45" customFormat="false" ht="19.5" hidden="false" customHeight="true" outlineLevel="0" collapsed="false">
      <c r="A45" s="111" t="n">
        <v>1851</v>
      </c>
      <c r="B45" s="122" t="n">
        <f aca="false">'Debt &amp; cash'!M10</f>
        <v>1.72619870737023</v>
      </c>
      <c r="C45" s="122" t="n">
        <f aca="false">'Debt &amp; cash'!S10</f>
        <v>0.0448355715602387</v>
      </c>
      <c r="D45" s="122" t="n">
        <f aca="false">Budget!M11</f>
        <v>9.233658888741</v>
      </c>
      <c r="E45" s="122" t="n">
        <f aca="false">Loans!W11</f>
        <v>0</v>
      </c>
      <c r="F45" s="122" t="n">
        <f aca="false">('Debt &amp; cash'!H11+'Debt &amp; cash'!Q11)*issue_price</f>
        <v>0</v>
      </c>
      <c r="G45" s="107" t="n">
        <f aca="false">SUM(B45:F45)</f>
        <v>11.0046931676715</v>
      </c>
      <c r="H45" s="122" t="n">
        <f aca="false">Budget!Y11</f>
        <v>7.77806468237704</v>
      </c>
      <c r="I45" s="122" t="n">
        <f aca="false">Loans!V11</f>
        <v>0</v>
      </c>
      <c r="J45" s="122" t="n">
        <f aca="false">'Debt &amp; cash'!C11</f>
        <v>0.309080378264429</v>
      </c>
      <c r="K45" s="122" t="n">
        <f aca="false">'Debt &amp; cash'!K11</f>
        <v>0.451438250627606</v>
      </c>
      <c r="L45" s="122" t="n">
        <f aca="false">'Debt &amp; cash'!I11+'Debt &amp; cash'!J11+'Debt &amp; cash'!Q11*issue_price*dev_bonds</f>
        <v>0</v>
      </c>
      <c r="M45" s="122" t="n">
        <f aca="false">'Debt &amp; cash'!M11</f>
        <v>2.30841472218525</v>
      </c>
      <c r="N45" s="122" t="n">
        <f aca="false">'Debt &amp; cash'!S11</f>
        <v>0.15769513421714</v>
      </c>
      <c r="O45" s="107" t="n">
        <f aca="false">SUM(H45:N45)</f>
        <v>11.0046931676715</v>
      </c>
      <c r="P45" s="123" t="n">
        <f aca="false">G45-O45</f>
        <v>0</v>
      </c>
      <c r="Q45" s="122" t="n">
        <f aca="false">'Debt &amp; cash'!Q11</f>
        <v>0</v>
      </c>
      <c r="R45" s="107" t="n">
        <f aca="false">Q45*issue_price</f>
        <v>0</v>
      </c>
      <c r="S45" s="107" t="n">
        <f aca="false">Q45-R45</f>
        <v>0</v>
      </c>
    </row>
    <row r="46" customFormat="false" ht="19.5" hidden="false" customHeight="true" outlineLevel="0" collapsed="false">
      <c r="A46" s="111" t="n">
        <v>1852</v>
      </c>
      <c r="B46" s="122" t="n">
        <f aca="false">'Debt &amp; cash'!M11</f>
        <v>2.30841472218525</v>
      </c>
      <c r="C46" s="122" t="n">
        <f aca="false">'Debt &amp; cash'!S11</f>
        <v>0.15769513421714</v>
      </c>
      <c r="D46" s="122" t="n">
        <f aca="false">Budget!M12</f>
        <v>12.1970584195324</v>
      </c>
      <c r="E46" s="122" t="n">
        <f aca="false">Loans!W12</f>
        <v>0</v>
      </c>
      <c r="F46" s="122" t="n">
        <f aca="false">('Debt &amp; cash'!H12+'Debt &amp; cash'!Q12)*issue_price</f>
        <v>0</v>
      </c>
      <c r="G46" s="107" t="n">
        <f aca="false">SUM(B46:F46)</f>
        <v>14.6631682759348</v>
      </c>
      <c r="H46" s="122" t="n">
        <f aca="false">Budget!Y12</f>
        <v>10.0938114479734</v>
      </c>
      <c r="I46" s="122" t="n">
        <f aca="false">Loans!V12</f>
        <v>0</v>
      </c>
      <c r="J46" s="122" t="n">
        <f aca="false">'Debt &amp; cash'!C12</f>
        <v>0.293870005686588</v>
      </c>
      <c r="K46" s="122" t="n">
        <f aca="false">'Debt &amp; cash'!K12</f>
        <v>0.854821666539629</v>
      </c>
      <c r="L46" s="122" t="n">
        <f aca="false">'Debt &amp; cash'!I12+'Debt &amp; cash'!J12+'Debt &amp; cash'!Q12*issue_price*dev_bonds</f>
        <v>0</v>
      </c>
      <c r="M46" s="122" t="n">
        <f aca="false">'Debt &amp; cash'!M12</f>
        <v>3.04926460488309</v>
      </c>
      <c r="N46" s="122" t="n">
        <f aca="false">'Debt &amp; cash'!S12</f>
        <v>0.371400550852047</v>
      </c>
      <c r="O46" s="107" t="n">
        <f aca="false">SUM(H46:N46)</f>
        <v>14.6631682759348</v>
      </c>
      <c r="P46" s="123" t="n">
        <f aca="false">G46-O46</f>
        <v>0</v>
      </c>
      <c r="Q46" s="122" t="n">
        <f aca="false">'Debt &amp; cash'!Q12</f>
        <v>0</v>
      </c>
      <c r="R46" s="107" t="n">
        <f aca="false">Q46*issue_price</f>
        <v>0</v>
      </c>
      <c r="S46" s="107" t="n">
        <f aca="false">Q46-R46</f>
        <v>0</v>
      </c>
    </row>
    <row r="47" customFormat="false" ht="19.5" hidden="false" customHeight="true" outlineLevel="0" collapsed="false">
      <c r="A47" s="111" t="n">
        <v>1853</v>
      </c>
      <c r="B47" s="122" t="n">
        <f aca="false">'Debt &amp; cash'!M12</f>
        <v>3.04926460488309</v>
      </c>
      <c r="C47" s="122" t="n">
        <f aca="false">'Debt &amp; cash'!S12</f>
        <v>0.371400550852047</v>
      </c>
      <c r="D47" s="122" t="n">
        <f aca="false">Budget!M13</f>
        <v>12.2209745982705</v>
      </c>
      <c r="E47" s="122" t="n">
        <f aca="false">Loans!W13</f>
        <v>0</v>
      </c>
      <c r="F47" s="122" t="n">
        <f aca="false">('Debt &amp; cash'!H13+'Debt &amp; cash'!Q13)*issue_price</f>
        <v>0</v>
      </c>
      <c r="G47" s="107" t="n">
        <f aca="false">SUM(B47:F47)</f>
        <v>15.6416397540056</v>
      </c>
      <c r="H47" s="122" t="n">
        <f aca="false">Budget!Y13</f>
        <v>10.0789356653415</v>
      </c>
      <c r="I47" s="122" t="n">
        <f aca="false">Loans!V13</f>
        <v>0</v>
      </c>
      <c r="J47" s="122" t="n">
        <f aca="false">'Debt &amp; cash'!C13</f>
        <v>0.270896172242064</v>
      </c>
      <c r="K47" s="122" t="n">
        <f aca="false">'Debt &amp; cash'!K13</f>
        <v>1.49213097280194</v>
      </c>
      <c r="L47" s="122" t="n">
        <f aca="false">'Debt &amp; cash'!I13+'Debt &amp; cash'!J13+'Debt &amp; cash'!Q13*issue_price*dev_bonds</f>
        <v>0</v>
      </c>
      <c r="M47" s="122" t="n">
        <f aca="false">'Debt &amp; cash'!M13</f>
        <v>3.05524364956763</v>
      </c>
      <c r="N47" s="122" t="n">
        <f aca="false">'Debt &amp; cash'!S13</f>
        <v>0.744433294052533</v>
      </c>
      <c r="O47" s="107" t="n">
        <f aca="false">SUM(H47:N47)</f>
        <v>15.6416397540056</v>
      </c>
      <c r="P47" s="123" t="n">
        <f aca="false">G47-O47</f>
        <v>0</v>
      </c>
      <c r="Q47" s="122" t="n">
        <f aca="false">'Debt &amp; cash'!Q13</f>
        <v>0</v>
      </c>
      <c r="R47" s="107" t="n">
        <f aca="false">Q47*issue_price</f>
        <v>0</v>
      </c>
      <c r="S47" s="107" t="n">
        <f aca="false">Q47-R47</f>
        <v>0</v>
      </c>
    </row>
    <row r="48" customFormat="false" ht="19.5" hidden="false" customHeight="true" outlineLevel="0" collapsed="false">
      <c r="A48" s="111" t="n">
        <v>1854</v>
      </c>
      <c r="B48" s="122" t="n">
        <f aca="false">'Debt &amp; cash'!M13</f>
        <v>3.05524364956763</v>
      </c>
      <c r="C48" s="122" t="n">
        <f aca="false">'Debt &amp; cash'!S13</f>
        <v>0.744433294052533</v>
      </c>
      <c r="D48" s="122" t="n">
        <f aca="false">Budget!M14</f>
        <v>13.0711367662319</v>
      </c>
      <c r="E48" s="122" t="n">
        <f aca="false">Loans!W14</f>
        <v>0</v>
      </c>
      <c r="F48" s="122" t="n">
        <f aca="false">('Debt &amp; cash'!H14+'Debt &amp; cash'!Q14)*issue_price</f>
        <v>0</v>
      </c>
      <c r="G48" s="107" t="n">
        <f aca="false">SUM(B48:F48)</f>
        <v>16.8708137098521</v>
      </c>
      <c r="H48" s="122" t="n">
        <f aca="false">Budget!Y14</f>
        <v>10.9564200382039</v>
      </c>
      <c r="I48" s="122" t="n">
        <f aca="false">Loans!V14</f>
        <v>0</v>
      </c>
      <c r="J48" s="122" t="n">
        <f aca="false">'Debt &amp; cash'!C14</f>
        <v>0.235635629341184</v>
      </c>
      <c r="K48" s="122" t="n">
        <f aca="false">'Debt &amp; cash'!K14</f>
        <v>1.33323244535719</v>
      </c>
      <c r="L48" s="122" t="n">
        <f aca="false">'Debt &amp; cash'!I14+'Debt &amp; cash'!J14+'Debt &amp; cash'!Q14*issue_price*dev_bonds</f>
        <v>0</v>
      </c>
      <c r="M48" s="122" t="n">
        <f aca="false">'Debt &amp; cash'!M14</f>
        <v>3.26778419155797</v>
      </c>
      <c r="N48" s="122" t="n">
        <f aca="false">'Debt &amp; cash'!S14</f>
        <v>1.07774140539183</v>
      </c>
      <c r="O48" s="107" t="n">
        <f aca="false">SUM(H48:N48)</f>
        <v>16.8708137098521</v>
      </c>
      <c r="P48" s="123" t="n">
        <f aca="false">G48-O48</f>
        <v>0</v>
      </c>
      <c r="Q48" s="122" t="n">
        <f aca="false">'Debt &amp; cash'!Q14</f>
        <v>0</v>
      </c>
      <c r="R48" s="107" t="n">
        <f aca="false">Q48*issue_price</f>
        <v>0</v>
      </c>
      <c r="S48" s="107" t="n">
        <f aca="false">Q48-R48</f>
        <v>0</v>
      </c>
    </row>
    <row r="49" customFormat="false" ht="19.5" hidden="false" customHeight="true" outlineLevel="0" collapsed="false">
      <c r="A49" s="111" t="n">
        <v>1855</v>
      </c>
      <c r="B49" s="122" t="n">
        <f aca="false">'Debt &amp; cash'!M14</f>
        <v>3.26778419155797</v>
      </c>
      <c r="C49" s="122" t="n">
        <f aca="false">'Debt &amp; cash'!S14</f>
        <v>1.07774140539183</v>
      </c>
      <c r="D49" s="122" t="n">
        <f aca="false">Budget!M15</f>
        <v>13.5671500328147</v>
      </c>
      <c r="E49" s="122" t="n">
        <f aca="false">Loans!W15</f>
        <v>0</v>
      </c>
      <c r="F49" s="122" t="n">
        <f aca="false">('Debt &amp; cash'!H15+'Debt &amp; cash'!Q15)*issue_price</f>
        <v>0</v>
      </c>
      <c r="G49" s="107" t="n">
        <f aca="false">SUM(B49:F49)</f>
        <v>17.9126756297645</v>
      </c>
      <c r="H49" s="122" t="n">
        <f aca="false">Budget!Y15</f>
        <v>11.6372673960798</v>
      </c>
      <c r="I49" s="122" t="n">
        <f aca="false">Loans!V15</f>
        <v>0</v>
      </c>
      <c r="J49" s="122" t="n">
        <f aca="false">'Debt &amp; cash'!C15</f>
        <v>0.204258267847216</v>
      </c>
      <c r="K49" s="122" t="n">
        <f aca="false">'Debt &amp; cash'!K15</f>
        <v>1.28129684179359</v>
      </c>
      <c r="L49" s="122" t="n">
        <f aca="false">'Debt &amp; cash'!I15+'Debt &amp; cash'!J15+'Debt &amp; cash'!Q15*issue_price*dev_bonds</f>
        <v>0</v>
      </c>
      <c r="M49" s="122" t="n">
        <f aca="false">'Debt &amp; cash'!M15</f>
        <v>3.39178750820368</v>
      </c>
      <c r="N49" s="122" t="n">
        <f aca="false">'Debt &amp; cash'!S15</f>
        <v>1.39806561584023</v>
      </c>
      <c r="O49" s="107" t="n">
        <f aca="false">SUM(H49:N49)</f>
        <v>17.9126756297645</v>
      </c>
      <c r="P49" s="123" t="n">
        <f aca="false">G49-O49</f>
        <v>0</v>
      </c>
      <c r="Q49" s="122" t="n">
        <f aca="false">'Debt &amp; cash'!Q15</f>
        <v>0</v>
      </c>
      <c r="R49" s="107" t="n">
        <f aca="false">Q49*issue_price</f>
        <v>0</v>
      </c>
      <c r="S49" s="107" t="n">
        <f aca="false">Q49-R49</f>
        <v>0</v>
      </c>
    </row>
    <row r="50" customFormat="false" ht="19.5" hidden="false" customHeight="true" outlineLevel="0" collapsed="false">
      <c r="A50" s="111" t="n">
        <v>1856</v>
      </c>
      <c r="B50" s="122" t="n">
        <f aca="false">'Debt &amp; cash'!M15</f>
        <v>3.39178750820368</v>
      </c>
      <c r="C50" s="122" t="n">
        <f aca="false">'Debt &amp; cash'!S15</f>
        <v>1.39806561584023</v>
      </c>
      <c r="D50" s="122" t="n">
        <f aca="false">Budget!M16</f>
        <v>15.1516014802402</v>
      </c>
      <c r="E50" s="122" t="n">
        <f aca="false">Loans!W16</f>
        <v>0</v>
      </c>
      <c r="F50" s="122" t="n">
        <f aca="false">('Debt &amp; cash'!H16+'Debt &amp; cash'!Q16)*issue_price</f>
        <v>0</v>
      </c>
      <c r="G50" s="107" t="n">
        <f aca="false">SUM(B50:F50)</f>
        <v>19.9414546042841</v>
      </c>
      <c r="H50" s="122" t="n">
        <f aca="false">Budget!Y16</f>
        <v>13.155228059112</v>
      </c>
      <c r="I50" s="122" t="n">
        <f aca="false">Loans!V16</f>
        <v>0</v>
      </c>
      <c r="J50" s="122" t="n">
        <f aca="false">'Debt &amp; cash'!C16</f>
        <v>0.1745471656544</v>
      </c>
      <c r="K50" s="122" t="n">
        <f aca="false">'Debt &amp; cash'!K16</f>
        <v>1.14057071489401</v>
      </c>
      <c r="L50" s="122" t="n">
        <f aca="false">'Debt &amp; cash'!I16+'Debt &amp; cash'!J16+'Debt &amp; cash'!Q16*issue_price*dev_bonds</f>
        <v>0</v>
      </c>
      <c r="M50" s="122" t="n">
        <f aca="false">'Debt &amp; cash'!M16</f>
        <v>3.78790037006006</v>
      </c>
      <c r="N50" s="122" t="n">
        <f aca="false">'Debt &amp; cash'!S16</f>
        <v>1.68320829456373</v>
      </c>
      <c r="O50" s="107" t="n">
        <f aca="false">SUM(H50:N50)</f>
        <v>19.9414546042841</v>
      </c>
      <c r="P50" s="123" t="n">
        <f aca="false">G50-O50</f>
        <v>0</v>
      </c>
      <c r="Q50" s="122" t="n">
        <f aca="false">'Debt &amp; cash'!Q16</f>
        <v>0</v>
      </c>
      <c r="R50" s="107" t="n">
        <f aca="false">Q50*issue_price</f>
        <v>0</v>
      </c>
      <c r="S50" s="107" t="n">
        <f aca="false">Q50-R50</f>
        <v>0</v>
      </c>
    </row>
    <row r="51" customFormat="false" ht="19.5" hidden="false" customHeight="true" outlineLevel="0" collapsed="false">
      <c r="A51" s="111" t="n">
        <v>1857</v>
      </c>
      <c r="B51" s="122" t="n">
        <f aca="false">'Debt &amp; cash'!M16</f>
        <v>3.78790037006006</v>
      </c>
      <c r="C51" s="122" t="n">
        <f aca="false">'Debt &amp; cash'!S16</f>
        <v>1.68320829456373</v>
      </c>
      <c r="D51" s="122" t="n">
        <f aca="false">Budget!M17</f>
        <v>15.4207981287588</v>
      </c>
      <c r="E51" s="122" t="n">
        <f aca="false">Loans!W17</f>
        <v>0</v>
      </c>
      <c r="F51" s="122" t="n">
        <f aca="false">('Debt &amp; cash'!H17+'Debt &amp; cash'!Q17)*issue_price</f>
        <v>0</v>
      </c>
      <c r="G51" s="107" t="n">
        <f aca="false">SUM(B51:F51)</f>
        <v>20.8919067933826</v>
      </c>
      <c r="H51" s="122" t="n">
        <f aca="false">Budget!Y17</f>
        <v>14.7622602974371</v>
      </c>
      <c r="I51" s="122" t="n">
        <f aca="false">Loans!V17</f>
        <v>0</v>
      </c>
      <c r="J51" s="122" t="n">
        <f aca="false">'Debt &amp; cash'!C17</f>
        <v>0.148244808043432</v>
      </c>
      <c r="K51" s="122" t="n">
        <f aca="false">'Debt &amp; cash'!K17</f>
        <v>0.354395088918911</v>
      </c>
      <c r="L51" s="122" t="n">
        <f aca="false">'Debt &amp; cash'!I17+'Debt &amp; cash'!J17+'Debt &amp; cash'!Q17*issue_price*dev_bonds</f>
        <v>0</v>
      </c>
      <c r="M51" s="122" t="n">
        <f aca="false">'Debt &amp; cash'!M17</f>
        <v>3.85519953218971</v>
      </c>
      <c r="N51" s="122" t="n">
        <f aca="false">'Debt &amp; cash'!S17</f>
        <v>1.77180706679346</v>
      </c>
      <c r="O51" s="107" t="n">
        <f aca="false">SUM(H51:N51)</f>
        <v>20.8919067933826</v>
      </c>
      <c r="P51" s="123" t="n">
        <f aca="false">G51-O51</f>
        <v>0</v>
      </c>
      <c r="Q51" s="122" t="n">
        <f aca="false">'Debt &amp; cash'!Q17</f>
        <v>0</v>
      </c>
      <c r="R51" s="107" t="n">
        <f aca="false">Q51*issue_price</f>
        <v>0</v>
      </c>
      <c r="S51" s="107" t="n">
        <f aca="false">Q51-R51</f>
        <v>0</v>
      </c>
    </row>
    <row r="52" customFormat="false" ht="19.5" hidden="false" customHeight="true" outlineLevel="0" collapsed="false">
      <c r="A52" s="111" t="n">
        <v>1858</v>
      </c>
      <c r="B52" s="122" t="n">
        <f aca="false">'Debt &amp; cash'!M17</f>
        <v>3.85519953218971</v>
      </c>
      <c r="C52" s="122" t="n">
        <f aca="false">'Debt &amp; cash'!S17</f>
        <v>1.77180706679346</v>
      </c>
      <c r="D52" s="122" t="n">
        <f aca="false">Budget!M18</f>
        <v>16.619530874278</v>
      </c>
      <c r="E52" s="122" t="n">
        <f aca="false">Loans!W18</f>
        <v>0</v>
      </c>
      <c r="F52" s="122" t="n">
        <f aca="false">('Debt &amp; cash'!H18+'Debt &amp; cash'!Q18)*issue_price</f>
        <v>0</v>
      </c>
      <c r="G52" s="107" t="n">
        <f aca="false">SUM(B52:F52)</f>
        <v>22.2465374732611</v>
      </c>
      <c r="H52" s="122" t="n">
        <f aca="false">Budget!Y18</f>
        <v>16.5465276466259</v>
      </c>
      <c r="I52" s="122" t="n">
        <f aca="false">Loans!V18</f>
        <v>0</v>
      </c>
      <c r="J52" s="122" t="n">
        <f aca="false">'Debt &amp; cash'!C18</f>
        <v>0.138192010104185</v>
      </c>
      <c r="K52" s="122" t="n">
        <f aca="false">'Debt &amp; cash'!K18</f>
        <v>0</v>
      </c>
      <c r="L52" s="122" t="n">
        <f aca="false">'Debt &amp; cash'!I18+'Debt &amp; cash'!J18+'Debt &amp; cash'!Q18*issue_price*dev_bonds</f>
        <v>0</v>
      </c>
      <c r="M52" s="122" t="n">
        <f aca="false">'Debt &amp; cash'!M18</f>
        <v>4.15488271856949</v>
      </c>
      <c r="N52" s="122" t="n">
        <f aca="false">'Debt &amp; cash'!S18</f>
        <v>1.40693509796156</v>
      </c>
      <c r="O52" s="107" t="n">
        <f aca="false">SUM(H52:N52)</f>
        <v>22.2465374732611</v>
      </c>
      <c r="P52" s="123" t="n">
        <f aca="false">G52-O52</f>
        <v>0</v>
      </c>
      <c r="Q52" s="122" t="n">
        <f aca="false">'Debt &amp; cash'!Q18</f>
        <v>0</v>
      </c>
      <c r="R52" s="107" t="n">
        <f aca="false">Q52*issue_price</f>
        <v>0</v>
      </c>
      <c r="S52" s="107" t="n">
        <f aca="false">Q52-R52</f>
        <v>0</v>
      </c>
    </row>
    <row r="53" customFormat="false" ht="19.5" hidden="false" customHeight="true" outlineLevel="0" collapsed="false">
      <c r="A53" s="111" t="n">
        <v>1859</v>
      </c>
      <c r="B53" s="122" t="n">
        <f aca="false">'Debt &amp; cash'!M18</f>
        <v>4.15488271856949</v>
      </c>
      <c r="C53" s="122" t="n">
        <f aca="false">'Debt &amp; cash'!S18</f>
        <v>1.40693509796156</v>
      </c>
      <c r="D53" s="122" t="n">
        <f aca="false">Budget!M19</f>
        <v>17.6413593750572</v>
      </c>
      <c r="E53" s="122" t="n">
        <f aca="false">Loans!W19</f>
        <v>0</v>
      </c>
      <c r="F53" s="122" t="n">
        <f aca="false">('Debt &amp; cash'!H19+'Debt &amp; cash'!Q19)*issue_price</f>
        <v>0</v>
      </c>
      <c r="G53" s="107" t="n">
        <f aca="false">SUM(B53:F53)</f>
        <v>23.2031771915883</v>
      </c>
      <c r="H53" s="122" t="n">
        <f aca="false">Budget!Y19</f>
        <v>18.4528292387151</v>
      </c>
      <c r="I53" s="122" t="n">
        <f aca="false">Loans!V19</f>
        <v>0</v>
      </c>
      <c r="J53" s="122" t="n">
        <f aca="false">'Debt &amp; cash'!C19</f>
        <v>0.135428169902102</v>
      </c>
      <c r="K53" s="122" t="n">
        <f aca="false">'Debt &amp; cash'!K19</f>
        <v>0</v>
      </c>
      <c r="L53" s="122" t="n">
        <f aca="false">'Debt &amp; cash'!I19+'Debt &amp; cash'!J19+'Debt &amp; cash'!Q19*issue_price*dev_bonds</f>
        <v>0</v>
      </c>
      <c r="M53" s="122" t="n">
        <f aca="false">'Debt &amp; cash'!M19</f>
        <v>4.4103398437643</v>
      </c>
      <c r="N53" s="122" t="n">
        <f aca="false">'Debt &amp; cash'!S19</f>
        <v>0.20457993920679</v>
      </c>
      <c r="O53" s="107" t="n">
        <f aca="false">SUM(H53:N53)</f>
        <v>23.2031771915883</v>
      </c>
      <c r="P53" s="123" t="n">
        <f aca="false">G53-O53</f>
        <v>0</v>
      </c>
      <c r="Q53" s="122" t="n">
        <f aca="false">'Debt &amp; cash'!Q19</f>
        <v>0</v>
      </c>
      <c r="R53" s="107" t="n">
        <f aca="false">Q53*issue_price</f>
        <v>0</v>
      </c>
      <c r="S53" s="107" t="n">
        <f aca="false">Q53-R53</f>
        <v>0</v>
      </c>
    </row>
    <row r="54" customFormat="false" ht="19.5" hidden="false" customHeight="true" outlineLevel="0" collapsed="false">
      <c r="A54" s="111" t="n">
        <v>1860</v>
      </c>
      <c r="B54" s="122" t="n">
        <f aca="false">'Debt &amp; cash'!M19</f>
        <v>4.4103398437643</v>
      </c>
      <c r="C54" s="122" t="n">
        <f aca="false">'Debt &amp; cash'!S19</f>
        <v>0.20457993920679</v>
      </c>
      <c r="D54" s="122" t="n">
        <f aca="false">Budget!M20</f>
        <v>18.4828561762761</v>
      </c>
      <c r="E54" s="122" t="n">
        <f aca="false">Loans!W20</f>
        <v>0</v>
      </c>
      <c r="F54" s="122" t="n">
        <f aca="false">('Debt &amp; cash'!H20+'Debt &amp; cash'!Q20)*issue_price</f>
        <v>4.02122599827158</v>
      </c>
      <c r="G54" s="107" t="n">
        <f aca="false">SUM(B54:F54)</f>
        <v>27.1190019575188</v>
      </c>
      <c r="H54" s="122" t="n">
        <f aca="false">Budget!Y20</f>
        <v>22.3655683069457</v>
      </c>
      <c r="I54" s="122" t="n">
        <f aca="false">Loans!V20</f>
        <v>0</v>
      </c>
      <c r="J54" s="122" t="n">
        <f aca="false">'Debt &amp; cash'!C20</f>
        <v>0.13271960650406</v>
      </c>
      <c r="K54" s="122" t="n">
        <f aca="false">'Debt &amp; cash'!K20</f>
        <v>0</v>
      </c>
      <c r="L54" s="122" t="n">
        <f aca="false">'Debt &amp; cash'!I20+'Debt &amp; cash'!J20+'Debt &amp; cash'!Q20*issue_price*dev_bonds</f>
        <v>0</v>
      </c>
      <c r="M54" s="122" t="n">
        <f aca="false">'Debt &amp; cash'!M20</f>
        <v>4.62071404406902</v>
      </c>
      <c r="N54" s="122" t="n">
        <f aca="false">'Debt &amp; cash'!S20</f>
        <v>0</v>
      </c>
      <c r="O54" s="107" t="n">
        <f aca="false">SUM(H54:N54)</f>
        <v>27.1190019575188</v>
      </c>
      <c r="P54" s="123" t="n">
        <f aca="false">G54-O54</f>
        <v>0</v>
      </c>
      <c r="Q54" s="122" t="n">
        <f aca="false">'Debt &amp; cash'!Q20</f>
        <v>0</v>
      </c>
      <c r="R54" s="107" t="n">
        <f aca="false">Q54*issue_price</f>
        <v>0</v>
      </c>
      <c r="S54" s="107" t="n">
        <f aca="false">Q54-R54</f>
        <v>0</v>
      </c>
    </row>
    <row r="55" customFormat="false" ht="19.5" hidden="false" customHeight="true" outlineLevel="0" collapsed="false">
      <c r="A55" s="111" t="n">
        <v>1861</v>
      </c>
      <c r="B55" s="122" t="n">
        <f aca="false">'Debt &amp; cash'!M20</f>
        <v>4.62071404406902</v>
      </c>
      <c r="C55" s="122" t="n">
        <f aca="false">'Debt &amp; cash'!S20</f>
        <v>0</v>
      </c>
      <c r="D55" s="122" t="n">
        <f aca="false">Budget!M21</f>
        <v>23.5626620897719</v>
      </c>
      <c r="E55" s="122" t="n">
        <f aca="false">Loans!W21</f>
        <v>0</v>
      </c>
      <c r="F55" s="122" t="n">
        <f aca="false">('Debt &amp; cash'!H21+'Debt &amp; cash'!Q21)*issue_price</f>
        <v>10.3463818128021</v>
      </c>
      <c r="G55" s="107" t="n">
        <f aca="false">SUM(B55:F55)</f>
        <v>38.529757946643</v>
      </c>
      <c r="H55" s="122" t="n">
        <f aca="false">Budget!Y21</f>
        <v>32.426115333573</v>
      </c>
      <c r="I55" s="122" t="n">
        <f aca="false">Loans!V21</f>
        <v>0</v>
      </c>
      <c r="J55" s="122" t="n">
        <f aca="false">'Debt &amp; cash'!C21</f>
        <v>0.212977090627001</v>
      </c>
      <c r="K55" s="122" t="n">
        <f aca="false">'Debt &amp; cash'!K21</f>
        <v>0</v>
      </c>
      <c r="L55" s="122" t="n">
        <f aca="false">'Debt &amp; cash'!I21+'Debt &amp; cash'!J21+'Debt &amp; cash'!Q21*issue_price*dev_bonds</f>
        <v>0</v>
      </c>
      <c r="M55" s="122" t="n">
        <f aca="false">'Debt &amp; cash'!M21</f>
        <v>5.89066552244297</v>
      </c>
      <c r="N55" s="122" t="n">
        <f aca="false">'Debt &amp; cash'!S21</f>
        <v>0</v>
      </c>
      <c r="O55" s="107" t="n">
        <f aca="false">SUM(H55:N55)</f>
        <v>38.529757946643</v>
      </c>
      <c r="P55" s="123" t="n">
        <f aca="false">G55-O55</f>
        <v>0</v>
      </c>
      <c r="Q55" s="122" t="n">
        <f aca="false">'Debt &amp; cash'!Q21</f>
        <v>0</v>
      </c>
      <c r="R55" s="107" t="n">
        <f aca="false">Q55*issue_price</f>
        <v>0</v>
      </c>
      <c r="S55" s="107" t="n">
        <f aca="false">Q55-R55</f>
        <v>0</v>
      </c>
    </row>
    <row r="56" customFormat="false" ht="19.5" hidden="false" customHeight="true" outlineLevel="0" collapsed="false">
      <c r="A56" s="111" t="n">
        <v>1862</v>
      </c>
      <c r="B56" s="122" t="n">
        <f aca="false">'Debt &amp; cash'!M21</f>
        <v>5.89066552244297</v>
      </c>
      <c r="C56" s="122" t="n">
        <f aca="false">'Debt &amp; cash'!S21</f>
        <v>0</v>
      </c>
      <c r="D56" s="122" t="n">
        <f aca="false">Budget!M22</f>
        <v>27.2086849842232</v>
      </c>
      <c r="E56" s="122" t="n">
        <f aca="false">Loans!W22</f>
        <v>0</v>
      </c>
      <c r="F56" s="122" t="n">
        <f aca="false">('Debt &amp; cash'!H22+'Debt &amp; cash'!Q22)*issue_price</f>
        <v>19.8446864680553</v>
      </c>
      <c r="G56" s="107" t="n">
        <f aca="false">SUM(B56:F56)</f>
        <v>52.9440369747215</v>
      </c>
      <c r="H56" s="122" t="n">
        <f aca="false">Budget!Y22</f>
        <v>45.7198207197934</v>
      </c>
      <c r="I56" s="122" t="n">
        <f aca="false">Loans!V22</f>
        <v>0</v>
      </c>
      <c r="J56" s="122" t="n">
        <f aca="false">'Debt &amp; cash'!C22</f>
        <v>0.422045008872235</v>
      </c>
      <c r="K56" s="122" t="n">
        <f aca="false">'Debt &amp; cash'!K22</f>
        <v>0</v>
      </c>
      <c r="L56" s="122" t="n">
        <f aca="false">'Debt &amp; cash'!I22+'Debt &amp; cash'!J22+'Debt &amp; cash'!Q22*issue_price*dev_bonds</f>
        <v>0</v>
      </c>
      <c r="M56" s="122" t="n">
        <f aca="false">'Debt &amp; cash'!M22</f>
        <v>6.8021712460558</v>
      </c>
      <c r="N56" s="122" t="n">
        <f aca="false">'Debt &amp; cash'!S22</f>
        <v>0</v>
      </c>
      <c r="O56" s="107" t="n">
        <f aca="false">SUM(H56:N56)</f>
        <v>52.9440369747215</v>
      </c>
      <c r="P56" s="123" t="n">
        <f aca="false">G56-O56</f>
        <v>0</v>
      </c>
      <c r="Q56" s="122" t="n">
        <f aca="false">'Debt &amp; cash'!Q22</f>
        <v>0</v>
      </c>
      <c r="R56" s="107" t="n">
        <f aca="false">Q56*issue_price</f>
        <v>0</v>
      </c>
      <c r="S56" s="107" t="n">
        <f aca="false">Q56-R56</f>
        <v>0</v>
      </c>
    </row>
    <row r="57" customFormat="false" ht="19.5" hidden="false" customHeight="true" outlineLevel="0" collapsed="false">
      <c r="A57" s="111" t="n">
        <v>1863</v>
      </c>
      <c r="B57" s="122" t="n">
        <f aca="false">'Debt &amp; cash'!M22</f>
        <v>6.8021712460558</v>
      </c>
      <c r="C57" s="122" t="n">
        <f aca="false">'Debt &amp; cash'!S22</f>
        <v>0</v>
      </c>
      <c r="D57" s="122" t="n">
        <f aca="false">Budget!M23</f>
        <v>33.866209760153</v>
      </c>
      <c r="E57" s="122" t="n">
        <f aca="false">Loans!W23</f>
        <v>0</v>
      </c>
      <c r="F57" s="122" t="n">
        <f aca="false">('Debt &amp; cash'!H23+'Debt &amp; cash'!Q23)*issue_price</f>
        <v>22.7253071562635</v>
      </c>
      <c r="G57" s="107" t="n">
        <f aca="false">SUM(B57:F57)</f>
        <v>63.3936881624723</v>
      </c>
      <c r="H57" s="122" t="n">
        <f aca="false">Budget!Y23</f>
        <v>54.1043628205835</v>
      </c>
      <c r="I57" s="122" t="n">
        <f aca="false">Loans!V23</f>
        <v>0</v>
      </c>
      <c r="J57" s="122" t="n">
        <f aca="false">'Debt &amp; cash'!C23</f>
        <v>0.822772901850569</v>
      </c>
      <c r="K57" s="122" t="n">
        <f aca="false">'Debt &amp; cash'!K23</f>
        <v>0</v>
      </c>
      <c r="L57" s="122" t="n">
        <f aca="false">'Debt &amp; cash'!I23+'Debt &amp; cash'!J23+'Debt &amp; cash'!Q23*issue_price*dev_bonds</f>
        <v>0</v>
      </c>
      <c r="M57" s="122" t="n">
        <f aca="false">'Debt &amp; cash'!M23</f>
        <v>8.46655244003825</v>
      </c>
      <c r="N57" s="122" t="n">
        <f aca="false">'Debt &amp; cash'!S23</f>
        <v>0</v>
      </c>
      <c r="O57" s="107" t="n">
        <f aca="false">SUM(H57:N57)</f>
        <v>63.3936881624723</v>
      </c>
      <c r="P57" s="123" t="n">
        <f aca="false">G57-O57</f>
        <v>0</v>
      </c>
      <c r="Q57" s="122" t="n">
        <f aca="false">'Debt &amp; cash'!Q23</f>
        <v>0</v>
      </c>
      <c r="R57" s="107" t="n">
        <f aca="false">Q57*issue_price</f>
        <v>0</v>
      </c>
      <c r="S57" s="107" t="n">
        <f aca="false">Q57-R57</f>
        <v>0</v>
      </c>
    </row>
    <row r="58" customFormat="false" ht="19.5" hidden="false" customHeight="true" outlineLevel="0" collapsed="false">
      <c r="A58" s="111" t="n">
        <v>1864</v>
      </c>
      <c r="B58" s="122" t="n">
        <f aca="false">'Debt &amp; cash'!M23</f>
        <v>8.46655244003825</v>
      </c>
      <c r="C58" s="122" t="n">
        <f aca="false">'Debt &amp; cash'!S23</f>
        <v>0</v>
      </c>
      <c r="D58" s="122" t="n">
        <f aca="false">Budget!M24</f>
        <v>40.4929210516677</v>
      </c>
      <c r="E58" s="122" t="n">
        <f aca="false">Loans!W24</f>
        <v>0</v>
      </c>
      <c r="F58" s="122" t="n">
        <f aca="false">('Debt &amp; cash'!H24+'Debt &amp; cash'!Q24)*issue_price</f>
        <v>21.8500022545367</v>
      </c>
      <c r="G58" s="107" t="n">
        <f aca="false">SUM(B58:F58)</f>
        <v>70.8094757462427</v>
      </c>
      <c r="H58" s="122" t="n">
        <f aca="false">Budget!Y24</f>
        <v>59.4113650053624</v>
      </c>
      <c r="I58" s="122" t="n">
        <f aca="false">Loans!V24</f>
        <v>0</v>
      </c>
      <c r="J58" s="122" t="n">
        <f aca="false">'Debt &amp; cash'!C24</f>
        <v>1.27488047796332</v>
      </c>
      <c r="K58" s="122" t="n">
        <f aca="false">'Debt &amp; cash'!K24</f>
        <v>0</v>
      </c>
      <c r="L58" s="122" t="n">
        <f aca="false">'Debt &amp; cash'!I24+'Debt &amp; cash'!J24+'Debt &amp; cash'!Q24*issue_price*dev_bonds</f>
        <v>0</v>
      </c>
      <c r="M58" s="122" t="n">
        <f aca="false">'Debt &amp; cash'!M24</f>
        <v>10.1232302629169</v>
      </c>
      <c r="N58" s="122" t="n">
        <f aca="false">'Debt &amp; cash'!S24</f>
        <v>0</v>
      </c>
      <c r="O58" s="107" t="n">
        <f aca="false">SUM(H58:N58)</f>
        <v>70.8094757462427</v>
      </c>
      <c r="P58" s="123" t="n">
        <f aca="false">G58-O58</f>
        <v>0</v>
      </c>
      <c r="Q58" s="122" t="n">
        <f aca="false">'Debt &amp; cash'!Q24</f>
        <v>0</v>
      </c>
      <c r="R58" s="107" t="n">
        <f aca="false">Q58*issue_price</f>
        <v>0</v>
      </c>
      <c r="S58" s="107" t="n">
        <f aca="false">Q58-R58</f>
        <v>0</v>
      </c>
    </row>
    <row r="59" customFormat="false" ht="19.5" hidden="false" customHeight="true" outlineLevel="0" collapsed="false">
      <c r="A59" s="111" t="n">
        <v>1865</v>
      </c>
      <c r="B59" s="122" t="n">
        <f aca="false">'Debt &amp; cash'!M24</f>
        <v>10.1232302629169</v>
      </c>
      <c r="C59" s="122" t="n">
        <f aca="false">'Debt &amp; cash'!S24</f>
        <v>0</v>
      </c>
      <c r="D59" s="122" t="n">
        <f aca="false">Budget!M25</f>
        <v>44.2069031847569</v>
      </c>
      <c r="E59" s="122" t="n">
        <f aca="false">Loans!W25</f>
        <v>0</v>
      </c>
      <c r="F59" s="122" t="n">
        <f aca="false">('Debt &amp; cash'!H25+'Debt &amp; cash'!Q25)*issue_price</f>
        <v>10.0252093451207</v>
      </c>
      <c r="G59" s="107" t="n">
        <f aca="false">SUM(B59:F59)</f>
        <v>64.3553427927945</v>
      </c>
      <c r="H59" s="122" t="n">
        <f aca="false">Budget!Y25</f>
        <v>51.6037186177984</v>
      </c>
      <c r="I59" s="122" t="n">
        <f aca="false">Loans!V25</f>
        <v>0</v>
      </c>
      <c r="J59" s="122" t="n">
        <f aca="false">'Debt &amp; cash'!C25</f>
        <v>1.69989837880687</v>
      </c>
      <c r="K59" s="122" t="n">
        <f aca="false">'Debt &amp; cash'!K25</f>
        <v>0</v>
      </c>
      <c r="L59" s="122" t="n">
        <f aca="false">'Debt &amp; cash'!I25+'Debt &amp; cash'!J25+'Debt &amp; cash'!Q25*issue_price*dev_bonds</f>
        <v>0</v>
      </c>
      <c r="M59" s="122" t="n">
        <f aca="false">'Debt &amp; cash'!M25</f>
        <v>11.0517257961892</v>
      </c>
      <c r="N59" s="122" t="n">
        <f aca="false">'Debt &amp; cash'!S25</f>
        <v>0</v>
      </c>
      <c r="O59" s="107" t="n">
        <f aca="false">SUM(H59:N59)</f>
        <v>64.3553427927945</v>
      </c>
      <c r="P59" s="123" t="n">
        <f aca="false">G59-O59</f>
        <v>0</v>
      </c>
      <c r="Q59" s="122" t="n">
        <f aca="false">'Debt &amp; cash'!Q25</f>
        <v>0</v>
      </c>
      <c r="R59" s="107" t="n">
        <f aca="false">Q59*issue_price</f>
        <v>0</v>
      </c>
      <c r="S59" s="107" t="n">
        <f aca="false">Q59-R59</f>
        <v>0</v>
      </c>
    </row>
    <row r="60" customFormat="false" ht="19.5" hidden="false" customHeight="true" outlineLevel="0" collapsed="false">
      <c r="A60" s="111" t="n">
        <v>1866</v>
      </c>
      <c r="B60" s="122" t="n">
        <f aca="false">'Debt &amp; cash'!M25</f>
        <v>11.0517257961892</v>
      </c>
      <c r="C60" s="122" t="n">
        <f aca="false">'Debt &amp; cash'!S25</f>
        <v>0</v>
      </c>
      <c r="D60" s="122" t="n">
        <f aca="false">Budget!M26</f>
        <v>45.8889394088756</v>
      </c>
      <c r="E60" s="122" t="n">
        <f aca="false">Loans!W26</f>
        <v>0</v>
      </c>
      <c r="F60" s="122" t="n">
        <f aca="false">('Debt &amp; cash'!H26+'Debt &amp; cash'!Q26)*issue_price</f>
        <v>7.94429328436478</v>
      </c>
      <c r="G60" s="107" t="n">
        <f aca="false">SUM(B60:F60)</f>
        <v>64.8849584894296</v>
      </c>
      <c r="H60" s="122" t="n">
        <f aca="false">Budget!Y26</f>
        <v>51.5401178786579</v>
      </c>
      <c r="I60" s="122" t="n">
        <f aca="false">Loans!V26</f>
        <v>0</v>
      </c>
      <c r="J60" s="122" t="n">
        <f aca="false">'Debt &amp; cash'!C26</f>
        <v>1.87260575855281</v>
      </c>
      <c r="K60" s="122" t="n">
        <f aca="false">'Debt &amp; cash'!K26</f>
        <v>0</v>
      </c>
      <c r="L60" s="122" t="n">
        <f aca="false">'Debt &amp; cash'!I26+'Debt &amp; cash'!J26+'Debt &amp; cash'!Q26*issue_price*dev_bonds</f>
        <v>0</v>
      </c>
      <c r="M60" s="122" t="n">
        <f aca="false">'Debt &amp; cash'!M26</f>
        <v>11.4722348522189</v>
      </c>
      <c r="N60" s="122" t="n">
        <f aca="false">'Debt &amp; cash'!S26</f>
        <v>0</v>
      </c>
      <c r="O60" s="107" t="n">
        <f aca="false">SUM(H60:N60)</f>
        <v>64.8849584894296</v>
      </c>
      <c r="P60" s="123" t="n">
        <f aca="false">G60-O60</f>
        <v>0</v>
      </c>
      <c r="Q60" s="122" t="n">
        <f aca="false">'Debt &amp; cash'!Q26</f>
        <v>0</v>
      </c>
      <c r="R60" s="107" t="n">
        <f aca="false">Q60*issue_price</f>
        <v>0</v>
      </c>
      <c r="S60" s="107" t="n">
        <f aca="false">Q60-R60</f>
        <v>0</v>
      </c>
    </row>
    <row r="61" customFormat="false" ht="19.5" hidden="false" customHeight="true" outlineLevel="0" collapsed="false">
      <c r="A61" s="111" t="n">
        <v>1867</v>
      </c>
      <c r="B61" s="122" t="n">
        <f aca="false">'Debt &amp; cash'!M26</f>
        <v>11.4722348522189</v>
      </c>
      <c r="C61" s="122" t="n">
        <f aca="false">'Debt &amp; cash'!S26</f>
        <v>0</v>
      </c>
      <c r="D61" s="122" t="n">
        <f aca="false">Budget!M27</f>
        <v>49.9966452350006</v>
      </c>
      <c r="E61" s="122" t="n">
        <f aca="false">Loans!W27</f>
        <v>0</v>
      </c>
      <c r="F61" s="122" t="n">
        <f aca="false">('Debt &amp; cash'!H27+'Debt &amp; cash'!Q27)*issue_price</f>
        <v>24.1149237539794</v>
      </c>
      <c r="G61" s="107" t="n">
        <f aca="false">SUM(B61:F61)</f>
        <v>85.5838038411989</v>
      </c>
      <c r="H61" s="122" t="n">
        <f aca="false">Budget!Y27</f>
        <v>61.0856890275337</v>
      </c>
      <c r="I61" s="122" t="n">
        <f aca="false">Loans!V27</f>
        <v>10</v>
      </c>
      <c r="J61" s="122" t="n">
        <f aca="false">'Debt &amp; cash'!C27</f>
        <v>1.99895350491505</v>
      </c>
      <c r="K61" s="122" t="n">
        <f aca="false">'Debt &amp; cash'!K27</f>
        <v>0</v>
      </c>
      <c r="L61" s="122" t="n">
        <f aca="false">'Debt &amp; cash'!I27+'Debt &amp; cash'!J27+'Debt &amp; cash'!Q27*issue_price*dev_bonds</f>
        <v>0</v>
      </c>
      <c r="M61" s="122" t="n">
        <f aca="false">'Debt &amp; cash'!M27</f>
        <v>12.4991613087501</v>
      </c>
      <c r="N61" s="122" t="n">
        <f aca="false">'Debt &amp; cash'!S27</f>
        <v>0</v>
      </c>
      <c r="O61" s="107" t="n">
        <f aca="false">SUM(H61:N61)</f>
        <v>85.5838038411989</v>
      </c>
      <c r="P61" s="123" t="n">
        <f aca="false">G61-O61</f>
        <v>0</v>
      </c>
      <c r="Q61" s="122" t="n">
        <f aca="false">'Debt &amp; cash'!Q27</f>
        <v>0</v>
      </c>
      <c r="R61" s="107" t="n">
        <f aca="false">Q61*issue_price</f>
        <v>0</v>
      </c>
      <c r="S61" s="107" t="n">
        <f aca="false">Q61-R61</f>
        <v>0</v>
      </c>
    </row>
    <row r="62" customFormat="false" ht="19.5" hidden="false" customHeight="true" outlineLevel="0" collapsed="false">
      <c r="A62" s="111" t="n">
        <v>1868</v>
      </c>
      <c r="B62" s="122" t="n">
        <f aca="false">'Debt &amp; cash'!M27</f>
        <v>12.4991613087501</v>
      </c>
      <c r="C62" s="122" t="n">
        <f aca="false">'Debt &amp; cash'!S27</f>
        <v>0</v>
      </c>
      <c r="D62" s="122" t="n">
        <f aca="false">Budget!M28</f>
        <v>55.0474512786149</v>
      </c>
      <c r="E62" s="122" t="n">
        <f aca="false">Loans!W28</f>
        <v>0.4</v>
      </c>
      <c r="F62" s="122" t="n">
        <f aca="false">('Debt &amp; cash'!H28+'Debt &amp; cash'!Q28)*issue_price</f>
        <v>7.58586877328107</v>
      </c>
      <c r="G62" s="107" t="n">
        <f aca="false">SUM(B62:F62)</f>
        <v>75.5324813606461</v>
      </c>
      <c r="H62" s="122" t="n">
        <f aca="false">Budget!Y28</f>
        <v>59.3144291834132</v>
      </c>
      <c r="I62" s="122" t="n">
        <f aca="false">Loans!V28</f>
        <v>0</v>
      </c>
      <c r="J62" s="122" t="n">
        <f aca="false">'Debt &amp; cash'!C28</f>
        <v>2.45618935757921</v>
      </c>
      <c r="K62" s="122" t="n">
        <f aca="false">'Debt &amp; cash'!K28</f>
        <v>0</v>
      </c>
      <c r="L62" s="122" t="n">
        <f aca="false">'Debt &amp; cash'!I28+'Debt &amp; cash'!J28+'Debt &amp; cash'!Q28*issue_price*dev_bonds</f>
        <v>0</v>
      </c>
      <c r="M62" s="122" t="n">
        <f aca="false">'Debt &amp; cash'!M28</f>
        <v>13.7618628196537</v>
      </c>
      <c r="N62" s="122" t="n">
        <f aca="false">'Debt &amp; cash'!S28</f>
        <v>0</v>
      </c>
      <c r="O62" s="107" t="n">
        <f aca="false">SUM(H62:N62)</f>
        <v>75.5324813606461</v>
      </c>
      <c r="P62" s="123" t="n">
        <f aca="false">G62-O62</f>
        <v>0</v>
      </c>
      <c r="Q62" s="122" t="n">
        <f aca="false">'Debt &amp; cash'!Q28</f>
        <v>0</v>
      </c>
      <c r="R62" s="107" t="n">
        <f aca="false">Q62*issue_price</f>
        <v>0</v>
      </c>
      <c r="S62" s="107" t="n">
        <f aca="false">Q62-R62</f>
        <v>0</v>
      </c>
    </row>
    <row r="63" customFormat="false" ht="19.5" hidden="false" customHeight="true" outlineLevel="0" collapsed="false">
      <c r="A63" s="111" t="n">
        <v>1869</v>
      </c>
      <c r="B63" s="122" t="n">
        <f aca="false">'Debt &amp; cash'!M28</f>
        <v>13.7618628196537</v>
      </c>
      <c r="C63" s="122" t="n">
        <f aca="false">'Debt &amp; cash'!S28</f>
        <v>0</v>
      </c>
      <c r="D63" s="122" t="n">
        <f aca="false">Budget!M29</f>
        <v>59.6585768016237</v>
      </c>
      <c r="E63" s="122" t="n">
        <f aca="false">Loans!W29</f>
        <v>0.384</v>
      </c>
      <c r="F63" s="122" t="n">
        <f aca="false">('Debt &amp; cash'!H29+'Debt &amp; cash'!Q29)*issue_price</f>
        <v>6.42023580253586</v>
      </c>
      <c r="G63" s="107" t="n">
        <f aca="false">SUM(B63:F63)</f>
        <v>80.2246754238133</v>
      </c>
      <c r="H63" s="122" t="n">
        <f aca="false">Budget!Y29</f>
        <v>62.7465559875512</v>
      </c>
      <c r="I63" s="122" t="n">
        <f aca="false">Loans!V29</f>
        <v>0</v>
      </c>
      <c r="J63" s="122" t="n">
        <f aca="false">'Debt &amp; cash'!C29</f>
        <v>2.5634752358561</v>
      </c>
      <c r="K63" s="122" t="n">
        <f aca="false">'Debt &amp; cash'!K29</f>
        <v>0</v>
      </c>
      <c r="L63" s="122" t="n">
        <f aca="false">'Debt &amp; cash'!I29+'Debt &amp; cash'!J29+'Debt &amp; cash'!Q29*issue_price*dev_bonds</f>
        <v>0</v>
      </c>
      <c r="M63" s="122" t="n">
        <f aca="false">'Debt &amp; cash'!M29</f>
        <v>14.9146442004059</v>
      </c>
      <c r="N63" s="122" t="n">
        <f aca="false">'Debt &amp; cash'!S29</f>
        <v>0</v>
      </c>
      <c r="O63" s="107" t="n">
        <f aca="false">SUM(H63:N63)</f>
        <v>80.2246754238133</v>
      </c>
      <c r="P63" s="123" t="n">
        <f aca="false">G63-O63</f>
        <v>0</v>
      </c>
      <c r="Q63" s="122" t="n">
        <f aca="false">'Debt &amp; cash'!Q29</f>
        <v>0</v>
      </c>
      <c r="R63" s="107" t="n">
        <f aca="false">Q63*issue_price</f>
        <v>0</v>
      </c>
      <c r="S63" s="107" t="n">
        <f aca="false">Q63-R63</f>
        <v>0</v>
      </c>
    </row>
    <row r="64" customFormat="false" ht="19.5" hidden="false" customHeight="true" outlineLevel="0" collapsed="false">
      <c r="A64" s="111" t="n">
        <v>1870</v>
      </c>
      <c r="B64" s="122" t="n">
        <f aca="false">'Debt &amp; cash'!M29</f>
        <v>14.9146442004059</v>
      </c>
      <c r="C64" s="122" t="n">
        <f aca="false">'Debt &amp; cash'!S29</f>
        <v>0</v>
      </c>
      <c r="D64" s="122" t="n">
        <f aca="false">Budget!M30</f>
        <v>64.9769699114199</v>
      </c>
      <c r="E64" s="122" t="n">
        <f aca="false">Loans!W30</f>
        <v>0.36864</v>
      </c>
      <c r="F64" s="122" t="n">
        <f aca="false">('Debt &amp; cash'!H30+'Debt &amp; cash'!Q30)*issue_price</f>
        <v>13.4882614817586</v>
      </c>
      <c r="G64" s="107" t="n">
        <f aca="false">SUM(B64:F64)</f>
        <v>93.7485155935844</v>
      </c>
      <c r="H64" s="122" t="n">
        <f aca="false">Budget!Y30</f>
        <v>69.8596913886619</v>
      </c>
      <c r="I64" s="122" t="n">
        <f aca="false">Loans!V30</f>
        <v>5</v>
      </c>
      <c r="J64" s="122" t="n">
        <f aca="false">'Debt &amp; cash'!C30</f>
        <v>2.64458172706755</v>
      </c>
      <c r="K64" s="122" t="n">
        <f aca="false">'Debt &amp; cash'!K30</f>
        <v>0</v>
      </c>
      <c r="L64" s="122" t="n">
        <f aca="false">'Debt &amp; cash'!I30+'Debt &amp; cash'!J30+'Debt &amp; cash'!Q30*issue_price*dev_bonds</f>
        <v>0</v>
      </c>
      <c r="M64" s="122" t="n">
        <f aca="false">'Debt &amp; cash'!M30</f>
        <v>16.244242477855</v>
      </c>
      <c r="N64" s="122" t="n">
        <f aca="false">'Debt &amp; cash'!S30</f>
        <v>0</v>
      </c>
      <c r="O64" s="107" t="n">
        <f aca="false">SUM(H64:N64)</f>
        <v>93.7485155935844</v>
      </c>
      <c r="P64" s="123" t="n">
        <f aca="false">G64-O64</f>
        <v>0</v>
      </c>
      <c r="Q64" s="122" t="n">
        <f aca="false">'Debt &amp; cash'!Q30</f>
        <v>0</v>
      </c>
      <c r="R64" s="107" t="n">
        <f aca="false">Q64*issue_price</f>
        <v>0</v>
      </c>
      <c r="S64" s="107" t="n">
        <f aca="false">Q64-R64</f>
        <v>0</v>
      </c>
    </row>
    <row r="65" customFormat="false" ht="19.5" hidden="false" customHeight="true" outlineLevel="0" collapsed="false">
      <c r="A65" s="111" t="n">
        <v>1871</v>
      </c>
      <c r="B65" s="122" t="n">
        <f aca="false">'Debt &amp; cash'!M30</f>
        <v>16.244242477855</v>
      </c>
      <c r="C65" s="122" t="n">
        <f aca="false">'Debt &amp; cash'!S30</f>
        <v>0</v>
      </c>
      <c r="D65" s="122" t="n">
        <f aca="false">Budget!M31</f>
        <v>70.0208502918415</v>
      </c>
      <c r="E65" s="122" t="n">
        <f aca="false">Loans!W31</f>
        <v>0.5538944</v>
      </c>
      <c r="F65" s="122" t="n">
        <f aca="false">('Debt &amp; cash'!H31+'Debt &amp; cash'!Q31)*issue_price</f>
        <v>19.7512939981477</v>
      </c>
      <c r="G65" s="107" t="n">
        <f aca="false">SUM(B65:F65)</f>
        <v>106.570281167844</v>
      </c>
      <c r="H65" s="122" t="n">
        <f aca="false">Budget!Y31</f>
        <v>73.6952700181977</v>
      </c>
      <c r="I65" s="122" t="n">
        <f aca="false">Loans!V31</f>
        <v>12.5</v>
      </c>
      <c r="J65" s="122" t="n">
        <f aca="false">'Debt &amp; cash'!C31</f>
        <v>2.86979857668617</v>
      </c>
      <c r="K65" s="122" t="n">
        <f aca="false">'Debt &amp; cash'!K31</f>
        <v>0</v>
      </c>
      <c r="L65" s="122" t="n">
        <f aca="false">'Debt &amp; cash'!I31+'Debt &amp; cash'!J31+'Debt &amp; cash'!Q31*issue_price*dev_bonds</f>
        <v>0</v>
      </c>
      <c r="M65" s="122" t="n">
        <f aca="false">'Debt &amp; cash'!M31</f>
        <v>17.5052125729604</v>
      </c>
      <c r="N65" s="122" t="n">
        <f aca="false">'Debt &amp; cash'!S31</f>
        <v>0</v>
      </c>
      <c r="O65" s="107" t="n">
        <f aca="false">SUM(H65:N65)</f>
        <v>106.570281167844</v>
      </c>
      <c r="P65" s="123" t="n">
        <f aca="false">G65-O65</f>
        <v>0</v>
      </c>
      <c r="Q65" s="122" t="n">
        <f aca="false">'Debt &amp; cash'!Q31</f>
        <v>0</v>
      </c>
      <c r="R65" s="107" t="n">
        <f aca="false">Q65*issue_price</f>
        <v>0</v>
      </c>
      <c r="S65" s="107" t="n">
        <f aca="false">Q65-R65</f>
        <v>0</v>
      </c>
    </row>
    <row r="66" customFormat="false" ht="19.5" hidden="false" customHeight="true" outlineLevel="0" collapsed="false">
      <c r="A66" s="111" t="n">
        <v>1872</v>
      </c>
      <c r="B66" s="122" t="n">
        <f aca="false">'Debt &amp; cash'!M31</f>
        <v>17.5052125729604</v>
      </c>
      <c r="C66" s="122" t="n">
        <f aca="false">'Debt &amp; cash'!S31</f>
        <v>0</v>
      </c>
      <c r="D66" s="122" t="n">
        <f aca="false">Budget!M32</f>
        <v>75.5416837125348</v>
      </c>
      <c r="E66" s="122" t="n">
        <f aca="false">Loans!W32</f>
        <v>1.031738624</v>
      </c>
      <c r="F66" s="122" t="n">
        <f aca="false">('Debt &amp; cash'!H32+'Debt &amp; cash'!Q32)*issue_price</f>
        <v>14.8524845196456</v>
      </c>
      <c r="G66" s="107" t="n">
        <f aca="false">SUM(B66:F66)</f>
        <v>108.931119429141</v>
      </c>
      <c r="H66" s="122" t="n">
        <f aca="false">Budget!Y32</f>
        <v>70.3260527206351</v>
      </c>
      <c r="I66" s="122" t="n">
        <f aca="false">Loans!V32</f>
        <v>16.5</v>
      </c>
      <c r="J66" s="122" t="n">
        <f aca="false">'Debt &amp; cash'!C32</f>
        <v>3.21964578037199</v>
      </c>
      <c r="K66" s="122" t="n">
        <f aca="false">'Debt &amp; cash'!K32</f>
        <v>0</v>
      </c>
      <c r="L66" s="122" t="n">
        <f aca="false">'Debt &amp; cash'!I32+'Debt &amp; cash'!J32+'Debt &amp; cash'!Q32*issue_price*dev_bonds</f>
        <v>0</v>
      </c>
      <c r="M66" s="122" t="n">
        <f aca="false">'Debt &amp; cash'!M32</f>
        <v>18.8854209281337</v>
      </c>
      <c r="N66" s="122" t="n">
        <f aca="false">'Debt &amp; cash'!S32</f>
        <v>0</v>
      </c>
      <c r="O66" s="107" t="n">
        <f aca="false">SUM(H66:N66)</f>
        <v>108.931119429141</v>
      </c>
      <c r="P66" s="123" t="n">
        <f aca="false">G66-O66</f>
        <v>0</v>
      </c>
      <c r="Q66" s="122" t="n">
        <f aca="false">'Debt &amp; cash'!Q32</f>
        <v>0</v>
      </c>
      <c r="R66" s="107" t="n">
        <f aca="false">Q66*issue_price</f>
        <v>0</v>
      </c>
      <c r="S66" s="107" t="n">
        <f aca="false">Q66-R66</f>
        <v>0</v>
      </c>
    </row>
    <row r="67" customFormat="false" ht="19.5" hidden="false" customHeight="true" outlineLevel="0" collapsed="false">
      <c r="A67" s="111" t="n">
        <v>1873</v>
      </c>
      <c r="B67" s="122" t="n">
        <f aca="false">'Debt &amp; cash'!M32</f>
        <v>18.8854209281337</v>
      </c>
      <c r="C67" s="122" t="n">
        <f aca="false">'Debt &amp; cash'!S32</f>
        <v>0</v>
      </c>
      <c r="D67" s="122" t="n">
        <f aca="false">Budget!M33</f>
        <v>75.6458336577531</v>
      </c>
      <c r="E67" s="122" t="n">
        <f aca="false">Loans!W33</f>
        <v>1.65046907904</v>
      </c>
      <c r="F67" s="122" t="n">
        <f aca="false">('Debt &amp; cash'!H33+'Debt &amp; cash'!Q33)*issue_price</f>
        <v>0</v>
      </c>
      <c r="G67" s="107" t="n">
        <f aca="false">SUM(B67:F67)</f>
        <v>96.1817236649268</v>
      </c>
      <c r="H67" s="122" t="n">
        <f aca="false">Budget!Y33</f>
        <v>68.3377492227431</v>
      </c>
      <c r="I67" s="122" t="n">
        <f aca="false">Loans!V33</f>
        <v>0</v>
      </c>
      <c r="J67" s="122" t="n">
        <f aca="false">'Debt &amp; cash'!C33</f>
        <v>3.46148965898405</v>
      </c>
      <c r="K67" s="122" t="n">
        <f aca="false">'Debt &amp; cash'!K33</f>
        <v>4.37682109500913</v>
      </c>
      <c r="L67" s="122" t="n">
        <f aca="false">'Debt &amp; cash'!I33+'Debt &amp; cash'!J33+'Debt &amp; cash'!Q33*issue_price*dev_bonds</f>
        <v>0</v>
      </c>
      <c r="M67" s="122" t="n">
        <f aca="false">'Debt &amp; cash'!M33</f>
        <v>18.9114584144383</v>
      </c>
      <c r="N67" s="122" t="n">
        <f aca="false">'Debt &amp; cash'!S33</f>
        <v>1.09420527375228</v>
      </c>
      <c r="O67" s="107" t="n">
        <f aca="false">SUM(H67:N67)</f>
        <v>96.1817236649268</v>
      </c>
      <c r="P67" s="123" t="n">
        <f aca="false">G67-O67</f>
        <v>0</v>
      </c>
      <c r="Q67" s="122" t="n">
        <f aca="false">'Debt &amp; cash'!Q33</f>
        <v>0</v>
      </c>
      <c r="R67" s="107" t="n">
        <f aca="false">Q67*issue_price</f>
        <v>0</v>
      </c>
      <c r="S67" s="107" t="n">
        <f aca="false">Q67-R67</f>
        <v>0</v>
      </c>
    </row>
    <row r="68" customFormat="false" ht="19.5" hidden="false" customHeight="true" outlineLevel="0" collapsed="false">
      <c r="A68" s="111" t="n">
        <v>1874</v>
      </c>
      <c r="B68" s="122" t="n">
        <f aca="false">'Debt &amp; cash'!M33</f>
        <v>18.9114584144383</v>
      </c>
      <c r="C68" s="122" t="n">
        <f aca="false">'Debt &amp; cash'!S33</f>
        <v>1.09420527375228</v>
      </c>
      <c r="D68" s="122" t="n">
        <f aca="false">Budget!M34</f>
        <v>80.4402515206265</v>
      </c>
      <c r="E68" s="122" t="n">
        <f aca="false">Loans!W34</f>
        <v>1.5844503158784</v>
      </c>
      <c r="F68" s="122" t="n">
        <f aca="false">('Debt &amp; cash'!H34+'Debt &amp; cash'!Q34)*issue_price</f>
        <v>0</v>
      </c>
      <c r="G68" s="107" t="n">
        <f aca="false">SUM(B68:F68)</f>
        <v>102.030365524695</v>
      </c>
      <c r="H68" s="122" t="n">
        <f aca="false">Budget!Y34</f>
        <v>71.5983275471614</v>
      </c>
      <c r="I68" s="122" t="n">
        <f aca="false">Loans!V34</f>
        <v>3</v>
      </c>
      <c r="J68" s="122" t="n">
        <f aca="false">'Debt &amp; cash'!C34</f>
        <v>3.30472344390418</v>
      </c>
      <c r="K68" s="122" t="n">
        <f aca="false">'Debt &amp; cash'!K34</f>
        <v>2.33843710377677</v>
      </c>
      <c r="L68" s="122" t="n">
        <f aca="false">'Debt &amp; cash'!I34+'Debt &amp; cash'!J34+'Debt &amp; cash'!Q34*issue_price*dev_bonds</f>
        <v>0</v>
      </c>
      <c r="M68" s="122" t="n">
        <f aca="false">'Debt &amp; cash'!M34</f>
        <v>20.1100628801566</v>
      </c>
      <c r="N68" s="122" t="n">
        <f aca="false">'Debt &amp; cash'!S34</f>
        <v>1.67881454969648</v>
      </c>
      <c r="O68" s="107" t="n">
        <f aca="false">SUM(H68:N68)</f>
        <v>102.030365524695</v>
      </c>
      <c r="P68" s="123" t="n">
        <f aca="false">G68-O68</f>
        <v>0</v>
      </c>
      <c r="Q68" s="122" t="n">
        <f aca="false">'Debt &amp; cash'!Q34</f>
        <v>0</v>
      </c>
      <c r="R68" s="107" t="n">
        <f aca="false">Q68*issue_price</f>
        <v>0</v>
      </c>
      <c r="S68" s="107" t="n">
        <f aca="false">Q68-R68</f>
        <v>0</v>
      </c>
    </row>
    <row r="69" customFormat="false" ht="19.5" hidden="false" customHeight="true" outlineLevel="0" collapsed="false">
      <c r="A69" s="111" t="n">
        <v>1875</v>
      </c>
      <c r="B69" s="122" t="n">
        <f aca="false">'Debt &amp; cash'!M34</f>
        <v>20.1100628801566</v>
      </c>
      <c r="C69" s="122" t="n">
        <f aca="false">'Debt &amp; cash'!S34</f>
        <v>1.67881454969648</v>
      </c>
      <c r="D69" s="122" t="n">
        <f aca="false">Budget!M35</f>
        <v>87.0152483618396</v>
      </c>
      <c r="E69" s="122" t="n">
        <f aca="false">Loans!W35</f>
        <v>1.61107230324326</v>
      </c>
      <c r="F69" s="122" t="n">
        <f aca="false">('Debt &amp; cash'!H35+'Debt &amp; cash'!Q35)*issue_price</f>
        <v>0</v>
      </c>
      <c r="G69" s="107" t="n">
        <f aca="false">SUM(B69:F69)</f>
        <v>110.415198094936</v>
      </c>
      <c r="H69" s="122" t="n">
        <f aca="false">Budget!Y35</f>
        <v>74.4585065257823</v>
      </c>
      <c r="I69" s="122" t="n">
        <f aca="false">Loans!V35</f>
        <v>3</v>
      </c>
      <c r="J69" s="122" t="n">
        <f aca="false">'Debt &amp; cash'!C35</f>
        <v>3.19186023295056</v>
      </c>
      <c r="K69" s="122" t="n">
        <f aca="false">'Debt &amp; cash'!K35</f>
        <v>5.06576375683741</v>
      </c>
      <c r="L69" s="122" t="n">
        <f aca="false">'Debt &amp; cash'!I35+'Debt &amp; cash'!J35+'Debt &amp; cash'!Q35*issue_price*dev_bonds</f>
        <v>0</v>
      </c>
      <c r="M69" s="122" t="n">
        <f aca="false">'Debt &amp; cash'!M35</f>
        <v>21.7538120904599</v>
      </c>
      <c r="N69" s="122" t="n">
        <f aca="false">'Debt &amp; cash'!S35</f>
        <v>2.94525548890583</v>
      </c>
      <c r="O69" s="107" t="n">
        <f aca="false">SUM(H69:N69)</f>
        <v>110.415198094936</v>
      </c>
      <c r="P69" s="123" t="n">
        <f aca="false">G69-O69</f>
        <v>0</v>
      </c>
      <c r="Q69" s="122" t="n">
        <f aca="false">'Debt &amp; cash'!Q35</f>
        <v>0</v>
      </c>
      <c r="R69" s="107" t="n">
        <f aca="false">Q69*issue_price</f>
        <v>0</v>
      </c>
      <c r="S69" s="107" t="n">
        <f aca="false">Q69-R69</f>
        <v>0</v>
      </c>
    </row>
    <row r="70" customFormat="false" ht="19.5" hidden="false" customHeight="true" outlineLevel="0" collapsed="false">
      <c r="A70" s="111" t="n">
        <v>1876</v>
      </c>
      <c r="B70" s="122" t="n">
        <f aca="false">'Debt &amp; cash'!M35</f>
        <v>21.7538120904599</v>
      </c>
      <c r="C70" s="122" t="n">
        <f aca="false">'Debt &amp; cash'!S35</f>
        <v>2.94525548890583</v>
      </c>
      <c r="D70" s="122" t="n">
        <f aca="false">Budget!M36</f>
        <v>94.6878768864375</v>
      </c>
      <c r="E70" s="122" t="n">
        <f aca="false">Loans!W36</f>
        <v>1.63752941111353</v>
      </c>
      <c r="F70" s="122" t="n">
        <f aca="false">('Debt &amp; cash'!H36+'Debt &amp; cash'!Q36)*issue_price</f>
        <v>0</v>
      </c>
      <c r="G70" s="107" t="n">
        <f aca="false">SUM(B70:F70)</f>
        <v>121.024473876917</v>
      </c>
      <c r="H70" s="122" t="n">
        <f aca="false">Budget!Y36</f>
        <v>80.3148159603546</v>
      </c>
      <c r="I70" s="122" t="n">
        <f aca="false">Loans!V36</f>
        <v>-5.733</v>
      </c>
      <c r="J70" s="122" t="n">
        <f aca="false">'Debt &amp; cash'!C36</f>
        <v>3.02670775315481</v>
      </c>
      <c r="K70" s="122" t="n">
        <f aca="false">'Debt &amp; cash'!K36</f>
        <v>13.4389803623138</v>
      </c>
      <c r="L70" s="122" t="n">
        <f aca="false">'Debt &amp; cash'!I36+'Debt &amp; cash'!J36+'Debt &amp; cash'!Q36*issue_price*dev_bonds</f>
        <v>0</v>
      </c>
      <c r="M70" s="122" t="n">
        <f aca="false">'Debt &amp; cash'!M36</f>
        <v>23.6719692216094</v>
      </c>
      <c r="N70" s="122" t="n">
        <f aca="false">'Debt &amp; cash'!S36</f>
        <v>6.30500057948427</v>
      </c>
      <c r="O70" s="107" t="n">
        <f aca="false">SUM(H70:N70)</f>
        <v>121.024473876917</v>
      </c>
      <c r="P70" s="123" t="n">
        <f aca="false">G70-O70</f>
        <v>0</v>
      </c>
      <c r="Q70" s="122" t="n">
        <f aca="false">'Debt &amp; cash'!Q36</f>
        <v>0</v>
      </c>
      <c r="R70" s="107" t="n">
        <f aca="false">Q70*issue_price</f>
        <v>0</v>
      </c>
      <c r="S70" s="107" t="n">
        <f aca="false">Q70-R70</f>
        <v>0</v>
      </c>
    </row>
    <row r="71" customFormat="false" ht="19.5" hidden="false" customHeight="true" outlineLevel="0" collapsed="false">
      <c r="A71" s="111" t="n">
        <v>1877</v>
      </c>
      <c r="B71" s="122" t="n">
        <f aca="false">'Debt &amp; cash'!M36</f>
        <v>23.6719692216094</v>
      </c>
      <c r="C71" s="122" t="n">
        <f aca="false">'Debt &amp; cash'!S36</f>
        <v>6.30500057948427</v>
      </c>
      <c r="D71" s="122" t="n">
        <f aca="false">Budget!M37</f>
        <v>98.7203012444114</v>
      </c>
      <c r="E71" s="122" t="n">
        <f aca="false">Loans!W37</f>
        <v>1.40181123466899</v>
      </c>
      <c r="F71" s="122" t="n">
        <f aca="false">('Debt &amp; cash'!H37+'Debt &amp; cash'!Q37)*issue_price</f>
        <v>0</v>
      </c>
      <c r="G71" s="107" t="n">
        <f aca="false">SUM(B71:F71)</f>
        <v>130.099082280174</v>
      </c>
      <c r="H71" s="122" t="n">
        <f aca="false">Budget!Y37</f>
        <v>84.0171402743943</v>
      </c>
      <c r="I71" s="122" t="n">
        <f aca="false">Loans!V37</f>
        <v>0</v>
      </c>
      <c r="J71" s="122" t="n">
        <f aca="false">'Debt &amp; cash'!C37</f>
        <v>2.69739399084543</v>
      </c>
      <c r="K71" s="122" t="n">
        <f aca="false">'Debt &amp; cash'!K37</f>
        <v>9.91957769947776</v>
      </c>
      <c r="L71" s="122" t="n">
        <f aca="false">'Debt &amp; cash'!I37+'Debt &amp; cash'!J37+'Debt &amp; cash'!Q37*issue_price*dev_bonds</f>
        <v>0</v>
      </c>
      <c r="M71" s="122" t="n">
        <f aca="false">'Debt &amp; cash'!M37</f>
        <v>24.6800753111028</v>
      </c>
      <c r="N71" s="122" t="n">
        <f aca="false">'Debt &amp; cash'!S37</f>
        <v>8.78489500435371</v>
      </c>
      <c r="O71" s="107" t="n">
        <f aca="false">SUM(H71:N71)</f>
        <v>130.099082280174</v>
      </c>
      <c r="P71" s="123" t="n">
        <f aca="false">G71-O71</f>
        <v>0</v>
      </c>
      <c r="Q71" s="122" t="n">
        <f aca="false">'Debt &amp; cash'!Q37</f>
        <v>0</v>
      </c>
      <c r="R71" s="107" t="n">
        <f aca="false">Q71*issue_price</f>
        <v>0</v>
      </c>
      <c r="S71" s="107" t="n">
        <f aca="false">Q71-R71</f>
        <v>0</v>
      </c>
    </row>
    <row r="72" customFormat="false" ht="19.5" hidden="false" customHeight="true" outlineLevel="0" collapsed="false">
      <c r="A72" s="111" t="n">
        <v>1878</v>
      </c>
      <c r="B72" s="122" t="n">
        <f aca="false">'Debt &amp; cash'!M37</f>
        <v>24.6800753111028</v>
      </c>
      <c r="C72" s="122" t="n">
        <f aca="false">'Debt &amp; cash'!S37</f>
        <v>8.78489500435371</v>
      </c>
      <c r="D72" s="122" t="n">
        <f aca="false">Budget!M38</f>
        <v>107.378259114553</v>
      </c>
      <c r="E72" s="122" t="n">
        <f aca="false">Loans!W38</f>
        <v>1.34573869528223</v>
      </c>
      <c r="F72" s="122" t="n">
        <f aca="false">('Debt &amp; cash'!H38+'Debt &amp; cash'!Q38)*issue_price</f>
        <v>0</v>
      </c>
      <c r="G72" s="107" t="n">
        <f aca="false">SUM(B72:F72)</f>
        <v>142.188968125292</v>
      </c>
      <c r="H72" s="122" t="n">
        <f aca="false">Budget!Y38</f>
        <v>95.2572421988246</v>
      </c>
      <c r="I72" s="122" t="n">
        <f aca="false">Loans!V38</f>
        <v>0</v>
      </c>
      <c r="J72" s="122" t="n">
        <f aca="false">'Debt &amp; cash'!C38</f>
        <v>2.44505455703897</v>
      </c>
      <c r="K72" s="122" t="n">
        <f aca="false">'Debt &amp; cash'!K38</f>
        <v>7.08576926914889</v>
      </c>
      <c r="L72" s="122" t="n">
        <f aca="false">'Debt &amp; cash'!I38+'Debt &amp; cash'!J38+'Debt &amp; cash'!Q38*issue_price*dev_bonds</f>
        <v>0</v>
      </c>
      <c r="M72" s="122" t="n">
        <f aca="false">'Debt &amp; cash'!M38</f>
        <v>26.8445647786382</v>
      </c>
      <c r="N72" s="122" t="n">
        <f aca="false">'Debt &amp; cash'!S38</f>
        <v>10.5563373216409</v>
      </c>
      <c r="O72" s="107" t="n">
        <f aca="false">SUM(H72:N72)</f>
        <v>142.188968125292</v>
      </c>
      <c r="P72" s="123" t="n">
        <f aca="false">G72-O72</f>
        <v>0</v>
      </c>
      <c r="Q72" s="122" t="n">
        <f aca="false">'Debt &amp; cash'!Q38</f>
        <v>0</v>
      </c>
      <c r="R72" s="107" t="n">
        <f aca="false">Q72*issue_price</f>
        <v>0</v>
      </c>
      <c r="S72" s="107" t="n">
        <f aca="false">Q72-R72</f>
        <v>0</v>
      </c>
    </row>
    <row r="73" customFormat="false" ht="19.5" hidden="false" customHeight="true" outlineLevel="0" collapsed="false">
      <c r="A73" s="111" t="n">
        <v>1879</v>
      </c>
      <c r="B73" s="122" t="n">
        <f aca="false">'Debt &amp; cash'!M38</f>
        <v>26.8445647786382</v>
      </c>
      <c r="C73" s="122" t="n">
        <f aca="false">'Debt &amp; cash'!S38</f>
        <v>10.5563373216409</v>
      </c>
      <c r="D73" s="122" t="n">
        <f aca="false">Budget!M39</f>
        <v>112.612361009034</v>
      </c>
      <c r="E73" s="122" t="n">
        <f aca="false">Loans!W39</f>
        <v>1.29190906017094</v>
      </c>
      <c r="F73" s="122" t="n">
        <f aca="false">('Debt &amp; cash'!H39+'Debt &amp; cash'!Q39)*issue_price</f>
        <v>0</v>
      </c>
      <c r="G73" s="107" t="n">
        <f aca="false">SUM(B73:F73)</f>
        <v>151.305172169484</v>
      </c>
      <c r="H73" s="122" t="n">
        <f aca="false">Budget!Y39</f>
        <v>88.8479453839503</v>
      </c>
      <c r="I73" s="122" t="n">
        <f aca="false">Loans!V39</f>
        <v>0</v>
      </c>
      <c r="J73" s="122" t="n">
        <f aca="false">'Debt &amp; cash'!C39</f>
        <v>2.25443808051521</v>
      </c>
      <c r="K73" s="122" t="n">
        <f aca="false">'Debt &amp; cash'!K39</f>
        <v>17.1946889048953</v>
      </c>
      <c r="L73" s="122" t="n">
        <f aca="false">'Debt &amp; cash'!I39+'Debt &amp; cash'!J39+'Debt &amp; cash'!Q39*issue_price*dev_bonds</f>
        <v>0</v>
      </c>
      <c r="M73" s="122" t="n">
        <f aca="false">'Debt &amp; cash'!M39</f>
        <v>28.1530902522585</v>
      </c>
      <c r="N73" s="122" t="n">
        <f aca="false">'Debt &amp; cash'!S39</f>
        <v>14.8550095478648</v>
      </c>
      <c r="O73" s="107" t="n">
        <f aca="false">SUM(H73:N73)</f>
        <v>151.305172169484</v>
      </c>
      <c r="P73" s="123" t="n">
        <f aca="false">G73-O73</f>
        <v>0</v>
      </c>
      <c r="Q73" s="122" t="n">
        <f aca="false">'Debt &amp; cash'!Q39</f>
        <v>0</v>
      </c>
      <c r="R73" s="107" t="n">
        <f aca="false">Q73*issue_price</f>
        <v>0</v>
      </c>
      <c r="S73" s="107" t="n">
        <f aca="false">Q73-R73</f>
        <v>0</v>
      </c>
    </row>
    <row r="74" customFormat="false" ht="19.5" hidden="false" customHeight="true" outlineLevel="0" collapsed="false">
      <c r="A74" s="111" t="n">
        <v>1880</v>
      </c>
      <c r="B74" s="122" t="n">
        <f aca="false">'Debt &amp; cash'!M39</f>
        <v>28.1530902522585</v>
      </c>
      <c r="C74" s="122" t="n">
        <f aca="false">'Debt &amp; cash'!S39</f>
        <v>14.8550095478648</v>
      </c>
      <c r="D74" s="122" t="n">
        <f aca="false">Budget!M40</f>
        <v>119.820860409886</v>
      </c>
      <c r="E74" s="122" t="n">
        <f aca="false">Loans!W40</f>
        <v>1.24023261308311</v>
      </c>
      <c r="F74" s="122" t="n">
        <f aca="false">('Debt &amp; cash'!H40+'Debt &amp; cash'!Q40)*issue_price</f>
        <v>0</v>
      </c>
      <c r="G74" s="107" t="n">
        <f aca="false">SUM(B74:F74)</f>
        <v>164.069192823092</v>
      </c>
      <c r="H74" s="122" t="n">
        <f aca="false">Budget!Y40</f>
        <v>100.499396867093</v>
      </c>
      <c r="I74" s="122" t="n">
        <f aca="false">Loans!V40</f>
        <v>0</v>
      </c>
      <c r="J74" s="122" t="n">
        <f aca="false">'Debt &amp; cash'!C40</f>
        <v>1.865455540807</v>
      </c>
      <c r="K74" s="122" t="n">
        <f aca="false">'Debt &amp; cash'!K40</f>
        <v>4.0545877835655</v>
      </c>
      <c r="L74" s="122" t="n">
        <f aca="false">'Debt &amp; cash'!I40+'Debt &amp; cash'!J40+'Debt &amp; cash'!Q40*issue_price*dev_bonds</f>
        <v>11.8258810353994</v>
      </c>
      <c r="M74" s="122" t="n">
        <f aca="false">'Debt &amp; cash'!M40</f>
        <v>29.9552151024715</v>
      </c>
      <c r="N74" s="122" t="n">
        <f aca="false">'Debt &amp; cash'!S40</f>
        <v>15.8686564937561</v>
      </c>
      <c r="O74" s="107" t="n">
        <f aca="false">SUM(H74:N74)</f>
        <v>164.069192823092</v>
      </c>
      <c r="P74" s="123" t="n">
        <f aca="false">G74-O74</f>
        <v>0</v>
      </c>
      <c r="Q74" s="122" t="n">
        <f aca="false">'Debt &amp; cash'!Q40</f>
        <v>0</v>
      </c>
      <c r="R74" s="107" t="n">
        <f aca="false">Q74*issue_price</f>
        <v>0</v>
      </c>
      <c r="S74" s="107" t="n">
        <f aca="false">Q74-R74</f>
        <v>0</v>
      </c>
    </row>
    <row r="75" customFormat="false" ht="19.5" hidden="false" customHeight="true" outlineLevel="0" collapsed="false">
      <c r="A75" s="111" t="n">
        <v>1881</v>
      </c>
      <c r="B75" s="122" t="n">
        <f aca="false">'Debt &amp; cash'!M40</f>
        <v>29.9552151024715</v>
      </c>
      <c r="C75" s="122" t="n">
        <f aca="false">'Debt &amp; cash'!S40</f>
        <v>15.8686564937561</v>
      </c>
      <c r="D75" s="122" t="n">
        <f aca="false">Budget!M41</f>
        <v>112.242146022294</v>
      </c>
      <c r="E75" s="122" t="n">
        <f aca="false">Loans!W41</f>
        <v>1.19062322641921</v>
      </c>
      <c r="F75" s="122" t="n">
        <f aca="false">('Debt &amp; cash'!H41+'Debt &amp; cash'!Q41)*issue_price</f>
        <v>0</v>
      </c>
      <c r="G75" s="107" t="n">
        <f aca="false">SUM(B75:F75)</f>
        <v>159.256640844941</v>
      </c>
      <c r="H75" s="122" t="n">
        <f aca="false">Budget!Y41</f>
        <v>94.1696516387374</v>
      </c>
      <c r="I75" s="122" t="n">
        <f aca="false">Loans!V41</f>
        <v>0</v>
      </c>
      <c r="J75" s="122" t="n">
        <f aca="false">'Debt &amp; cash'!C41</f>
        <v>1.74705467431955</v>
      </c>
      <c r="K75" s="122" t="n">
        <f aca="false">'Debt &amp; cash'!K41</f>
        <v>4.6585779678131</v>
      </c>
      <c r="L75" s="122" t="n">
        <f aca="false">'Debt &amp; cash'!I41+'Debt &amp; cash'!J41+'Debt &amp; cash'!Q41*issue_price*dev_bonds</f>
        <v>13.5875190727882</v>
      </c>
      <c r="M75" s="122" t="n">
        <f aca="false">'Debt &amp; cash'!M41</f>
        <v>28.0605365055736</v>
      </c>
      <c r="N75" s="122" t="n">
        <f aca="false">'Debt &amp; cash'!S41</f>
        <v>17.0333009857094</v>
      </c>
      <c r="O75" s="107" t="n">
        <f aca="false">SUM(H75:N75)</f>
        <v>159.256640844941</v>
      </c>
      <c r="P75" s="123" t="n">
        <f aca="false">G75-O75</f>
        <v>0</v>
      </c>
      <c r="Q75" s="122" t="n">
        <f aca="false">'Debt &amp; cash'!Q41</f>
        <v>0</v>
      </c>
      <c r="R75" s="107" t="n">
        <f aca="false">Q75*issue_price</f>
        <v>0</v>
      </c>
      <c r="S75" s="107" t="n">
        <f aca="false">Q75-R75</f>
        <v>0</v>
      </c>
    </row>
    <row r="76" customFormat="false" ht="19.5" hidden="false" customHeight="true" outlineLevel="0" collapsed="false">
      <c r="A76" s="111" t="n">
        <v>1882</v>
      </c>
      <c r="B76" s="122" t="n">
        <f aca="false">'Debt &amp; cash'!M41</f>
        <v>28.0605365055736</v>
      </c>
      <c r="C76" s="122" t="n">
        <f aca="false">'Debt &amp; cash'!S41</f>
        <v>17.0333009857094</v>
      </c>
      <c r="D76" s="122" t="n">
        <f aca="false">Budget!M42</f>
        <v>118.60458089959</v>
      </c>
      <c r="E76" s="122" t="n">
        <f aca="false">Loans!W42</f>
        <v>1.14299821768609</v>
      </c>
      <c r="F76" s="122" t="n">
        <f aca="false">('Debt &amp; cash'!H42+'Debt &amp; cash'!Q42)*issue_price</f>
        <v>0</v>
      </c>
      <c r="G76" s="107" t="n">
        <f aca="false">SUM(B76:F76)</f>
        <v>164.841416608559</v>
      </c>
      <c r="H76" s="122" t="n">
        <f aca="false">Budget!Y42</f>
        <v>96.2241920100219</v>
      </c>
      <c r="I76" s="122" t="n">
        <f aca="false">Loans!V42</f>
        <v>0</v>
      </c>
      <c r="J76" s="122" t="n">
        <f aca="false">'Debt &amp; cash'!C42</f>
        <v>1.6189420214769</v>
      </c>
      <c r="K76" s="122" t="n">
        <f aca="false">'Debt &amp; cash'!K42</f>
        <v>4.87532072794873</v>
      </c>
      <c r="L76" s="122" t="n">
        <f aca="false">'Debt &amp; cash'!I42+'Debt &amp; cash'!J42+'Debt &amp; cash'!Q42*issue_price*dev_bonds</f>
        <v>14.2196854565171</v>
      </c>
      <c r="M76" s="122" t="n">
        <f aca="false">'Debt &amp; cash'!M42</f>
        <v>29.6511452248974</v>
      </c>
      <c r="N76" s="122" t="n">
        <f aca="false">'Debt &amp; cash'!S42</f>
        <v>18.2521311676966</v>
      </c>
      <c r="O76" s="107" t="n">
        <f aca="false">SUM(H76:N76)</f>
        <v>164.841416608559</v>
      </c>
      <c r="P76" s="123" t="n">
        <f aca="false">G76-O76</f>
        <v>0</v>
      </c>
      <c r="Q76" s="122" t="n">
        <f aca="false">'Debt &amp; cash'!Q42</f>
        <v>0</v>
      </c>
      <c r="R76" s="107" t="n">
        <f aca="false">Q76*issue_price</f>
        <v>0</v>
      </c>
      <c r="S76" s="107" t="n">
        <f aca="false">Q76-R76</f>
        <v>0</v>
      </c>
    </row>
    <row r="77" customFormat="false" ht="19.5" hidden="false" customHeight="true" outlineLevel="0" collapsed="false">
      <c r="A77" s="111" t="n">
        <v>1883</v>
      </c>
      <c r="B77" s="122" t="n">
        <f aca="false">'Debt &amp; cash'!M42</f>
        <v>29.6511452248974</v>
      </c>
      <c r="C77" s="122" t="n">
        <f aca="false">'Debt &amp; cash'!S42</f>
        <v>18.2521311676966</v>
      </c>
      <c r="D77" s="122" t="n">
        <f aca="false">Budget!M43</f>
        <v>125.05303095796</v>
      </c>
      <c r="E77" s="122" t="n">
        <f aca="false">Loans!W43</f>
        <v>1.09727821169258</v>
      </c>
      <c r="F77" s="122" t="n">
        <f aca="false">('Debt &amp; cash'!H43+'Debt &amp; cash'!Q43)*issue_price</f>
        <v>0</v>
      </c>
      <c r="G77" s="107" t="n">
        <f aca="false">SUM(B77:F77)</f>
        <v>174.053585562247</v>
      </c>
      <c r="H77" s="122" t="n">
        <f aca="false">Budget!Y43</f>
        <v>101.345435298097</v>
      </c>
      <c r="I77" s="122" t="n">
        <f aca="false">Loans!V43</f>
        <v>0</v>
      </c>
      <c r="J77" s="122" t="n">
        <f aca="false">'Debt &amp; cash'!C43</f>
        <v>1.48905676648839</v>
      </c>
      <c r="K77" s="122" t="n">
        <f aca="false">'Debt &amp; cash'!K43</f>
        <v>5.20888910171403</v>
      </c>
      <c r="L77" s="122" t="n">
        <f aca="false">'Debt &amp; cash'!I43+'Debt &amp; cash'!J43+'Debt &amp; cash'!Q43*issue_price*dev_bonds</f>
        <v>15.1925932133326</v>
      </c>
      <c r="M77" s="122" t="n">
        <f aca="false">'Debt &amp; cash'!M43</f>
        <v>31.2632577394901</v>
      </c>
      <c r="N77" s="122" t="n">
        <f aca="false">'Debt &amp; cash'!S43</f>
        <v>19.5543534431251</v>
      </c>
      <c r="O77" s="107" t="n">
        <f aca="false">SUM(H77:N77)</f>
        <v>174.053585562247</v>
      </c>
      <c r="P77" s="123" t="n">
        <f aca="false">G77-O77</f>
        <v>0</v>
      </c>
      <c r="Q77" s="122" t="n">
        <f aca="false">'Debt &amp; cash'!Q43</f>
        <v>0</v>
      </c>
      <c r="R77" s="107" t="n">
        <f aca="false">Q77*issue_price</f>
        <v>0</v>
      </c>
      <c r="S77" s="107" t="n">
        <f aca="false">Q77-R77</f>
        <v>0</v>
      </c>
    </row>
    <row r="78" customFormat="false" ht="19.5" hidden="false" customHeight="true" outlineLevel="0" collapsed="false">
      <c r="A78" s="111" t="n">
        <v>1884</v>
      </c>
      <c r="B78" s="122" t="n">
        <f aca="false">'Debt &amp; cash'!M43</f>
        <v>31.2632577394901</v>
      </c>
      <c r="C78" s="122" t="n">
        <f aca="false">'Debt &amp; cash'!S43</f>
        <v>19.5543534431251</v>
      </c>
      <c r="D78" s="122" t="n">
        <f aca="false">Budget!M44</f>
        <v>129.431631930721</v>
      </c>
      <c r="E78" s="122" t="n">
        <f aca="false">Loans!W44</f>
        <v>1.0533870082574</v>
      </c>
      <c r="F78" s="122" t="n">
        <f aca="false">('Debt &amp; cash'!H44+'Debt &amp; cash'!Q44)*issue_price</f>
        <v>0</v>
      </c>
      <c r="G78" s="107" t="n">
        <f aca="false">SUM(B78:F78)</f>
        <v>181.302630121594</v>
      </c>
      <c r="H78" s="122" t="n">
        <f aca="false">Budget!Y44</f>
        <v>106.072794557548</v>
      </c>
      <c r="I78" s="122" t="n">
        <f aca="false">Loans!V44</f>
        <v>0</v>
      </c>
      <c r="J78" s="122" t="n">
        <f aca="false">'Debt &amp; cash'!C44</f>
        <v>1.35509784912434</v>
      </c>
      <c r="K78" s="122" t="n">
        <f aca="false">'Debt &amp; cash'!K44</f>
        <v>5.27099430938782</v>
      </c>
      <c r="L78" s="122" t="n">
        <f aca="false">'Debt &amp; cash'!I44+'Debt &amp; cash'!J44+'Debt &amp; cash'!Q44*issue_price*dev_bonds</f>
        <v>15.3737334023811</v>
      </c>
      <c r="M78" s="122" t="n">
        <f aca="false">'Debt &amp; cash'!M44</f>
        <v>32.3579079826802</v>
      </c>
      <c r="N78" s="122" t="n">
        <f aca="false">'Debt &amp; cash'!S44</f>
        <v>20.8721020204721</v>
      </c>
      <c r="O78" s="107" t="n">
        <f aca="false">SUM(H78:N78)</f>
        <v>181.302630121594</v>
      </c>
      <c r="P78" s="123" t="n">
        <f aca="false">G78-O78</f>
        <v>0</v>
      </c>
      <c r="Q78" s="122" t="n">
        <f aca="false">'Debt &amp; cash'!Q44</f>
        <v>0</v>
      </c>
      <c r="R78" s="107" t="n">
        <f aca="false">Q78*issue_price</f>
        <v>0</v>
      </c>
      <c r="S78" s="107" t="n">
        <f aca="false">Q78-R78</f>
        <v>0</v>
      </c>
    </row>
    <row r="79" customFormat="false" ht="19.5" hidden="false" customHeight="true" outlineLevel="0" collapsed="false">
      <c r="A79" s="111" t="n">
        <v>1885</v>
      </c>
      <c r="B79" s="122" t="n">
        <f aca="false">'Debt &amp; cash'!M44</f>
        <v>32.3579079826802</v>
      </c>
      <c r="C79" s="122" t="n">
        <f aca="false">'Debt &amp; cash'!S44</f>
        <v>20.8721020204721</v>
      </c>
      <c r="D79" s="122" t="n">
        <f aca="false">Budget!M45</f>
        <v>136.611680167434</v>
      </c>
      <c r="E79" s="122" t="n">
        <f aca="false">Loans!W45</f>
        <v>1.01125145520865</v>
      </c>
      <c r="F79" s="122" t="n">
        <f aca="false">('Debt &amp; cash'!H45+'Debt &amp; cash'!Q45)*issue_price</f>
        <v>0</v>
      </c>
      <c r="G79" s="107" t="n">
        <f aca="false">SUM(B79:F79)</f>
        <v>190.852941625795</v>
      </c>
      <c r="H79" s="122" t="n">
        <f aca="false">Budget!Y45</f>
        <v>111.228380440553</v>
      </c>
      <c r="I79" s="122" t="n">
        <f aca="false">Loans!V45</f>
        <v>0.6</v>
      </c>
      <c r="J79" s="122" t="n">
        <f aca="false">'Debt &amp; cash'!C45</f>
        <v>1.2225760059541</v>
      </c>
      <c r="K79" s="122" t="n">
        <f aca="false">'Debt &amp; cash'!K45</f>
        <v>5.46647114806976</v>
      </c>
      <c r="L79" s="122" t="n">
        <f aca="false">'Debt &amp; cash'!I45+'Debt &amp; cash'!J45+'Debt &amp; cash'!Q45*issue_price*dev_bonds</f>
        <v>15.9438741818701</v>
      </c>
      <c r="M79" s="122" t="n">
        <f aca="false">'Debt &amp; cash'!M45</f>
        <v>34.1529200418585</v>
      </c>
      <c r="N79" s="122" t="n">
        <f aca="false">'Debt &amp; cash'!S45</f>
        <v>22.2387198074895</v>
      </c>
      <c r="O79" s="107" t="n">
        <f aca="false">SUM(H79:N79)</f>
        <v>190.852941625795</v>
      </c>
      <c r="P79" s="123" t="n">
        <f aca="false">G79-O79</f>
        <v>0</v>
      </c>
      <c r="Q79" s="122" t="n">
        <f aca="false">'Debt &amp; cash'!Q45</f>
        <v>0</v>
      </c>
      <c r="R79" s="107" t="n">
        <f aca="false">Q79*issue_price</f>
        <v>0</v>
      </c>
      <c r="S79" s="107" t="n">
        <f aca="false">Q79-R79</f>
        <v>0</v>
      </c>
    </row>
    <row r="80" customFormat="false" ht="19.5" hidden="false" customHeight="true" outlineLevel="0" collapsed="false">
      <c r="A80" s="111" t="n">
        <v>1886</v>
      </c>
      <c r="B80" s="122" t="n">
        <f aca="false">'Debt &amp; cash'!M45</f>
        <v>34.1529200418585</v>
      </c>
      <c r="C80" s="122" t="n">
        <f aca="false">'Debt &amp; cash'!S45</f>
        <v>22.2387198074895</v>
      </c>
      <c r="D80" s="122" t="n">
        <f aca="false">Budget!M46</f>
        <v>148.798554304466</v>
      </c>
      <c r="E80" s="122" t="n">
        <f aca="false">Loans!W46</f>
        <v>0.9948013264634</v>
      </c>
      <c r="F80" s="122" t="n">
        <f aca="false">('Debt &amp; cash'!H46+'Debt &amp; cash'!Q46)*issue_price</f>
        <v>0</v>
      </c>
      <c r="G80" s="107" t="n">
        <f aca="false">SUM(B80:F80)</f>
        <v>206.184995480277</v>
      </c>
      <c r="H80" s="122" t="n">
        <f aca="false">Budget!Y46</f>
        <v>118.410613527789</v>
      </c>
      <c r="I80" s="122" t="n">
        <f aca="false">Loans!V46</f>
        <v>0</v>
      </c>
      <c r="J80" s="122" t="n">
        <f aca="false">'Debt &amp; cash'!C46</f>
        <v>1.08879506287362</v>
      </c>
      <c r="K80" s="122" t="n">
        <f aca="false">'Debt &amp; cash'!K46</f>
        <v>6.53933484144197</v>
      </c>
      <c r="L80" s="122" t="n">
        <f aca="false">'Debt &amp; cash'!I46+'Debt &amp; cash'!J46+'Debt &amp; cash'!Q46*issue_price*dev_bonds</f>
        <v>19.0730599542057</v>
      </c>
      <c r="M80" s="122" t="n">
        <f aca="false">'Debt &amp; cash'!M46</f>
        <v>37.1996385761164</v>
      </c>
      <c r="N80" s="122" t="n">
        <f aca="false">'Debt &amp; cash'!S46</f>
        <v>23.87355351785</v>
      </c>
      <c r="O80" s="107" t="n">
        <f aca="false">SUM(H80:N80)</f>
        <v>206.184995480277</v>
      </c>
      <c r="P80" s="123" t="n">
        <f aca="false">G80-O80</f>
        <v>0</v>
      </c>
      <c r="Q80" s="122" t="n">
        <f aca="false">'Debt &amp; cash'!Q46</f>
        <v>0</v>
      </c>
      <c r="R80" s="107" t="n">
        <f aca="false">Q80*issue_price</f>
        <v>0</v>
      </c>
      <c r="S80" s="107" t="n">
        <f aca="false">Q80-R80</f>
        <v>0</v>
      </c>
    </row>
    <row r="81" customFormat="false" ht="19.5" hidden="false" customHeight="true" outlineLevel="0" collapsed="false">
      <c r="A81" s="111" t="n">
        <v>1887</v>
      </c>
      <c r="B81" s="122" t="n">
        <f aca="false">'Debt &amp; cash'!M46</f>
        <v>37.1996385761164</v>
      </c>
      <c r="C81" s="122" t="n">
        <f aca="false">'Debt &amp; cash'!S46</f>
        <v>23.87355351785</v>
      </c>
      <c r="D81" s="122" t="n">
        <f aca="false">Budget!M47</f>
        <v>158.854566093852</v>
      </c>
      <c r="E81" s="122" t="n">
        <f aca="false">Loans!W47</f>
        <v>0.955009204984069</v>
      </c>
      <c r="F81" s="122" t="n">
        <f aca="false">('Debt &amp; cash'!H47+'Debt &amp; cash'!Q47)*issue_price</f>
        <v>34.6432974851515</v>
      </c>
      <c r="G81" s="107" t="n">
        <f aca="false">SUM(B81:F81)</f>
        <v>255.526064877954</v>
      </c>
      <c r="H81" s="122" t="n">
        <f aca="false">Budget!Y47</f>
        <v>126.055046606195</v>
      </c>
      <c r="I81" s="122" t="n">
        <f aca="false">Loans!V47</f>
        <v>0</v>
      </c>
      <c r="J81" s="122" t="n">
        <f aca="false">'Debt &amp; cash'!C47</f>
        <v>0.936232464787306</v>
      </c>
      <c r="K81" s="122" t="n">
        <f aca="false">'Debt &amp; cash'!K47</f>
        <v>7.27303038732158</v>
      </c>
      <c r="L81" s="122" t="n">
        <f aca="false">'Debt &amp; cash'!I47+'Debt &amp; cash'!J47+'Debt &amp; cash'!Q47*issue_price*dev_bonds</f>
        <v>55.856302781506</v>
      </c>
      <c r="M81" s="122" t="n">
        <f aca="false">'Debt &amp; cash'!M47</f>
        <v>39.7136415234629</v>
      </c>
      <c r="N81" s="122" t="n">
        <f aca="false">'Debt &amp; cash'!S47</f>
        <v>25.6918111146804</v>
      </c>
      <c r="O81" s="107" t="n">
        <f aca="false">SUM(H81:N81)</f>
        <v>255.526064877953</v>
      </c>
      <c r="P81" s="123" t="n">
        <f aca="false">G81-O81</f>
        <v>0</v>
      </c>
      <c r="Q81" s="122" t="n">
        <f aca="false">'Debt &amp; cash'!Q47</f>
        <v>35.7147396754139</v>
      </c>
      <c r="R81" s="107" t="n">
        <f aca="false">Q81*issue_price</f>
        <v>34.6432974851515</v>
      </c>
      <c r="S81" s="107" t="n">
        <f aca="false">Q81-R81</f>
        <v>1.07144219026242</v>
      </c>
    </row>
    <row r="82" customFormat="false" ht="19.5" hidden="false" customHeight="true" outlineLevel="0" collapsed="false">
      <c r="A82" s="111" t="n">
        <v>1888</v>
      </c>
      <c r="B82" s="122" t="n">
        <f aca="false">'Debt &amp; cash'!M47</f>
        <v>39.7136415234629</v>
      </c>
      <c r="C82" s="122" t="n">
        <f aca="false">'Debt &amp; cash'!S47</f>
        <v>25.6918111146804</v>
      </c>
      <c r="D82" s="122" t="n">
        <f aca="false">Budget!M48</f>
        <v>163.85339517219</v>
      </c>
      <c r="E82" s="122" t="n">
        <f aca="false">Loans!W48</f>
        <v>0.916808770416535</v>
      </c>
      <c r="F82" s="122" t="n">
        <f aca="false">('Debt &amp; cash'!H48+'Debt &amp; cash'!Q48)*issue_price</f>
        <v>13.3534129445266</v>
      </c>
      <c r="G82" s="107" t="n">
        <f aca="false">SUM(B82:F82)</f>
        <v>243.529069525277</v>
      </c>
      <c r="H82" s="122" t="n">
        <f aca="false">Budget!Y48</f>
        <v>131.248970610261</v>
      </c>
      <c r="I82" s="122" t="n">
        <f aca="false">Loans!V48</f>
        <v>3</v>
      </c>
      <c r="J82" s="122" t="n">
        <f aca="false">'Debt &amp; cash'!C48</f>
        <v>1.48634200125341</v>
      </c>
      <c r="K82" s="122" t="n">
        <f aca="false">'Debt &amp; cash'!K48</f>
        <v>6.66844417476195</v>
      </c>
      <c r="L82" s="122" t="n">
        <f aca="false">'Debt &amp; cash'!I48+'Debt &amp; cash'!J48+'Debt &amp; cash'!Q48*issue_price*dev_bonds</f>
        <v>32.8030417875823</v>
      </c>
      <c r="M82" s="122" t="n">
        <f aca="false">'Debt &amp; cash'!M48</f>
        <v>40.9633487930475</v>
      </c>
      <c r="N82" s="122" t="n">
        <f aca="false">'Debt &amp; cash'!S48</f>
        <v>27.3589221583709</v>
      </c>
      <c r="O82" s="107" t="n">
        <f aca="false">SUM(H82:N82)</f>
        <v>243.529069525277</v>
      </c>
      <c r="P82" s="123" t="n">
        <f aca="false">G82-O82</f>
        <v>0</v>
      </c>
      <c r="Q82" s="122" t="n">
        <f aca="false">'Debt &amp; cash'!Q48</f>
        <v>13.7664050974501</v>
      </c>
      <c r="R82" s="107" t="n">
        <f aca="false">Q82*issue_price</f>
        <v>13.3534129445266</v>
      </c>
      <c r="S82" s="107" t="n">
        <f aca="false">Q82-R82</f>
        <v>0.412992152923504</v>
      </c>
    </row>
    <row r="83" customFormat="false" ht="19.5" hidden="false" customHeight="true" outlineLevel="0" collapsed="false">
      <c r="A83" s="111" t="n">
        <v>1889</v>
      </c>
      <c r="B83" s="122" t="n">
        <f aca="false">'Debt &amp; cash'!M48</f>
        <v>40.9633487930475</v>
      </c>
      <c r="C83" s="122" t="n">
        <f aca="false">'Debt &amp; cash'!S48</f>
        <v>27.3589221583709</v>
      </c>
      <c r="D83" s="122" t="n">
        <f aca="false">Budget!M49</f>
        <v>174.628967246102</v>
      </c>
      <c r="E83" s="122" t="n">
        <f aca="false">Loans!W49</f>
        <v>1.00013635522275</v>
      </c>
      <c r="F83" s="122" t="n">
        <f aca="false">('Debt &amp; cash'!H49+'Debt &amp; cash'!Q49)*issue_price</f>
        <v>6.81422685654553</v>
      </c>
      <c r="G83" s="107" t="n">
        <f aca="false">SUM(B83:F83)</f>
        <v>250.765601409289</v>
      </c>
      <c r="H83" s="122" t="n">
        <f aca="false">Budget!Y49</f>
        <v>169.054031656814</v>
      </c>
      <c r="I83" s="122" t="n">
        <f aca="false">Loans!V49</f>
        <v>3</v>
      </c>
      <c r="J83" s="122" t="n">
        <f aca="false">'Debt &amp; cash'!C49</f>
        <v>1.5985743796821</v>
      </c>
      <c r="K83" s="122" t="n">
        <f aca="false">'Debt &amp; cash'!K49</f>
        <v>0</v>
      </c>
      <c r="L83" s="122" t="n">
        <f aca="false">'Debt &amp; cash'!I49+'Debt &amp; cash'!J49+'Debt &amp; cash'!Q49*issue_price*dev_bonds</f>
        <v>6.81422685654553</v>
      </c>
      <c r="M83" s="122" t="n">
        <f aca="false">'Debt &amp; cash'!M49</f>
        <v>43.6572418115256</v>
      </c>
      <c r="N83" s="122" t="n">
        <f aca="false">'Debt &amp; cash'!S49</f>
        <v>26.6415267047222</v>
      </c>
      <c r="O83" s="107" t="n">
        <f aca="false">SUM(H83:N83)</f>
        <v>250.765601409289</v>
      </c>
      <c r="P83" s="123" t="n">
        <f aca="false">G83-O83</f>
        <v>0</v>
      </c>
      <c r="Q83" s="122" t="n">
        <f aca="false">'Debt &amp; cash'!Q49</f>
        <v>7.02497614076859</v>
      </c>
      <c r="R83" s="107" t="n">
        <f aca="false">Q83*issue_price</f>
        <v>6.81422685654553</v>
      </c>
      <c r="S83" s="107" t="n">
        <f aca="false">Q83-R83</f>
        <v>0.210749284223057</v>
      </c>
    </row>
    <row r="84" customFormat="false" ht="19.5" hidden="false" customHeight="true" outlineLevel="0" collapsed="false">
      <c r="A84" s="111" t="n">
        <v>1890</v>
      </c>
      <c r="B84" s="122" t="n">
        <f aca="false">'Debt &amp; cash'!M49</f>
        <v>43.6572418115256</v>
      </c>
      <c r="C84" s="122" t="n">
        <f aca="false">'Debt &amp; cash'!S49</f>
        <v>26.6415267047222</v>
      </c>
      <c r="D84" s="122" t="n">
        <f aca="false">Budget!M50</f>
        <v>196.073180217929</v>
      </c>
      <c r="E84" s="122" t="n">
        <f aca="false">Loans!W50</f>
        <v>1.08013083856802</v>
      </c>
      <c r="F84" s="122" t="n">
        <f aca="false">('Debt &amp; cash'!H50+'Debt &amp; cash'!Q50)*issue_price</f>
        <v>13.3151636226049</v>
      </c>
      <c r="G84" s="107" t="n">
        <f aca="false">SUM(B84:F84)</f>
        <v>280.767243195349</v>
      </c>
      <c r="H84" s="122" t="n">
        <f aca="false">Budget!Y50</f>
        <v>169.975608447675</v>
      </c>
      <c r="I84" s="122" t="n">
        <f aca="false">Loans!V50</f>
        <v>1.5</v>
      </c>
      <c r="J84" s="122" t="n">
        <f aca="false">'Debt &amp; cash'!C50</f>
        <v>1.70710241490383</v>
      </c>
      <c r="K84" s="122" t="n">
        <f aca="false">'Debt &amp; cash'!K50</f>
        <v>4.46629126823079</v>
      </c>
      <c r="L84" s="122" t="n">
        <f aca="false">'Debt &amp; cash'!I50+'Debt &amp; cash'!J50+'Debt &amp; cash'!Q50*issue_price*dev_bonds</f>
        <v>26.341846488278</v>
      </c>
      <c r="M84" s="122" t="n">
        <f aca="false">'Debt &amp; cash'!M50</f>
        <v>49.0182950544822</v>
      </c>
      <c r="N84" s="122" t="n">
        <f aca="false">'Debt &amp; cash'!S50</f>
        <v>27.7580995217799</v>
      </c>
      <c r="O84" s="107" t="n">
        <f aca="false">SUM(H84:N84)</f>
        <v>280.767243195349</v>
      </c>
      <c r="P84" s="123" t="n">
        <f aca="false">G84-O84</f>
        <v>0</v>
      </c>
      <c r="Q84" s="122" t="n">
        <f aca="false">'Debt &amp; cash'!Q50</f>
        <v>13.7269728068091</v>
      </c>
      <c r="R84" s="107" t="n">
        <f aca="false">Q84*issue_price</f>
        <v>13.3151636226049</v>
      </c>
      <c r="S84" s="107" t="n">
        <f aca="false">Q84-R84</f>
        <v>0.411809184204275</v>
      </c>
    </row>
    <row r="85" customFormat="false" ht="19.5" hidden="false" customHeight="true" outlineLevel="0" collapsed="false">
      <c r="A85" s="111" t="n">
        <v>1891</v>
      </c>
      <c r="B85" s="122" t="n">
        <f aca="false">'Debt &amp; cash'!M50</f>
        <v>49.0182950544822</v>
      </c>
      <c r="C85" s="122" t="n">
        <f aca="false">'Debt &amp; cash'!S50</f>
        <v>27.7580995217799</v>
      </c>
      <c r="D85" s="122" t="n">
        <f aca="false">Budget!M51</f>
        <v>214.358102313794</v>
      </c>
      <c r="E85" s="122" t="n">
        <f aca="false">Loans!W51</f>
        <v>1.08192554445287</v>
      </c>
      <c r="F85" s="122" t="n">
        <f aca="false">('Debt &amp; cash'!H51+'Debt &amp; cash'!Q51)*issue_price</f>
        <v>14.7796704635519</v>
      </c>
      <c r="G85" s="107" t="n">
        <f aca="false">SUM(B85:F85)</f>
        <v>306.996092898061</v>
      </c>
      <c r="H85" s="122" t="n">
        <f aca="false">Budget!Y51</f>
        <v>180.796768140412</v>
      </c>
      <c r="I85" s="122" t="n">
        <f aca="false">Loans!V51</f>
        <v>1.5</v>
      </c>
      <c r="J85" s="122" t="n">
        <f aca="false">'Debt &amp; cash'!C51</f>
        <v>1.85817399737732</v>
      </c>
      <c r="K85" s="122" t="n">
        <f aca="false">'Debt &amp; cash'!K51</f>
        <v>6.41132524715787</v>
      </c>
      <c r="L85" s="122" t="n">
        <f aca="false">'Debt &amp; cash'!I51+'Debt &amp; cash'!J51+'Debt &amp; cash'!Q51*issue_price*dev_bonds</f>
        <v>33.4793691010957</v>
      </c>
      <c r="M85" s="122" t="n">
        <f aca="false">'Debt &amp; cash'!M51</f>
        <v>53.5895255784484</v>
      </c>
      <c r="N85" s="122" t="n">
        <f aca="false">'Debt &amp; cash'!S51</f>
        <v>29.3609308335694</v>
      </c>
      <c r="O85" s="107" t="n">
        <f aca="false">SUM(H85:N85)</f>
        <v>306.996092898061</v>
      </c>
      <c r="P85" s="123" t="n">
        <f aca="false">G85-O85</f>
        <v>0</v>
      </c>
      <c r="Q85" s="122" t="n">
        <f aca="false">'Debt &amp; cash'!Q51</f>
        <v>15.2367736737649</v>
      </c>
      <c r="R85" s="107" t="n">
        <f aca="false">Q85*issue_price</f>
        <v>14.7796704635519</v>
      </c>
      <c r="S85" s="107" t="n">
        <f aca="false">Q85-R85</f>
        <v>0.457103210212946</v>
      </c>
    </row>
    <row r="86" customFormat="false" ht="19.5" hidden="false" customHeight="true" outlineLevel="0" collapsed="false">
      <c r="A86" s="111" t="n">
        <v>1892</v>
      </c>
      <c r="B86" s="122" t="n">
        <f aca="false">'Debt &amp; cash'!M51</f>
        <v>53.5895255784484</v>
      </c>
      <c r="C86" s="122" t="n">
        <f aca="false">'Debt &amp; cash'!S51</f>
        <v>29.3609308335694</v>
      </c>
      <c r="D86" s="122" t="n">
        <f aca="false">Budget!M52</f>
        <v>231.952807218091</v>
      </c>
      <c r="E86" s="122" t="n">
        <f aca="false">Loans!W52</f>
        <v>1.08409846391949</v>
      </c>
      <c r="F86" s="122" t="n">
        <f aca="false">('Debt &amp; cash'!H52+'Debt &amp; cash'!Q52)*issue_price</f>
        <v>16.9054401537287</v>
      </c>
      <c r="G86" s="107" t="n">
        <f aca="false">SUM(B86:F86)</f>
        <v>332.892802247757</v>
      </c>
      <c r="H86" s="122" t="n">
        <f aca="false">Budget!Y52</f>
        <v>192.416838894366</v>
      </c>
      <c r="I86" s="122" t="n">
        <f aca="false">Loans!V52</f>
        <v>0</v>
      </c>
      <c r="J86" s="122" t="n">
        <f aca="false">'Debt &amp; cash'!C52</f>
        <v>1.99751948596192</v>
      </c>
      <c r="K86" s="122" t="n">
        <f aca="false">'Debt &amp; cash'!K52</f>
        <v>8.21372905814591</v>
      </c>
      <c r="L86" s="122" t="n">
        <f aca="false">'Debt &amp; cash'!I52+'Debt &amp; cash'!J52+'Debt &amp; cash'!Q52*issue_price*dev_bonds</f>
        <v>40.8621499066542</v>
      </c>
      <c r="M86" s="122" t="n">
        <f aca="false">'Debt &amp; cash'!M52</f>
        <v>57.9882018045228</v>
      </c>
      <c r="N86" s="122" t="n">
        <f aca="false">'Debt &amp; cash'!S52</f>
        <v>31.4143630981058</v>
      </c>
      <c r="O86" s="107" t="n">
        <f aca="false">SUM(H86:N86)</f>
        <v>332.892802247757</v>
      </c>
      <c r="P86" s="123" t="n">
        <f aca="false">G86-O86</f>
        <v>0</v>
      </c>
      <c r="Q86" s="122" t="n">
        <f aca="false">'Debt &amp; cash'!Q52</f>
        <v>17.428288818277</v>
      </c>
      <c r="R86" s="107" t="n">
        <f aca="false">Q86*issue_price</f>
        <v>16.9054401537287</v>
      </c>
      <c r="S86" s="107" t="n">
        <f aca="false">Q86-R86</f>
        <v>0.52284866454831</v>
      </c>
    </row>
    <row r="87" customFormat="false" ht="19.5" hidden="false" customHeight="true" outlineLevel="0" collapsed="false">
      <c r="A87" s="111" t="n">
        <v>1893</v>
      </c>
      <c r="B87" s="122" t="n">
        <f aca="false">'Debt &amp; cash'!M52</f>
        <v>57.9882018045228</v>
      </c>
      <c r="C87" s="122" t="n">
        <f aca="false">'Debt &amp; cash'!S52</f>
        <v>31.4143630981058</v>
      </c>
      <c r="D87" s="122" t="n">
        <f aca="false">Budget!M53</f>
        <v>236.625155169598</v>
      </c>
      <c r="E87" s="122" t="n">
        <f aca="false">Loans!W53</f>
        <v>1.0416209683701</v>
      </c>
      <c r="F87" s="122" t="n">
        <f aca="false">('Debt &amp; cash'!H53+'Debt &amp; cash'!Q53)*issue_price</f>
        <v>12.1149398317496</v>
      </c>
      <c r="G87" s="107" t="n">
        <f aca="false">SUM(B87:F87)</f>
        <v>339.184280872346</v>
      </c>
      <c r="H87" s="122" t="n">
        <f aca="false">Budget!Y53</f>
        <v>199.191166402925</v>
      </c>
      <c r="I87" s="122" t="n">
        <f aca="false">Loans!V53</f>
        <v>0</v>
      </c>
      <c r="J87" s="122" t="n">
        <f aca="false">'Debt &amp; cash'!C53</f>
        <v>2.1418602914453</v>
      </c>
      <c r="K87" s="122" t="n">
        <f aca="false">'Debt &amp; cash'!K53</f>
        <v>8.43975898937303</v>
      </c>
      <c r="L87" s="122" t="n">
        <f aca="false">'Debt &amp; cash'!I53+'Debt &amp; cash'!J53+'Debt &amp; cash'!Q53*issue_price*dev_bonds</f>
        <v>36.7309035507542</v>
      </c>
      <c r="M87" s="122" t="n">
        <f aca="false">'Debt &amp; cash'!M53</f>
        <v>59.1562887923994</v>
      </c>
      <c r="N87" s="122" t="n">
        <f aca="false">'Debt &amp; cash'!S53</f>
        <v>33.5243028454491</v>
      </c>
      <c r="O87" s="107" t="n">
        <f aca="false">SUM(H87:N87)</f>
        <v>339.184280872346</v>
      </c>
      <c r="P87" s="123" t="n">
        <f aca="false">G87-O87</f>
        <v>0</v>
      </c>
      <c r="Q87" s="122" t="n">
        <f aca="false">'Debt &amp; cash'!Q53</f>
        <v>12.4896286925253</v>
      </c>
      <c r="R87" s="107" t="n">
        <f aca="false">Q87*issue_price</f>
        <v>12.1149398317496</v>
      </c>
      <c r="S87" s="107" t="n">
        <f aca="false">Q87-R87</f>
        <v>0.374688860775759</v>
      </c>
    </row>
    <row r="88" customFormat="false" ht="19.5" hidden="false" customHeight="true" outlineLevel="0" collapsed="false">
      <c r="A88" s="111" t="n">
        <v>1894</v>
      </c>
      <c r="B88" s="122" t="n">
        <f aca="false">'Debt &amp; cash'!M53</f>
        <v>59.1562887923994</v>
      </c>
      <c r="C88" s="122" t="n">
        <f aca="false">'Debt &amp; cash'!S53</f>
        <v>33.5243028454491</v>
      </c>
      <c r="D88" s="122" t="n">
        <f aca="false">Budget!M54</f>
        <v>249.839505265062</v>
      </c>
      <c r="E88" s="122" t="n">
        <f aca="false">Loans!W54</f>
        <v>1.00081597935247</v>
      </c>
      <c r="F88" s="122" t="n">
        <f aca="false">('Debt &amp; cash'!H54+'Debt &amp; cash'!Q54)*issue_price</f>
        <v>13.5512004637239</v>
      </c>
      <c r="G88" s="107" t="n">
        <f aca="false">SUM(B88:F88)</f>
        <v>357.072113345987</v>
      </c>
      <c r="H88" s="122" t="n">
        <f aca="false">Budget!Y54</f>
        <v>211.673813169689</v>
      </c>
      <c r="I88" s="122" t="n">
        <f aca="false">Loans!V54</f>
        <v>10</v>
      </c>
      <c r="J88" s="122" t="n">
        <f aca="false">'Debt &amp; cash'!C54</f>
        <v>2.18002047967944</v>
      </c>
      <c r="K88" s="122" t="n">
        <f aca="false">'Debt &amp; cash'!K54</f>
        <v>5.68389601708324</v>
      </c>
      <c r="L88" s="122" t="n">
        <f aca="false">'Debt &amp; cash'!I54+'Debt &amp; cash'!J54+'Debt &amp; cash'!Q54*issue_price*dev_bonds</f>
        <v>30.12923051355</v>
      </c>
      <c r="M88" s="122" t="n">
        <f aca="false">'Debt &amp; cash'!M54</f>
        <v>62.4598763162655</v>
      </c>
      <c r="N88" s="122" t="n">
        <f aca="false">'Debt &amp; cash'!S54</f>
        <v>34.9452768497199</v>
      </c>
      <c r="O88" s="107" t="n">
        <f aca="false">SUM(H88:N88)</f>
        <v>357.072113345987</v>
      </c>
      <c r="P88" s="123" t="n">
        <f aca="false">G88-O88</f>
        <v>0</v>
      </c>
      <c r="Q88" s="122" t="n">
        <f aca="false">'Debt &amp; cash'!Q54</f>
        <v>13.9703097564164</v>
      </c>
      <c r="R88" s="107" t="n">
        <f aca="false">Q88*issue_price</f>
        <v>13.5512004637239</v>
      </c>
      <c r="S88" s="107" t="n">
        <f aca="false">Q88-R88</f>
        <v>0.419109292692491</v>
      </c>
    </row>
    <row r="89" customFormat="false" ht="19.5" hidden="false" customHeight="true" outlineLevel="0" collapsed="false">
      <c r="A89" s="111" t="n">
        <v>1895</v>
      </c>
      <c r="B89" s="122" t="n">
        <f aca="false">'Debt &amp; cash'!M54</f>
        <v>62.4598763162655</v>
      </c>
      <c r="C89" s="122" t="n">
        <f aca="false">'Debt &amp; cash'!S54</f>
        <v>34.9452768497199</v>
      </c>
      <c r="D89" s="122" t="n">
        <f aca="false">Budget!M55</f>
        <v>275.420422104847</v>
      </c>
      <c r="E89" s="122" t="n">
        <f aca="false">Loans!W55</f>
        <v>1.36161739440402</v>
      </c>
      <c r="F89" s="122" t="n">
        <f aca="false">('Debt &amp; cash'!H55+'Debt &amp; cash'!Q55)*issue_price</f>
        <v>13.082695036576</v>
      </c>
      <c r="G89" s="107" t="n">
        <f aca="false">SUM(B89:F89)</f>
        <v>387.269887701813</v>
      </c>
      <c r="H89" s="122" t="n">
        <f aca="false">Budget!Y55</f>
        <v>227.730855317056</v>
      </c>
      <c r="I89" s="122" t="n">
        <f aca="false">Loans!V55</f>
        <v>80</v>
      </c>
      <c r="J89" s="122" t="n">
        <f aca="false">'Debt &amp; cash'!C55</f>
        <v>2.30214834487251</v>
      </c>
      <c r="K89" s="122" t="n">
        <f aca="false">'Debt &amp; cash'!K55</f>
        <v>0</v>
      </c>
      <c r="L89" s="122" t="n">
        <f aca="false">'Debt &amp; cash'!I55+'Debt &amp; cash'!J55+'Debt &amp; cash'!Q55*issue_price*dev_bonds</f>
        <v>8.38177851367193</v>
      </c>
      <c r="M89" s="122" t="n">
        <f aca="false">'Debt &amp; cash'!M55</f>
        <v>68.8551055262118</v>
      </c>
      <c r="N89" s="122" t="n">
        <f aca="false">'Debt &amp; cash'!S55</f>
        <v>0</v>
      </c>
      <c r="O89" s="107" t="n">
        <f aca="false">SUM(H89:N89)</f>
        <v>387.269887701813</v>
      </c>
      <c r="P89" s="123" t="n">
        <f aca="false">G89-O89</f>
        <v>0</v>
      </c>
      <c r="Q89" s="122" t="n">
        <f aca="false">'Debt &amp; cash'!Q55</f>
        <v>8.64100877698137</v>
      </c>
      <c r="R89" s="107" t="n">
        <f aca="false">Q89*issue_price</f>
        <v>8.38177851367193</v>
      </c>
      <c r="S89" s="107" t="n">
        <f aca="false">Q89-R89</f>
        <v>0.259230263309441</v>
      </c>
    </row>
    <row r="90" customFormat="false" ht="19.5" hidden="false" customHeight="true" outlineLevel="0" collapsed="false">
      <c r="A90" s="111" t="n">
        <v>1896</v>
      </c>
      <c r="B90" s="122" t="n">
        <f aca="false">'Debt &amp; cash'!M55</f>
        <v>68.8551055262118</v>
      </c>
      <c r="C90" s="122" t="n">
        <f aca="false">'Debt &amp; cash'!S55</f>
        <v>0</v>
      </c>
      <c r="D90" s="122" t="n">
        <f aca="false">Budget!M56</f>
        <v>273.316900150332</v>
      </c>
      <c r="E90" s="122" t="n">
        <f aca="false">Loans!W56</f>
        <v>4.50796173122675</v>
      </c>
      <c r="F90" s="122" t="n">
        <f aca="false">('Debt &amp; cash'!H56+'Debt &amp; cash'!Q56)*issue_price</f>
        <v>18.3650652328766</v>
      </c>
      <c r="G90" s="107" t="n">
        <f aca="false">SUM(B90:F90)</f>
        <v>365.045032640647</v>
      </c>
      <c r="H90" s="122" t="n">
        <f aca="false">Budget!Y56</f>
        <v>241.813228160115</v>
      </c>
      <c r="I90" s="122" t="n">
        <f aca="false">Loans!V56</f>
        <v>3</v>
      </c>
      <c r="J90" s="122" t="n">
        <f aca="false">'Debt &amp; cash'!C56</f>
        <v>2.525851667389</v>
      </c>
      <c r="K90" s="122" t="n">
        <f aca="false">'Debt &amp; cash'!K56</f>
        <v>7.44279901024391</v>
      </c>
      <c r="L90" s="122" t="n">
        <f aca="false">'Debt &amp; cash'!I56+'Debt &amp; cash'!J56+'Debt &amp; cash'!Q56*issue_price*dev_bonds</f>
        <v>40.0732290127546</v>
      </c>
      <c r="M90" s="122" t="n">
        <f aca="false">'Debt &amp; cash'!M56</f>
        <v>68.3292250375829</v>
      </c>
      <c r="N90" s="122" t="n">
        <f aca="false">'Debt &amp; cash'!S56</f>
        <v>1.86069975256098</v>
      </c>
      <c r="O90" s="107" t="n">
        <f aca="false">SUM(H90:N90)</f>
        <v>365.045032640647</v>
      </c>
      <c r="P90" s="123" t="n">
        <f aca="false">G90-O90</f>
        <v>0</v>
      </c>
      <c r="Q90" s="122" t="n">
        <f aca="false">'Debt &amp; cash'!Q56</f>
        <v>18.9330569411099</v>
      </c>
      <c r="R90" s="107" t="n">
        <f aca="false">Q90*issue_price</f>
        <v>18.3650652328766</v>
      </c>
      <c r="S90" s="107" t="n">
        <f aca="false">Q90-R90</f>
        <v>0.567991708233297</v>
      </c>
    </row>
    <row r="91" customFormat="false" ht="19.5" hidden="false" customHeight="true" outlineLevel="0" collapsed="false">
      <c r="A91" s="111" t="n">
        <v>1897</v>
      </c>
      <c r="B91" s="122" t="n">
        <f aca="false">'Debt &amp; cash'!M56</f>
        <v>68.3292250375829</v>
      </c>
      <c r="C91" s="122" t="n">
        <f aca="false">'Debt &amp; cash'!S56</f>
        <v>1.86069975256098</v>
      </c>
      <c r="D91" s="122" t="n">
        <f aca="false">Budget!M57</f>
        <v>308.216589644872</v>
      </c>
      <c r="E91" s="122" t="n">
        <f aca="false">Loans!W57</f>
        <v>4.4484280235986</v>
      </c>
      <c r="F91" s="122" t="n">
        <f aca="false">('Debt &amp; cash'!H57+'Debt &amp; cash'!Q57)*issue_price</f>
        <v>22.1985596714001</v>
      </c>
      <c r="G91" s="107" t="n">
        <f aca="false">SUM(B91:F91)</f>
        <v>405.053502130015</v>
      </c>
      <c r="H91" s="122" t="n">
        <f aca="false">Budget!Y57</f>
        <v>266.273022807189</v>
      </c>
      <c r="I91" s="122" t="n">
        <f aca="false">Loans!V57</f>
        <v>23</v>
      </c>
      <c r="J91" s="122" t="n">
        <f aca="false">'Debt &amp; cash'!C57</f>
        <v>2.70513979265854</v>
      </c>
      <c r="K91" s="122" t="n">
        <f aca="false">'Debt &amp; cash'!K57</f>
        <v>2.87086384679702</v>
      </c>
      <c r="L91" s="122" t="n">
        <f aca="false">'Debt &amp; cash'!I57+'Debt &amp; cash'!J57+'Debt &amp; cash'!Q57*issue_price*dev_bonds</f>
        <v>30.5719125578914</v>
      </c>
      <c r="M91" s="122" t="n">
        <f aca="false">'Debt &amp; cash'!M57</f>
        <v>77.054147411218</v>
      </c>
      <c r="N91" s="122" t="n">
        <f aca="false">'Debt &amp; cash'!S57</f>
        <v>2.57841571426023</v>
      </c>
      <c r="O91" s="107" t="n">
        <f aca="false">SUM(H91:N91)</f>
        <v>405.053502130015</v>
      </c>
      <c r="P91" s="123" t="n">
        <f aca="false">G91-O91</f>
        <v>0</v>
      </c>
      <c r="Q91" s="122" t="n">
        <f aca="false">'Debt &amp; cash'!Q57</f>
        <v>22.885113063299</v>
      </c>
      <c r="R91" s="107" t="n">
        <f aca="false">Q91*issue_price</f>
        <v>22.1985596714001</v>
      </c>
      <c r="S91" s="107" t="n">
        <f aca="false">Q91-R91</f>
        <v>0.686553391898972</v>
      </c>
    </row>
    <row r="92" customFormat="false" ht="19.5" hidden="false" customHeight="true" outlineLevel="0" collapsed="false">
      <c r="A92" s="111" t="n">
        <v>1898</v>
      </c>
      <c r="B92" s="122" t="n">
        <f aca="false">'Debt &amp; cash'!M57</f>
        <v>77.054147411218</v>
      </c>
      <c r="C92" s="122" t="n">
        <f aca="false">'Debt &amp; cash'!S57</f>
        <v>2.57841571426023</v>
      </c>
      <c r="D92" s="122" t="n">
        <f aca="false">Budget!M58</f>
        <v>340.034673564004</v>
      </c>
      <c r="E92" s="122" t="n">
        <f aca="false">Loans!W58</f>
        <v>5.19125212142695</v>
      </c>
      <c r="F92" s="122" t="n">
        <f aca="false">('Debt &amp; cash'!H58+'Debt &amp; cash'!Q58)*issue_price</f>
        <v>19.6953549343469</v>
      </c>
      <c r="G92" s="107" t="n">
        <f aca="false">SUM(B92:F92)</f>
        <v>444.553843745256</v>
      </c>
      <c r="H92" s="122" t="n">
        <f aca="false">Budget!Y58</f>
        <v>302.433226430113</v>
      </c>
      <c r="I92" s="122" t="n">
        <f aca="false">Loans!V58</f>
        <v>24</v>
      </c>
      <c r="J92" s="122" t="n">
        <f aca="false">'Debt &amp; cash'!C58</f>
        <v>3.05132198113541</v>
      </c>
      <c r="K92" s="122" t="n">
        <f aca="false">'Debt &amp; cash'!K58</f>
        <v>1.86884551065583</v>
      </c>
      <c r="L92" s="122" t="n">
        <f aca="false">'Debt &amp; cash'!I58+'Debt &amp; cash'!J58+'Debt &amp; cash'!Q58*issue_price*dev_bonds</f>
        <v>25.1461543404264</v>
      </c>
      <c r="M92" s="122" t="n">
        <f aca="false">'Debt &amp; cash'!M58</f>
        <v>85.008668391001</v>
      </c>
      <c r="N92" s="122" t="n">
        <f aca="false">'Debt &amp; cash'!S58</f>
        <v>3.04562709192419</v>
      </c>
      <c r="O92" s="107" t="n">
        <f aca="false">SUM(H92:N92)</f>
        <v>444.553843745256</v>
      </c>
      <c r="P92" s="123" t="n">
        <f aca="false">G92-O92</f>
        <v>0</v>
      </c>
      <c r="Q92" s="122" t="n">
        <f aca="false">'Debt &amp; cash'!Q58</f>
        <v>20.304489623038</v>
      </c>
      <c r="R92" s="107" t="n">
        <f aca="false">Q92*issue_price</f>
        <v>19.6953549343469</v>
      </c>
      <c r="S92" s="107" t="n">
        <f aca="false">Q92-R92</f>
        <v>0.609134688691142</v>
      </c>
    </row>
    <row r="93" customFormat="false" ht="19.5" hidden="false" customHeight="true" outlineLevel="0" collapsed="false">
      <c r="A93" s="111" t="n">
        <v>1899</v>
      </c>
      <c r="B93" s="122" t="n">
        <f aca="false">'Debt &amp; cash'!M58</f>
        <v>85.008668391001</v>
      </c>
      <c r="C93" s="122" t="n">
        <f aca="false">'Debt &amp; cash'!S58</f>
        <v>3.04562709192419</v>
      </c>
      <c r="D93" s="122" t="n">
        <f aca="false">Budget!M59</f>
        <v>373.537176539858</v>
      </c>
      <c r="E93" s="122" t="n">
        <f aca="false">Loans!W59</f>
        <v>5.94434041877899</v>
      </c>
      <c r="F93" s="122" t="n">
        <f aca="false">('Debt &amp; cash'!H59+'Debt &amp; cash'!Q59)*issue_price</f>
        <v>22.2468752522649</v>
      </c>
      <c r="G93" s="107" t="n">
        <f aca="false">SUM(B93:F93)</f>
        <v>489.782687693827</v>
      </c>
      <c r="H93" s="122" t="n">
        <f aca="false">Budget!Y59</f>
        <v>330.740890935685</v>
      </c>
      <c r="I93" s="122" t="n">
        <f aca="false">Loans!V59</f>
        <v>24</v>
      </c>
      <c r="J93" s="122" t="n">
        <f aca="false">'Debt &amp; cash'!C59</f>
        <v>3.35900842376035</v>
      </c>
      <c r="K93" s="122" t="n">
        <f aca="false">'Debt &amp; cash'!K59</f>
        <v>3.12143804525482</v>
      </c>
      <c r="L93" s="122" t="n">
        <f aca="false">'Debt &amp; cash'!I59+'Debt &amp; cash'!J59+'Debt &amp; cash'!Q59*issue_price*dev_bonds</f>
        <v>31.3510695509248</v>
      </c>
      <c r="M93" s="122" t="n">
        <f aca="false">'Debt &amp; cash'!M59</f>
        <v>93.3842941349645</v>
      </c>
      <c r="N93" s="122" t="n">
        <f aca="false">'Debt &amp; cash'!S59</f>
        <v>3.82598660323789</v>
      </c>
      <c r="O93" s="107" t="n">
        <f aca="false">SUM(H93:N93)</f>
        <v>489.782687693827</v>
      </c>
      <c r="P93" s="123" t="n">
        <f aca="false">G93-O93</f>
        <v>0</v>
      </c>
      <c r="Q93" s="122" t="n">
        <f aca="false">'Debt &amp; cash'!Q59</f>
        <v>22.9349229404793</v>
      </c>
      <c r="R93" s="107" t="n">
        <f aca="false">Q93*issue_price</f>
        <v>22.2468752522649</v>
      </c>
      <c r="S93" s="107" t="n">
        <f aca="false">Q93-R93</f>
        <v>0.688047688214379</v>
      </c>
    </row>
    <row r="94" customFormat="false" ht="19.5" hidden="false" customHeight="true" outlineLevel="0" collapsed="false">
      <c r="A94" s="111" t="n">
        <v>1900</v>
      </c>
      <c r="B94" s="122" t="n">
        <f aca="false">'Debt &amp; cash'!M59</f>
        <v>93.3842941349645</v>
      </c>
      <c r="C94" s="122" t="n">
        <f aca="false">'Debt &amp; cash'!S59</f>
        <v>3.82598660323789</v>
      </c>
      <c r="D94" s="122" t="n">
        <f aca="false">Budget!M60</f>
        <v>410.65438412048</v>
      </c>
      <c r="E94" s="122" t="n">
        <f aca="false">Loans!W60</f>
        <v>6.66728303277068</v>
      </c>
      <c r="F94" s="122" t="n">
        <f aca="false">('Debt &amp; cash'!H60+'Debt &amp; cash'!Q60)*issue_price</f>
        <v>31.3484141321061</v>
      </c>
      <c r="G94" s="107" t="n">
        <f aca="false">SUM(B94:F94)</f>
        <v>545.880362023559</v>
      </c>
      <c r="H94" s="122" t="n">
        <f aca="false">Budget!Y60</f>
        <v>361.577028439955</v>
      </c>
      <c r="I94" s="122" t="n">
        <f aca="false">Loans!V60</f>
        <v>0</v>
      </c>
      <c r="J94" s="122" t="n">
        <f aca="false">'Debt &amp; cash'!C60</f>
        <v>3.68809795318963</v>
      </c>
      <c r="K94" s="122" t="n">
        <f aca="false">'Debt &amp; cash'!K60</f>
        <v>10.2665373275882</v>
      </c>
      <c r="L94" s="122" t="n">
        <f aca="false">'Debt &amp; cash'!I60+'Debt &amp; cash'!J60+'Debt &amp; cash'!Q60*issue_price*dev_bonds</f>
        <v>61.2924813375717</v>
      </c>
      <c r="M94" s="122" t="n">
        <f aca="false">'Debt &amp; cash'!M60</f>
        <v>102.66359603012</v>
      </c>
      <c r="N94" s="122" t="n">
        <f aca="false">'Debt &amp; cash'!S60</f>
        <v>6.39262093513495</v>
      </c>
      <c r="O94" s="107" t="n">
        <f aca="false">SUM(H94:N94)</f>
        <v>545.880362023559</v>
      </c>
      <c r="P94" s="123" t="n">
        <f aca="false">G94-O94</f>
        <v>0</v>
      </c>
      <c r="Q94" s="122" t="n">
        <f aca="false">'Debt &amp; cash'!Q60</f>
        <v>32.3179527135114</v>
      </c>
      <c r="R94" s="107" t="n">
        <f aca="false">Q94*issue_price</f>
        <v>31.3484141321061</v>
      </c>
      <c r="S94" s="107" t="n">
        <f aca="false">Q94-R94</f>
        <v>0.969538581405345</v>
      </c>
    </row>
    <row r="95" customFormat="false" ht="19.5" hidden="false" customHeight="true" outlineLevel="0" collapsed="false">
      <c r="A95" s="111" t="n">
        <v>1901</v>
      </c>
      <c r="B95" s="122" t="n">
        <f aca="false">'Debt &amp; cash'!M60</f>
        <v>102.66359603012</v>
      </c>
      <c r="C95" s="122" t="n">
        <f aca="false">'Debt &amp; cash'!S60</f>
        <v>6.39262093513495</v>
      </c>
      <c r="D95" s="122" t="n">
        <f aca="false">Budget!M61</f>
        <v>455.791104196284</v>
      </c>
      <c r="E95" s="122" t="n">
        <f aca="false">Loans!W61</f>
        <v>6.40128645528042</v>
      </c>
      <c r="F95" s="122" t="n">
        <f aca="false">('Debt &amp; cash'!H61+'Debt &amp; cash'!Q61)*issue_price</f>
        <v>39.295433496227</v>
      </c>
      <c r="G95" s="107" t="n">
        <f aca="false">SUM(B95:F95)</f>
        <v>610.544041113047</v>
      </c>
      <c r="H95" s="122" t="n">
        <f aca="false">Budget!Y61</f>
        <v>374.065195992336</v>
      </c>
      <c r="I95" s="122" t="n">
        <f aca="false">Loans!V61</f>
        <v>0</v>
      </c>
      <c r="J95" s="122" t="n">
        <f aca="false">'Debt &amp; cash'!C61</f>
        <v>4.0553643018443</v>
      </c>
      <c r="K95" s="122" t="n">
        <f aca="false">'Debt &amp; cash'!K61</f>
        <v>17.4690360812241</v>
      </c>
      <c r="L95" s="122" t="n">
        <f aca="false">'Debt &amp; cash'!I61+'Debt &amp; cash'!J61+'Debt &amp; cash'!Q61*issue_price*dev_bonds</f>
        <v>90.2467887331305</v>
      </c>
      <c r="M95" s="122" t="n">
        <f aca="false">'Debt &amp; cash'!M61</f>
        <v>113.947776049071</v>
      </c>
      <c r="N95" s="122" t="n">
        <f aca="false">'Debt &amp; cash'!S61</f>
        <v>10.759879955441</v>
      </c>
      <c r="O95" s="107" t="n">
        <f aca="false">SUM(H95:N95)</f>
        <v>610.544041113047</v>
      </c>
      <c r="P95" s="123" t="n">
        <f aca="false">G95-O95</f>
        <v>0</v>
      </c>
      <c r="Q95" s="122" t="n">
        <f aca="false">'Debt &amp; cash'!Q61</f>
        <v>40.5107561816773</v>
      </c>
      <c r="R95" s="107" t="n">
        <f aca="false">Q95*issue_price</f>
        <v>39.295433496227</v>
      </c>
      <c r="S95" s="107" t="n">
        <f aca="false">Q95-R95</f>
        <v>1.21532268545032</v>
      </c>
    </row>
    <row r="96" customFormat="false" ht="19.5" hidden="false" customHeight="true" outlineLevel="0" collapsed="false">
      <c r="A96" s="111" t="n">
        <v>1902</v>
      </c>
      <c r="B96" s="122" t="n">
        <f aca="false">'Debt &amp; cash'!M61</f>
        <v>113.947776049071</v>
      </c>
      <c r="C96" s="122" t="n">
        <f aca="false">'Debt &amp; cash'!S61</f>
        <v>10.759879955441</v>
      </c>
      <c r="D96" s="122" t="n">
        <f aca="false">Budget!M62</f>
        <v>499.213930454612</v>
      </c>
      <c r="E96" s="122" t="n">
        <f aca="false">Loans!W62</f>
        <v>6.14590889857515</v>
      </c>
      <c r="F96" s="122" t="n">
        <f aca="false">('Debt &amp; cash'!H62+'Debt &amp; cash'!Q62)*issue_price</f>
        <v>48.60917017581</v>
      </c>
      <c r="G96" s="107" t="n">
        <f aca="false">SUM(B96:F96)</f>
        <v>678.67666553351</v>
      </c>
      <c r="H96" s="122" t="n">
        <f aca="false">Budget!Y62</f>
        <v>387.643313951438</v>
      </c>
      <c r="I96" s="122" t="n">
        <f aca="false">Loans!V62</f>
        <v>0</v>
      </c>
      <c r="J96" s="122" t="n">
        <f aca="false">'Debt &amp; cash'!C62</f>
        <v>4.43509141781648</v>
      </c>
      <c r="K96" s="122" t="n">
        <f aca="false">'Debt &amp; cash'!K62</f>
        <v>24.5821745806443</v>
      </c>
      <c r="L96" s="122" t="n">
        <f aca="false">'Debt &amp; cash'!I62+'Debt &amp; cash'!J62+'Debt &amp; cash'!Q62*issue_price*dev_bonds</f>
        <v>120.307179369356</v>
      </c>
      <c r="M96" s="122" t="n">
        <f aca="false">'Debt &amp; cash'!M62</f>
        <v>124.803482613653</v>
      </c>
      <c r="N96" s="122" t="n">
        <f aca="false">'Debt &amp; cash'!S62</f>
        <v>16.905423600602</v>
      </c>
      <c r="O96" s="107" t="n">
        <f aca="false">SUM(H96:N96)</f>
        <v>678.67666553351</v>
      </c>
      <c r="P96" s="123" t="n">
        <f aca="false">G96-O96</f>
        <v>0</v>
      </c>
      <c r="Q96" s="122" t="n">
        <f aca="false">'Debt &amp; cash'!Q62</f>
        <v>50.112546573</v>
      </c>
      <c r="R96" s="107" t="n">
        <f aca="false">Q96*issue_price</f>
        <v>48.60917017581</v>
      </c>
      <c r="S96" s="107" t="n">
        <f aca="false">Q96-R96</f>
        <v>1.50337639719</v>
      </c>
    </row>
    <row r="97" customFormat="false" ht="19.5" hidden="false" customHeight="true" outlineLevel="0" collapsed="false">
      <c r="A97" s="111" t="n">
        <v>1903</v>
      </c>
      <c r="B97" s="122" t="n">
        <f aca="false">'Debt &amp; cash'!M62</f>
        <v>124.803482613653</v>
      </c>
      <c r="C97" s="122" t="n">
        <f aca="false">'Debt &amp; cash'!S62</f>
        <v>16.905423600602</v>
      </c>
      <c r="D97" s="122" t="n">
        <f aca="false">Budget!M63</f>
        <v>547.22439309112</v>
      </c>
      <c r="E97" s="122" t="n">
        <f aca="false">Loans!W63</f>
        <v>5.90072622709291</v>
      </c>
      <c r="F97" s="122" t="n">
        <f aca="false">('Debt &amp; cash'!H63+'Debt &amp; cash'!Q63)*issue_price</f>
        <v>54.1395334364811</v>
      </c>
      <c r="G97" s="107" t="n">
        <f aca="false">SUM(B97:F97)</f>
        <v>748.973558968949</v>
      </c>
      <c r="H97" s="122" t="n">
        <f aca="false">Budget!Y63</f>
        <v>421.328172483667</v>
      </c>
      <c r="I97" s="122" t="n">
        <f aca="false">Loans!V63</f>
        <v>0</v>
      </c>
      <c r="J97" s="122" t="n">
        <f aca="false">'Debt &amp; cash'!C63</f>
        <v>4.85699702930726</v>
      </c>
      <c r="K97" s="122" t="n">
        <f aca="false">'Debt &amp; cash'!K63</f>
        <v>27.5849601950669</v>
      </c>
      <c r="L97" s="122" t="n">
        <f aca="false">'Debt &amp; cash'!I63+'Debt &amp; cash'!J63+'Debt &amp; cash'!Q63*issue_price*dev_bonds</f>
        <v>134.59566733876</v>
      </c>
      <c r="M97" s="122" t="n">
        <f aca="false">'Debt &amp; cash'!M63</f>
        <v>136.80609827278</v>
      </c>
      <c r="N97" s="122" t="n">
        <f aca="false">'Debt &amp; cash'!S63</f>
        <v>23.8016636493688</v>
      </c>
      <c r="O97" s="107" t="n">
        <f aca="false">SUM(H97:N97)</f>
        <v>748.973558968949</v>
      </c>
      <c r="P97" s="123" t="n">
        <f aca="false">G97-O97</f>
        <v>0</v>
      </c>
      <c r="Q97" s="122" t="n">
        <f aca="false">'Debt &amp; cash'!Q63</f>
        <v>55.8139519963723</v>
      </c>
      <c r="R97" s="107" t="n">
        <f aca="false">Q97*issue_price</f>
        <v>54.1395334364811</v>
      </c>
      <c r="S97" s="107" t="n">
        <f aca="false">Q97-R97</f>
        <v>1.67441855989117</v>
      </c>
    </row>
    <row r="98" customFormat="false" ht="19.5" hidden="false" customHeight="true" outlineLevel="0" collapsed="false">
      <c r="A98" s="111" t="n">
        <v>1904</v>
      </c>
      <c r="B98" s="122" t="n">
        <f aca="false">'Debt &amp; cash'!M63</f>
        <v>136.80609827278</v>
      </c>
      <c r="C98" s="122" t="n">
        <f aca="false">'Debt &amp; cash'!S63</f>
        <v>23.8016636493688</v>
      </c>
      <c r="D98" s="122" t="n">
        <f aca="false">Budget!M64</f>
        <v>598.872481400075</v>
      </c>
      <c r="E98" s="122" t="n">
        <f aca="false">Loans!W64</f>
        <v>5.66533125193614</v>
      </c>
      <c r="F98" s="122" t="n">
        <f aca="false">('Debt &amp; cash'!H64+'Debt &amp; cash'!Q64)*issue_price</f>
        <v>51.77556371913</v>
      </c>
      <c r="G98" s="107" t="n">
        <f aca="false">SUM(B98:F98)</f>
        <v>816.92113829329</v>
      </c>
      <c r="H98" s="122" t="n">
        <f aca="false">Budget!Y64</f>
        <v>462.418953718382</v>
      </c>
      <c r="I98" s="122" t="n">
        <f aca="false">Loans!V64</f>
        <v>30</v>
      </c>
      <c r="J98" s="122" t="n">
        <f aca="false">'Debt &amp; cash'!C64</f>
        <v>5.32443692474722</v>
      </c>
      <c r="K98" s="122" t="n">
        <f aca="false">'Debt &amp; cash'!K64</f>
        <v>22.5317759835944</v>
      </c>
      <c r="L98" s="122" t="n">
        <f aca="false">'Debt &amp; cash'!I64+'Debt &amp; cash'!J64+'Debt &amp; cash'!Q64*issue_price*dev_bonds</f>
        <v>117.49324367128</v>
      </c>
      <c r="M98" s="122" t="n">
        <f aca="false">'Debt &amp; cash'!M64</f>
        <v>149.718120350019</v>
      </c>
      <c r="N98" s="122" t="n">
        <f aca="false">'Debt &amp; cash'!S64</f>
        <v>29.4346076452674</v>
      </c>
      <c r="O98" s="107" t="n">
        <f aca="false">SUM(H98:N98)</f>
        <v>816.92113829329</v>
      </c>
      <c r="P98" s="123" t="n">
        <f aca="false">G98-O98</f>
        <v>0</v>
      </c>
      <c r="Q98" s="122" t="n">
        <f aca="false">'Debt &amp; cash'!Q64</f>
        <v>53.3768698135361</v>
      </c>
      <c r="R98" s="107" t="n">
        <f aca="false">Q98*issue_price</f>
        <v>51.77556371913</v>
      </c>
      <c r="S98" s="107" t="n">
        <f aca="false">Q98-R98</f>
        <v>1.60130609440608</v>
      </c>
    </row>
    <row r="99" customFormat="false" ht="19.5" hidden="false" customHeight="true" outlineLevel="0" collapsed="false">
      <c r="A99" s="111" t="n">
        <v>1905</v>
      </c>
      <c r="B99" s="122" t="n">
        <f aca="false">'Debt &amp; cash'!M64</f>
        <v>149.718120350019</v>
      </c>
      <c r="C99" s="122" t="n">
        <f aca="false">'Debt &amp; cash'!S64</f>
        <v>29.4346076452674</v>
      </c>
      <c r="D99" s="122" t="n">
        <f aca="false">Budget!M65</f>
        <v>655.045281880849</v>
      </c>
      <c r="E99" s="122" t="n">
        <f aca="false">Loans!W65</f>
        <v>6.63933305356783</v>
      </c>
      <c r="F99" s="122" t="n">
        <f aca="false">('Debt &amp; cash'!H65+'Debt &amp; cash'!Q65)*issue_price</f>
        <v>55.7659659658266</v>
      </c>
      <c r="G99" s="107" t="n">
        <f aca="false">SUM(B99:F99)</f>
        <v>896.60330889553</v>
      </c>
      <c r="H99" s="122" t="n">
        <f aca="false">Budget!Y65</f>
        <v>509.254175150988</v>
      </c>
      <c r="I99" s="122" t="n">
        <f aca="false">Loans!V65</f>
        <v>30</v>
      </c>
      <c r="J99" s="122" t="n">
        <f aca="false">'Debt &amp; cash'!C65</f>
        <v>5.83485006285111</v>
      </c>
      <c r="K99" s="122" t="n">
        <f aca="false">'Debt &amp; cash'!K65</f>
        <v>24.6125735040922</v>
      </c>
      <c r="L99" s="122" t="n">
        <f aca="false">'Debt &amp; cash'!I65+'Debt &amp; cash'!J65+'Debt &amp; cash'!Q65*issue_price*dev_bonds</f>
        <v>127.552638686095</v>
      </c>
      <c r="M99" s="122" t="n">
        <f aca="false">'Debt &amp; cash'!M65</f>
        <v>163.761320470212</v>
      </c>
      <c r="N99" s="122" t="n">
        <f aca="false">'Debt &amp; cash'!S65</f>
        <v>35.5877510212904</v>
      </c>
      <c r="O99" s="107" t="n">
        <f aca="false">SUM(H99:N99)</f>
        <v>896.603308895529</v>
      </c>
      <c r="P99" s="123" t="n">
        <f aca="false">G99-O99</f>
        <v>0</v>
      </c>
      <c r="Q99" s="122" t="n">
        <f aca="false">'Debt &amp; cash'!Q65</f>
        <v>57.4906865627078</v>
      </c>
      <c r="R99" s="107" t="n">
        <f aca="false">Q99*issue_price</f>
        <v>55.7659659658266</v>
      </c>
      <c r="S99" s="107" t="n">
        <f aca="false">Q99-R99</f>
        <v>1.72472059688123</v>
      </c>
    </row>
    <row r="100" customFormat="false" ht="19.5" hidden="false" customHeight="true" outlineLevel="0" collapsed="false">
      <c r="A100" s="111" t="n">
        <v>1906</v>
      </c>
      <c r="B100" s="122" t="n">
        <f aca="false">'Debt &amp; cash'!M65</f>
        <v>163.761320470212</v>
      </c>
      <c r="C100" s="122" t="n">
        <f aca="false">'Debt &amp; cash'!S65</f>
        <v>35.5877510212904</v>
      </c>
      <c r="D100" s="122" t="n">
        <f aca="false">Budget!M66</f>
        <v>724.412331962699</v>
      </c>
      <c r="E100" s="122" t="n">
        <f aca="false">Loans!W66</f>
        <v>7.57435633158298</v>
      </c>
      <c r="F100" s="122" t="n">
        <f aca="false">('Debt &amp; cash'!H66+'Debt &amp; cash'!Q66)*issue_price</f>
        <v>72.3400245150294</v>
      </c>
      <c r="G100" s="107" t="n">
        <f aca="false">SUM(B100:F100)</f>
        <v>1003.67578430081</v>
      </c>
      <c r="H100" s="122" t="n">
        <f aca="false">Budget!Y66</f>
        <v>566.383699531649</v>
      </c>
      <c r="I100" s="122" t="n">
        <f aca="false">Loans!V66</f>
        <v>0</v>
      </c>
      <c r="J100" s="122" t="n">
        <f aca="false">'Debt &amp; cash'!C66</f>
        <v>6.3757153227664</v>
      </c>
      <c r="K100" s="122" t="n">
        <f aca="false">'Debt &amp; cash'!K66</f>
        <v>34.0525226206569</v>
      </c>
      <c r="L100" s="122" t="n">
        <f aca="false">'Debt &amp; cash'!I66+'Debt &amp; cash'!J66+'Debt &amp; cash'!Q66*issue_price*dev_bonds</f>
        <v>171.659882158612</v>
      </c>
      <c r="M100" s="122" t="n">
        <f aca="false">'Debt &amp; cash'!M66</f>
        <v>181.103082990675</v>
      </c>
      <c r="N100" s="122" t="n">
        <f aca="false">'Debt &amp; cash'!S66</f>
        <v>44.1008816764546</v>
      </c>
      <c r="O100" s="107" t="n">
        <f aca="false">SUM(H100:N100)</f>
        <v>1003.67578430081</v>
      </c>
      <c r="P100" s="123" t="n">
        <f aca="false">G100-O100</f>
        <v>0</v>
      </c>
      <c r="Q100" s="122" t="n">
        <f aca="false">'Debt &amp; cash'!Q66</f>
        <v>74.577344860855</v>
      </c>
      <c r="R100" s="107" t="n">
        <f aca="false">Q100*issue_price</f>
        <v>72.3400245150294</v>
      </c>
      <c r="S100" s="107" t="n">
        <f aca="false">Q100-R100</f>
        <v>2.23732034582565</v>
      </c>
    </row>
    <row r="101" customFormat="false" ht="19.5" hidden="false" customHeight="true" outlineLevel="0" collapsed="false">
      <c r="A101" s="111" t="n">
        <v>1907</v>
      </c>
      <c r="B101" s="122" t="n">
        <f aca="false">'Debt &amp; cash'!M66</f>
        <v>181.103082990675</v>
      </c>
      <c r="C101" s="122" t="n">
        <f aca="false">'Debt &amp; cash'!S66</f>
        <v>44.1008816764546</v>
      </c>
      <c r="D101" s="122" t="n">
        <f aca="false">Budget!M67</f>
        <v>785.678637884732</v>
      </c>
      <c r="E101" s="122" t="n">
        <f aca="false">Loans!W67</f>
        <v>7.27196078047279</v>
      </c>
      <c r="F101" s="122" t="n">
        <f aca="false">('Debt &amp; cash'!H67+'Debt &amp; cash'!Q67)*issue_price</f>
        <v>73.6298897250155</v>
      </c>
      <c r="G101" s="107" t="n">
        <f aca="false">SUM(B101:F101)</f>
        <v>1091.78445305735</v>
      </c>
      <c r="H101" s="122" t="n">
        <f aca="false">Budget!Y67</f>
        <v>614.991227271356</v>
      </c>
      <c r="I101" s="122" t="n">
        <f aca="false">Loans!V67</f>
        <v>0</v>
      </c>
      <c r="J101" s="122" t="n">
        <f aca="false">'Debt &amp; cash'!C67</f>
        <v>7.05869746111504</v>
      </c>
      <c r="K101" s="122" t="n">
        <f aca="false">'Debt &amp; cash'!K67</f>
        <v>37.3401833885342</v>
      </c>
      <c r="L101" s="122" t="n">
        <f aca="false">'Debt &amp; cash'!I67+'Debt &amp; cash'!J67+'Debt &amp; cash'!Q67*issue_price*dev_bonds</f>
        <v>182.538757941574</v>
      </c>
      <c r="M101" s="122" t="n">
        <f aca="false">'Debt &amp; cash'!M67</f>
        <v>196.419659471183</v>
      </c>
      <c r="N101" s="122" t="n">
        <f aca="false">'Debt &amp; cash'!S67</f>
        <v>53.4359275235882</v>
      </c>
      <c r="O101" s="107" t="n">
        <f aca="false">SUM(H101:N101)</f>
        <v>1091.78445305735</v>
      </c>
      <c r="P101" s="123" t="n">
        <f aca="false">G101-O101</f>
        <v>0</v>
      </c>
      <c r="Q101" s="122" t="n">
        <f aca="false">'Debt &amp; cash'!Q67</f>
        <v>75.9071028092944</v>
      </c>
      <c r="R101" s="107" t="n">
        <f aca="false">Q101*issue_price</f>
        <v>73.6298897250155</v>
      </c>
      <c r="S101" s="107" t="n">
        <f aca="false">Q101-R101</f>
        <v>2.27721308427883</v>
      </c>
    </row>
    <row r="102" customFormat="false" ht="19.5" hidden="false" customHeight="true" outlineLevel="0" collapsed="false">
      <c r="A102" s="111" t="n">
        <v>1908</v>
      </c>
      <c r="B102" s="122" t="n">
        <f aca="false">'Debt &amp; cash'!M67</f>
        <v>196.419659471183</v>
      </c>
      <c r="C102" s="122" t="n">
        <f aca="false">'Debt &amp; cash'!S67</f>
        <v>53.4359275235882</v>
      </c>
      <c r="D102" s="122" t="n">
        <f aca="false">Budget!M68</f>
        <v>828.264324079998</v>
      </c>
      <c r="E102" s="122" t="n">
        <f aca="false">Loans!W68</f>
        <v>6.98164369034241</v>
      </c>
      <c r="F102" s="122" t="n">
        <f aca="false">('Debt &amp; cash'!H68+'Debt &amp; cash'!Q68)*issue_price</f>
        <v>68.1260051258925</v>
      </c>
      <c r="G102" s="107" t="n">
        <f aca="false">SUM(B102:F102)</f>
        <v>1153.227559891</v>
      </c>
      <c r="H102" s="122" t="n">
        <f aca="false">Budget!Y68</f>
        <v>652.535072371734</v>
      </c>
      <c r="I102" s="122" t="n">
        <f aca="false">Loans!V68</f>
        <v>0</v>
      </c>
      <c r="J102" s="122" t="n">
        <f aca="false">'Debt &amp; cash'!C68</f>
        <v>7.68886190030794</v>
      </c>
      <c r="K102" s="122" t="n">
        <f aca="false">'Debt &amp; cash'!K68</f>
        <v>39.4501468678756</v>
      </c>
      <c r="L102" s="122" t="n">
        <f aca="false">'Debt &amp; cash'!I68+'Debt &amp; cash'!J68+'Debt &amp; cash'!Q68*issue_price*dev_bonds</f>
        <v>183.18893349053</v>
      </c>
      <c r="M102" s="122" t="n">
        <f aca="false">'Debt &amp; cash'!M68</f>
        <v>207.06608102</v>
      </c>
      <c r="N102" s="122" t="n">
        <f aca="false">'Debt &amp; cash'!S68</f>
        <v>63.2984642405571</v>
      </c>
      <c r="O102" s="107" t="n">
        <f aca="false">SUM(H102:N102)</f>
        <v>1153.227559891</v>
      </c>
      <c r="P102" s="123" t="n">
        <f aca="false">G102-O102</f>
        <v>0</v>
      </c>
      <c r="Q102" s="122" t="n">
        <f aca="false">'Debt &amp; cash'!Q68</f>
        <v>70.2329949751469</v>
      </c>
      <c r="R102" s="107" t="n">
        <f aca="false">Q102*issue_price</f>
        <v>68.1260051258925</v>
      </c>
      <c r="S102" s="107" t="n">
        <f aca="false">Q102-R102</f>
        <v>2.1069898492544</v>
      </c>
    </row>
    <row r="103" customFormat="false" ht="19.5" hidden="false" customHeight="true" outlineLevel="0" collapsed="false">
      <c r="A103" s="111" t="n">
        <v>1909</v>
      </c>
      <c r="B103" s="122" t="n">
        <f aca="false">'Debt &amp; cash'!M68</f>
        <v>207.06608102</v>
      </c>
      <c r="C103" s="122" t="n">
        <f aca="false">'Debt &amp; cash'!S68</f>
        <v>63.2984642405571</v>
      </c>
      <c r="D103" s="122" t="n">
        <f aca="false">Budget!M69</f>
        <v>951.385553980993</v>
      </c>
      <c r="E103" s="122" t="n">
        <f aca="false">Loans!W69</f>
        <v>6.7029224435846</v>
      </c>
      <c r="F103" s="122" t="n">
        <f aca="false">('Debt &amp; cash'!H69+'Debt &amp; cash'!Q69)*issue_price</f>
        <v>107.585738110482</v>
      </c>
      <c r="G103" s="107" t="n">
        <f aca="false">SUM(B103:F103)</f>
        <v>1336.03875979562</v>
      </c>
      <c r="H103" s="122" t="n">
        <f aca="false">Budget!Y69</f>
        <v>750.22196690184</v>
      </c>
      <c r="I103" s="122" t="n">
        <f aca="false">Loans!V69</f>
        <v>0</v>
      </c>
      <c r="J103" s="122" t="n">
        <f aca="false">'Debt &amp; cash'!C69</f>
        <v>8.15074162444721</v>
      </c>
      <c r="K103" s="122" t="n">
        <f aca="false">'Debt &amp; cash'!K69</f>
        <v>40.54451050153</v>
      </c>
      <c r="L103" s="122" t="n">
        <f aca="false">'Debt &amp; cash'!I69+'Debt &amp; cash'!J69+'Debt &amp; cash'!Q69*issue_price*dev_bonds</f>
        <v>225.840560406612</v>
      </c>
      <c r="M103" s="122" t="n">
        <f aca="false">'Debt &amp; cash'!M69</f>
        <v>237.846388495248</v>
      </c>
      <c r="N103" s="122" t="n">
        <f aca="false">'Debt &amp; cash'!S69</f>
        <v>73.4345918659396</v>
      </c>
      <c r="O103" s="107" t="n">
        <f aca="false">SUM(H103:N103)</f>
        <v>1336.03875979562</v>
      </c>
      <c r="P103" s="123" t="n">
        <f aca="false">G103-O103</f>
        <v>0</v>
      </c>
      <c r="Q103" s="122" t="n">
        <f aca="false">'Debt &amp; cash'!Q69</f>
        <v>110.913132072662</v>
      </c>
      <c r="R103" s="107" t="n">
        <f aca="false">Q103*issue_price</f>
        <v>107.585738110482</v>
      </c>
      <c r="S103" s="107" t="n">
        <f aca="false">Q103-R103</f>
        <v>3.32739396217987</v>
      </c>
    </row>
    <row r="104" customFormat="false" ht="19.5" hidden="false" customHeight="true" outlineLevel="0" collapsed="false">
      <c r="A104" s="111" t="n">
        <v>1910</v>
      </c>
      <c r="B104" s="122" t="n">
        <f aca="false">'Debt &amp; cash'!M69</f>
        <v>237.846388495248</v>
      </c>
      <c r="C104" s="122" t="n">
        <f aca="false">'Debt &amp; cash'!S69</f>
        <v>73.4345918659396</v>
      </c>
      <c r="D104" s="122" t="n">
        <f aca="false">Budget!M70</f>
        <v>1039.87232868401</v>
      </c>
      <c r="E104" s="122" t="n">
        <f aca="false">Loans!W70</f>
        <v>6.43533371167141</v>
      </c>
      <c r="F104" s="122" t="n">
        <f aca="false">('Debt &amp; cash'!H70+'Debt &amp; cash'!Q70)*issue_price</f>
        <v>96.7805677416376</v>
      </c>
      <c r="G104" s="107" t="n">
        <f aca="false">SUM(B104:F104)</f>
        <v>1454.3692104985</v>
      </c>
      <c r="H104" s="122" t="n">
        <f aca="false">Budget!Y70</f>
        <v>824.507199079267</v>
      </c>
      <c r="I104" s="122" t="n">
        <f aca="false">Loans!V70</f>
        <v>0</v>
      </c>
      <c r="J104" s="122" t="n">
        <f aca="false">'Debt &amp; cash'!C70</f>
        <v>9.39509922338091</v>
      </c>
      <c r="K104" s="122" t="n">
        <f aca="false">'Debt &amp; cash'!K70</f>
        <v>45.6680809001464</v>
      </c>
      <c r="L104" s="122" t="n">
        <f aca="false">'Debt &amp; cash'!I70+'Debt &amp; cash'!J70+'Debt &amp; cash'!Q70*issue_price*dev_bonds</f>
        <v>229.979137033731</v>
      </c>
      <c r="M104" s="122" t="n">
        <f aca="false">'Debt &amp; cash'!M70</f>
        <v>259.968082171001</v>
      </c>
      <c r="N104" s="122" t="n">
        <f aca="false">'Debt &amp; cash'!S70</f>
        <v>84.8516120909762</v>
      </c>
      <c r="O104" s="107" t="n">
        <f aca="false">SUM(H104:N104)</f>
        <v>1454.3692104985</v>
      </c>
      <c r="P104" s="123" t="n">
        <f aca="false">G104-O104</f>
        <v>0</v>
      </c>
      <c r="Q104" s="122" t="n">
        <f aca="false">'Debt &amp; cash'!Q70</f>
        <v>99.773781176946</v>
      </c>
      <c r="R104" s="107" t="n">
        <f aca="false">Q104*issue_price</f>
        <v>96.7805677416376</v>
      </c>
      <c r="S104" s="107" t="n">
        <f aca="false">Q104-R104</f>
        <v>2.99321343530838</v>
      </c>
    </row>
    <row r="105" customFormat="false" ht="19.5" hidden="false" customHeight="true" outlineLevel="0" collapsed="false">
      <c r="A105" s="111" t="n">
        <v>1911</v>
      </c>
      <c r="B105" s="122" t="n">
        <f aca="false">'Debt &amp; cash'!M70</f>
        <v>259.968082171001</v>
      </c>
      <c r="C105" s="122" t="n">
        <f aca="false">'Debt &amp; cash'!S70</f>
        <v>84.8516120909762</v>
      </c>
      <c r="D105" s="122" t="n">
        <f aca="false">Budget!M71</f>
        <v>1130.97400767941</v>
      </c>
      <c r="E105" s="122" t="n">
        <f aca="false">Loans!W71</f>
        <v>6.17843268405985</v>
      </c>
      <c r="F105" s="122" t="n">
        <f aca="false">('Debt &amp; cash'!H71+'Debt &amp; cash'!Q71)*issue_price</f>
        <v>100.904624492965</v>
      </c>
      <c r="G105" s="107" t="n">
        <f aca="false">SUM(B105:F105)</f>
        <v>1582.87675911842</v>
      </c>
      <c r="H105" s="122" t="n">
        <f aca="false">Budget!Y71</f>
        <v>906.21282111492</v>
      </c>
      <c r="I105" s="122" t="n">
        <f aca="false">Loans!V71</f>
        <v>0</v>
      </c>
      <c r="J105" s="122" t="n">
        <f aca="false">'Debt &amp; cash'!C71</f>
        <v>10.2893112444493</v>
      </c>
      <c r="K105" s="122" t="n">
        <f aca="false">'Debt &amp; cash'!K71</f>
        <v>47.4899731812607</v>
      </c>
      <c r="L105" s="122" t="n">
        <f aca="false">'Debt &amp; cash'!I71+'Debt &amp; cash'!J71+'Debt &amp; cash'!Q71*issue_price*dev_bonds</f>
        <v>239.417046271642</v>
      </c>
      <c r="M105" s="122" t="n">
        <f aca="false">'Debt &amp; cash'!M71</f>
        <v>282.743501919854</v>
      </c>
      <c r="N105" s="122" t="n">
        <f aca="false">'Debt &amp; cash'!S71</f>
        <v>96.7241053862913</v>
      </c>
      <c r="O105" s="107" t="n">
        <f aca="false">SUM(H105:N105)</f>
        <v>1582.87675911842</v>
      </c>
      <c r="P105" s="123" t="n">
        <f aca="false">G105-O105</f>
        <v>0</v>
      </c>
      <c r="Q105" s="122" t="n">
        <f aca="false">'Debt &amp; cash'!Q71</f>
        <v>104.025386075222</v>
      </c>
      <c r="R105" s="107" t="n">
        <f aca="false">Q105*issue_price</f>
        <v>100.904624492965</v>
      </c>
      <c r="S105" s="107" t="n">
        <f aca="false">Q105-R105</f>
        <v>3.12076158225666</v>
      </c>
    </row>
    <row r="106" customFormat="false" ht="19.5" hidden="false" customHeight="true" outlineLevel="0" collapsed="false">
      <c r="A106" s="111" t="n">
        <v>1912</v>
      </c>
      <c r="B106" s="122" t="n">
        <f aca="false">'Debt &amp; cash'!M71</f>
        <v>282.743501919854</v>
      </c>
      <c r="C106" s="122" t="n">
        <f aca="false">'Debt &amp; cash'!S71</f>
        <v>96.7241053862913</v>
      </c>
      <c r="D106" s="122" t="n">
        <f aca="false">Budget!M72</f>
        <v>1230.18269428886</v>
      </c>
      <c r="E106" s="122" t="n">
        <f aca="false">Loans!W72</f>
        <v>5.93179232792709</v>
      </c>
      <c r="F106" s="122" t="n">
        <f aca="false">('Debt &amp; cash'!H72+'Debt &amp; cash'!Q72)*issue_price</f>
        <v>109.625619682972</v>
      </c>
      <c r="G106" s="107" t="n">
        <f aca="false">SUM(B106:F106)</f>
        <v>1725.20771360591</v>
      </c>
      <c r="H106" s="122" t="n">
        <f aca="false">Budget!Y72</f>
        <v>987.753800143193</v>
      </c>
      <c r="I106" s="122" t="n">
        <f aca="false">Loans!V72</f>
        <v>0</v>
      </c>
      <c r="J106" s="122" t="n">
        <f aca="false">'Debt &amp; cash'!C72</f>
        <v>11.2142332774395</v>
      </c>
      <c r="K106" s="122" t="n">
        <f aca="false">'Debt &amp; cash'!K72</f>
        <v>50.962627570511</v>
      </c>
      <c r="L106" s="122" t="n">
        <f aca="false">'Debt &amp; cash'!I72+'Debt &amp; cash'!J72+'Debt &amp; cash'!Q72*issue_price*dev_bonds</f>
        <v>258.26661676363</v>
      </c>
      <c r="M106" s="122" t="n">
        <f aca="false">'Debt &amp; cash'!M72</f>
        <v>307.545673572216</v>
      </c>
      <c r="N106" s="122" t="n">
        <f aca="false">'Debt &amp; cash'!S72</f>
        <v>109.464762278919</v>
      </c>
      <c r="O106" s="107" t="n">
        <f aca="false">SUM(H106:N106)</f>
        <v>1725.20771360591</v>
      </c>
      <c r="P106" s="123" t="n">
        <f aca="false">G106-O106</f>
        <v>0</v>
      </c>
      <c r="Q106" s="122" t="n">
        <f aca="false">'Debt &amp; cash'!Q72</f>
        <v>113.016102765951</v>
      </c>
      <c r="R106" s="107" t="n">
        <f aca="false">Q106*issue_price</f>
        <v>109.625619682972</v>
      </c>
      <c r="S106" s="107" t="n">
        <f aca="false">Q106-R106</f>
        <v>3.39048308297853</v>
      </c>
    </row>
    <row r="107" customFormat="false" ht="19.5" hidden="false" customHeight="true" outlineLevel="0" collapsed="false">
      <c r="A107" s="111" t="n">
        <v>1913</v>
      </c>
      <c r="B107" s="122" t="n">
        <f aca="false">'Debt &amp; cash'!M72</f>
        <v>307.545673572216</v>
      </c>
      <c r="C107" s="122" t="n">
        <f aca="false">'Debt &amp; cash'!S72</f>
        <v>109.464762278919</v>
      </c>
      <c r="D107" s="122" t="n">
        <f aca="false">Budget!M73</f>
        <v>1336.18068428271</v>
      </c>
      <c r="E107" s="122" t="n">
        <f aca="false">Loans!W73</f>
        <v>5.69500267750276</v>
      </c>
      <c r="F107" s="122" t="n">
        <f aca="false">('Debt &amp; cash'!H73+'Debt &amp; cash'!Q73)*issue_price</f>
        <v>116.491877215479</v>
      </c>
      <c r="G107" s="107" t="n">
        <f aca="false">SUM(B107:F107)</f>
        <v>1875.37800002683</v>
      </c>
      <c r="H107" s="122" t="n">
        <f aca="false">Budget!Y73</f>
        <v>1079.37101373993</v>
      </c>
      <c r="I107" s="122" t="n">
        <f aca="false">Loans!V73</f>
        <v>0</v>
      </c>
      <c r="J107" s="122" t="n">
        <f aca="false">'Debt &amp; cash'!C73</f>
        <v>12.2310181157995</v>
      </c>
      <c r="K107" s="122" t="n">
        <f aca="false">'Debt &amp; cash'!K73</f>
        <v>53.7057978254461</v>
      </c>
      <c r="L107" s="122" t="n">
        <f aca="false">'Debt &amp; cash'!I73+'Debt &amp; cash'!J73+'Debt &amp; cash'!Q73*issue_price*dev_bonds</f>
        <v>273.133787539696</v>
      </c>
      <c r="M107" s="122" t="n">
        <f aca="false">'Debt &amp; cash'!M73</f>
        <v>334.045171070678</v>
      </c>
      <c r="N107" s="122" t="n">
        <f aca="false">'Debt &amp; cash'!S73</f>
        <v>122.891211735281</v>
      </c>
      <c r="O107" s="107" t="n">
        <f aca="false">SUM(H107:N107)</f>
        <v>1875.37800002683</v>
      </c>
      <c r="P107" s="123" t="n">
        <f aca="false">G107-O107</f>
        <v>0</v>
      </c>
      <c r="Q107" s="122" t="n">
        <f aca="false">'Debt &amp; cash'!Q73</f>
        <v>120.094718778844</v>
      </c>
      <c r="R107" s="107" t="n">
        <f aca="false">Q107*issue_price</f>
        <v>116.491877215479</v>
      </c>
      <c r="S107" s="107" t="n">
        <f aca="false">Q107-R107</f>
        <v>3.60284156336532</v>
      </c>
    </row>
    <row r="108" customFormat="false" ht="19.5" hidden="false" customHeight="true" outlineLevel="0" collapsed="false">
      <c r="A108" s="111" t="n">
        <v>1914</v>
      </c>
      <c r="B108" s="122" t="n">
        <f aca="false">'Debt &amp; cash'!M73</f>
        <v>334.045171070678</v>
      </c>
      <c r="C108" s="122" t="n">
        <f aca="false">'Debt &amp; cash'!S73</f>
        <v>122.891211735281</v>
      </c>
      <c r="D108" s="122" t="n">
        <f aca="false">Budget!M74</f>
        <v>1390.21765537991</v>
      </c>
      <c r="E108" s="122" t="n">
        <f aca="false">Loans!W74</f>
        <v>5.42231475485402</v>
      </c>
      <c r="F108" s="122" t="n">
        <f aca="false">('Debt &amp; cash'!H74+'Debt &amp; cash'!Q74)*issue_price</f>
        <v>59.2531171195356</v>
      </c>
      <c r="G108" s="107" t="n">
        <f aca="false">SUM(B108:F108)</f>
        <v>1911.82947006025</v>
      </c>
      <c r="H108" s="122" t="n">
        <f aca="false">Budget!Y74</f>
        <v>1162.07791536083</v>
      </c>
      <c r="I108" s="122" t="n">
        <f aca="false">Loans!V74</f>
        <v>85</v>
      </c>
      <c r="J108" s="122" t="n">
        <f aca="false">'Debt &amp; cash'!C74</f>
        <v>13.3141761725515</v>
      </c>
      <c r="K108" s="122" t="n">
        <f aca="false">'Debt &amp; cash'!K74</f>
        <v>29.2172725984997</v>
      </c>
      <c r="L108" s="122" t="n">
        <f aca="false">'Debt &amp; cash'!I74+'Debt &amp; cash'!J74+'Debt &amp; cash'!Q74*issue_price*dev_bonds</f>
        <v>144.470162198493</v>
      </c>
      <c r="M108" s="122" t="n">
        <f aca="false">'Debt &amp; cash'!M74</f>
        <v>347.554413844976</v>
      </c>
      <c r="N108" s="122" t="n">
        <f aca="false">'Debt &amp; cash'!S74</f>
        <v>130.195529884906</v>
      </c>
      <c r="O108" s="107" t="n">
        <f aca="false">SUM(H108:N108)</f>
        <v>1911.82947006025</v>
      </c>
      <c r="P108" s="123" t="n">
        <f aca="false">G108-O108</f>
        <v>0</v>
      </c>
      <c r="Q108" s="122" t="n">
        <f aca="false">'Debt &amp; cash'!Q74</f>
        <v>61.0856877520986</v>
      </c>
      <c r="R108" s="107" t="n">
        <f aca="false">Q108*issue_price</f>
        <v>59.2531171195356</v>
      </c>
      <c r="S108" s="107" t="n">
        <f aca="false">Q108-R108</f>
        <v>1.83257063256296</v>
      </c>
    </row>
    <row r="109" customFormat="false" ht="19.5" hidden="false" customHeight="true" outlineLevel="0" collapsed="false">
      <c r="A109" s="111" t="n">
        <v>1915</v>
      </c>
      <c r="B109" s="122" t="n">
        <f aca="false">'Debt &amp; cash'!M74</f>
        <v>347.554413844976</v>
      </c>
      <c r="C109" s="122" t="n">
        <f aca="false">'Debt &amp; cash'!S74</f>
        <v>130.195529884906</v>
      </c>
      <c r="D109" s="122" t="n">
        <f aca="false">Budget!M75</f>
        <v>1839.57685416228</v>
      </c>
      <c r="E109" s="122" t="n">
        <f aca="false">Loans!W75</f>
        <v>5.20542216465986</v>
      </c>
      <c r="F109" s="122" t="n">
        <f aca="false">('Debt &amp; cash'!H75+'Debt &amp; cash'!Q75)*issue_price</f>
        <v>125.55631701798</v>
      </c>
      <c r="G109" s="107" t="n">
        <f aca="false">SUM(B109:F109)</f>
        <v>2448.0885370748</v>
      </c>
      <c r="H109" s="122" t="n">
        <f aca="false">Budget!Y75</f>
        <v>1354.42577272991</v>
      </c>
      <c r="I109" s="122" t="n">
        <f aca="false">Loans!V75</f>
        <v>226.61</v>
      </c>
      <c r="J109" s="122" t="n">
        <f aca="false">'Debt &amp; cash'!C75</f>
        <v>13.8752609521724</v>
      </c>
      <c r="K109" s="122" t="n">
        <f aca="false">'Debt &amp; cash'!K75</f>
        <v>33.0075463078231</v>
      </c>
      <c r="L109" s="122" t="n">
        <f aca="false">'Debt &amp; cash'!I75+'Debt &amp; cash'!J75+'Debt &amp; cash'!Q75*issue_price*dev_bonds</f>
        <v>221.828327082464</v>
      </c>
      <c r="M109" s="122" t="n">
        <f aca="false">'Debt &amp; cash'!M75</f>
        <v>459.894213540569</v>
      </c>
      <c r="N109" s="122" t="n">
        <f aca="false">'Debt &amp; cash'!S75</f>
        <v>138.447416461861</v>
      </c>
      <c r="O109" s="107" t="n">
        <f aca="false">SUM(H109:N109)</f>
        <v>2448.0885370748</v>
      </c>
      <c r="P109" s="123" t="n">
        <f aca="false">G109-O109</f>
        <v>0</v>
      </c>
      <c r="Q109" s="122" t="n">
        <f aca="false">'Debt &amp; cash'!Q75</f>
        <v>129.439502080391</v>
      </c>
      <c r="R109" s="107" t="n">
        <f aca="false">Q109*issue_price</f>
        <v>125.55631701798</v>
      </c>
      <c r="S109" s="107" t="n">
        <f aca="false">Q109-R109</f>
        <v>3.88318506241174</v>
      </c>
    </row>
    <row r="110" customFormat="false" ht="19.5" hidden="false" customHeight="true" outlineLevel="0" collapsed="false">
      <c r="A110" s="111" t="n">
        <v>1916</v>
      </c>
      <c r="B110" s="122" t="n">
        <f aca="false">'Debt &amp; cash'!M75</f>
        <v>459.894213540569</v>
      </c>
      <c r="C110" s="122" t="n">
        <f aca="false">'Debt &amp; cash'!S75</f>
        <v>138.447416461861</v>
      </c>
      <c r="D110" s="122" t="n">
        <f aca="false">Budget!M76</f>
        <v>2185.95507348842</v>
      </c>
      <c r="E110" s="122" t="n">
        <f aca="false">Loans!W76</f>
        <v>4.99720527807347</v>
      </c>
      <c r="F110" s="122" t="n">
        <f aca="false">('Debt &amp; cash'!H76+'Debt &amp; cash'!Q76)*issue_price</f>
        <v>177.967368582554</v>
      </c>
      <c r="G110" s="107" t="n">
        <f aca="false">SUM(B110:F110)</f>
        <v>2967.26127735148</v>
      </c>
      <c r="H110" s="122" t="n">
        <f aca="false">Budget!Y76</f>
        <v>1594.73658453013</v>
      </c>
      <c r="I110" s="122" t="n">
        <f aca="false">Loans!V76</f>
        <v>396.61</v>
      </c>
      <c r="J110" s="122" t="n">
        <f aca="false">'Debt &amp; cash'!C76</f>
        <v>15.5263948485804</v>
      </c>
      <c r="K110" s="122" t="n">
        <f aca="false">'Debt &amp; cash'!K76</f>
        <v>23.3963386934995</v>
      </c>
      <c r="L110" s="122" t="n">
        <f aca="false">'Debt &amp; cash'!I76+'Debt &amp; cash'!J76+'Debt &amp; cash'!Q76*issue_price*dev_bonds</f>
        <v>246.206689771928</v>
      </c>
      <c r="M110" s="122" t="n">
        <f aca="false">'Debt &amp; cash'!M76</f>
        <v>546.488768372106</v>
      </c>
      <c r="N110" s="122" t="n">
        <f aca="false">'Debt &amp; cash'!S76</f>
        <v>144.296501135236</v>
      </c>
      <c r="O110" s="107" t="n">
        <f aca="false">SUM(H110:N110)</f>
        <v>2967.26127735148</v>
      </c>
      <c r="P110" s="123" t="n">
        <f aca="false">G110-O110</f>
        <v>0</v>
      </c>
      <c r="Q110" s="122" t="n">
        <f aca="false">'Debt &amp; cash'!Q76</f>
        <v>183.471514002633</v>
      </c>
      <c r="R110" s="107" t="n">
        <f aca="false">Q110*issue_price</f>
        <v>177.967368582554</v>
      </c>
      <c r="S110" s="107" t="n">
        <f aca="false">Q110-R110</f>
        <v>5.504145420079</v>
      </c>
    </row>
    <row r="111" customFormat="false" ht="19.5" hidden="false" customHeight="true" outlineLevel="0" collapsed="false">
      <c r="A111" s="111" t="n">
        <v>1917</v>
      </c>
      <c r="B111" s="122" t="n">
        <f aca="false">'Debt &amp; cash'!M76</f>
        <v>546.488768372106</v>
      </c>
      <c r="C111" s="122" t="n">
        <f aca="false">'Debt &amp; cash'!S76</f>
        <v>144.296501135236</v>
      </c>
      <c r="D111" s="122" t="n">
        <f aca="false">Budget!M77</f>
        <v>2750.34505563621</v>
      </c>
      <c r="E111" s="122" t="n">
        <f aca="false">Loans!W77</f>
        <v>4.79731706695053</v>
      </c>
      <c r="F111" s="122" t="n">
        <f aca="false">('Debt &amp; cash'!H77+'Debt &amp; cash'!Q77)*issue_price</f>
        <v>274.117910311266</v>
      </c>
      <c r="G111" s="107" t="n">
        <f aca="false">SUM(B111:F111)</f>
        <v>3720.04555252177</v>
      </c>
      <c r="H111" s="122" t="n">
        <f aca="false">Budget!Y77</f>
        <v>1974.03259549317</v>
      </c>
      <c r="I111" s="122" t="n">
        <f aca="false">Loans!V77</f>
        <v>510</v>
      </c>
      <c r="J111" s="122" t="n">
        <f aca="false">'Debt &amp; cash'!C77</f>
        <v>18.4173704577914</v>
      </c>
      <c r="K111" s="122" t="n">
        <f aca="false">'Debt &amp; cash'!K77</f>
        <v>26.7827786916603</v>
      </c>
      <c r="L111" s="122" t="n">
        <f aca="false">'Debt &amp; cash'!I77+'Debt &amp; cash'!J77+'Debt &amp; cash'!Q77*issue_price*dev_bonds</f>
        <v>352.234348161942</v>
      </c>
      <c r="M111" s="122" t="n">
        <f aca="false">'Debt &amp; cash'!M77</f>
        <v>687.586263909054</v>
      </c>
      <c r="N111" s="122" t="n">
        <f aca="false">'Debt &amp; cash'!S77</f>
        <v>150.992195808151</v>
      </c>
      <c r="O111" s="107" t="n">
        <f aca="false">SUM(H111:N111)</f>
        <v>3720.04555252177</v>
      </c>
      <c r="P111" s="123" t="n">
        <f aca="false">G111-O111</f>
        <v>0</v>
      </c>
      <c r="Q111" s="122" t="n">
        <f aca="false">'Debt &amp; cash'!Q77</f>
        <v>282.595783826047</v>
      </c>
      <c r="R111" s="107" t="n">
        <f aca="false">Q111*issue_price</f>
        <v>274.117910311266</v>
      </c>
      <c r="S111" s="107" t="n">
        <f aca="false">Q111-R111</f>
        <v>8.47787351478144</v>
      </c>
    </row>
    <row r="112" customFormat="false" ht="19.5" hidden="false" customHeight="true" outlineLevel="0" collapsed="false">
      <c r="A112" s="111" t="n">
        <v>1918</v>
      </c>
      <c r="B112" s="122" t="n">
        <f aca="false">'Debt &amp; cash'!M77</f>
        <v>687.586263909054</v>
      </c>
      <c r="C112" s="122" t="n">
        <f aca="false">'Debt &amp; cash'!S77</f>
        <v>150.992195808151</v>
      </c>
      <c r="D112" s="122" t="n">
        <f aca="false">Budget!M78</f>
        <v>3318.17945212027</v>
      </c>
      <c r="E112" s="122" t="n">
        <f aca="false">Loans!W78</f>
        <v>4.60542438427251</v>
      </c>
      <c r="F112" s="122" t="n">
        <f aca="false">('Debt &amp; cash'!H78+'Debt &amp; cash'!Q78)*issue_price</f>
        <v>295.288652520388</v>
      </c>
      <c r="G112" s="107" t="n">
        <f aca="false">SUM(B112:F112)</f>
        <v>4456.65198874213</v>
      </c>
      <c r="H112" s="122" t="n">
        <f aca="false">Budget!Y78</f>
        <v>2466.54340864944</v>
      </c>
      <c r="I112" s="122" t="n">
        <f aca="false">Loans!V78</f>
        <v>498.78</v>
      </c>
      <c r="J112" s="122" t="n">
        <f aca="false">'Debt &amp; cash'!C78</f>
        <v>23.1652831513233</v>
      </c>
      <c r="K112" s="122" t="n">
        <f aca="false">'Debt &amp; cash'!K78</f>
        <v>46.1610205398632</v>
      </c>
      <c r="L112" s="122" t="n">
        <f aca="false">'Debt &amp; cash'!I78+'Debt &amp; cash'!J78+'Debt &amp; cash'!Q78*issue_price*dev_bonds</f>
        <v>429.924962428323</v>
      </c>
      <c r="M112" s="122" t="n">
        <f aca="false">'Debt &amp; cash'!M78</f>
        <v>829.544863030067</v>
      </c>
      <c r="N112" s="122" t="n">
        <f aca="false">'Debt &amp; cash'!S78</f>
        <v>162.532450943117</v>
      </c>
      <c r="O112" s="107" t="n">
        <f aca="false">SUM(H112:N112)</f>
        <v>4456.65198874213</v>
      </c>
      <c r="P112" s="123" t="n">
        <f aca="false">G112-O112</f>
        <v>0</v>
      </c>
      <c r="Q112" s="122" t="n">
        <f aca="false">'Debt &amp; cash'!Q78</f>
        <v>304.421291258132</v>
      </c>
      <c r="R112" s="107" t="n">
        <f aca="false">Q112*issue_price</f>
        <v>295.288652520388</v>
      </c>
      <c r="S112" s="107" t="n">
        <f aca="false">Q112-R112</f>
        <v>9.132638737744</v>
      </c>
    </row>
    <row r="113" customFormat="false" ht="19.5" hidden="false" customHeight="true" outlineLevel="0" collapsed="false">
      <c r="A113" s="111" t="n">
        <v>1919</v>
      </c>
      <c r="B113" s="122" t="n">
        <f aca="false">'Debt &amp; cash'!M78</f>
        <v>829.544863030067</v>
      </c>
      <c r="C113" s="122" t="n">
        <f aca="false">'Debt &amp; cash'!S78</f>
        <v>162.532450943117</v>
      </c>
      <c r="D113" s="122" t="n">
        <f aca="false">Budget!M79</f>
        <v>3770.86994385668</v>
      </c>
      <c r="E113" s="122" t="n">
        <f aca="false">Loans!W79</f>
        <v>5.10120740890161</v>
      </c>
      <c r="F113" s="122" t="n">
        <f aca="false">('Debt &amp; cash'!H79+'Debt &amp; cash'!Q79)*issue_price</f>
        <v>362.966921157137</v>
      </c>
      <c r="G113" s="107" t="n">
        <f aca="false">SUM(B113:F113)</f>
        <v>5131.0153863959</v>
      </c>
      <c r="H113" s="122" t="n">
        <f aca="false">Budget!Y79</f>
        <v>2965.30596154476</v>
      </c>
      <c r="I113" s="122" t="n">
        <f aca="false">Loans!V79</f>
        <v>17</v>
      </c>
      <c r="J113" s="122" t="n">
        <f aca="false">'Debt &amp; cash'!C79</f>
        <v>27.8671829026622</v>
      </c>
      <c r="K113" s="122" t="n">
        <f aca="false">'Debt &amp; cash'!K79</f>
        <v>156.630092132173</v>
      </c>
      <c r="L113" s="122" t="n">
        <f aca="false">'Debt &amp; cash'!I79+'Debt &amp; cash'!J79+'Debt &amp; cash'!Q79*issue_price*dev_bonds</f>
        <v>819.804689875975</v>
      </c>
      <c r="M113" s="122" t="n">
        <f aca="false">'Debt &amp; cash'!M79</f>
        <v>942.717485964169</v>
      </c>
      <c r="N113" s="122" t="n">
        <f aca="false">'Debt &amp; cash'!S79</f>
        <v>201.68997397616</v>
      </c>
      <c r="O113" s="107" t="n">
        <f aca="false">SUM(H113:N113)</f>
        <v>5131.0153863959</v>
      </c>
      <c r="P113" s="123" t="n">
        <f aca="false">G113-O113</f>
        <v>0</v>
      </c>
      <c r="Q113" s="122" t="n">
        <f aca="false">'Debt &amp; cash'!Q79</f>
        <v>374.192702223853</v>
      </c>
      <c r="R113" s="107" t="n">
        <f aca="false">Q113*issue_price</f>
        <v>362.966921157137</v>
      </c>
      <c r="S113" s="107" t="n">
        <f aca="false">Q113-R113</f>
        <v>11.2257810667156</v>
      </c>
    </row>
    <row r="114" customFormat="false" ht="19.5" hidden="false" customHeight="true" outlineLevel="0" collapsed="false">
      <c r="A114" s="111" t="n">
        <v>1920</v>
      </c>
      <c r="B114" s="122" t="n">
        <f aca="false">'Debt &amp; cash'!M79</f>
        <v>942.717485964169</v>
      </c>
      <c r="C114" s="122" t="n">
        <f aca="false">'Debt &amp; cash'!S79</f>
        <v>201.68997397616</v>
      </c>
      <c r="D114" s="122" t="n">
        <f aca="false">Budget!M80</f>
        <v>4386.57008950007</v>
      </c>
      <c r="E114" s="122" t="n">
        <f aca="false">Loans!W80</f>
        <v>5.57715911254554</v>
      </c>
      <c r="F114" s="122" t="n">
        <f aca="false">('Debt &amp; cash'!H80+'Debt &amp; cash'!Q80)*issue_price</f>
        <v>506.124911762942</v>
      </c>
      <c r="G114" s="107" t="n">
        <f aca="false">SUM(B114:F114)</f>
        <v>6042.67962031589</v>
      </c>
      <c r="H114" s="122" t="n">
        <f aca="false">Budget!Y80</f>
        <v>3277.76405640445</v>
      </c>
      <c r="I114" s="122" t="n">
        <f aca="false">Loans!V80</f>
        <v>17</v>
      </c>
      <c r="J114" s="122" t="n">
        <f aca="false">'Debt &amp; cash'!C80</f>
        <v>31.6610914464426</v>
      </c>
      <c r="K114" s="122" t="n">
        <f aca="false">'Debt &amp; cash'!K80</f>
        <v>218.831295444211</v>
      </c>
      <c r="L114" s="122" t="n">
        <f aca="false">'Debt &amp; cash'!I80+'Debt &amp; cash'!J80+'Debt &amp; cash'!Q80*issue_price*dev_bonds</f>
        <v>1144.38285680856</v>
      </c>
      <c r="M114" s="122" t="n">
        <f aca="false">'Debt &amp; cash'!M80</f>
        <v>1096.64252237502</v>
      </c>
      <c r="N114" s="122" t="n">
        <f aca="false">'Debt &amp; cash'!S80</f>
        <v>256.397797837213</v>
      </c>
      <c r="O114" s="107" t="n">
        <f aca="false">SUM(H114:N114)</f>
        <v>6042.67962031589</v>
      </c>
      <c r="P114" s="123" t="n">
        <f aca="false">G114-O114</f>
        <v>0</v>
      </c>
      <c r="Q114" s="122" t="n">
        <f aca="false">'Debt &amp; cash'!Q80</f>
        <v>521.778259549425</v>
      </c>
      <c r="R114" s="107" t="n">
        <f aca="false">Q114*issue_price</f>
        <v>506.124911762942</v>
      </c>
      <c r="S114" s="107" t="n">
        <f aca="false">Q114-R114</f>
        <v>15.6533477864828</v>
      </c>
    </row>
    <row r="115" customFormat="false" ht="19.5" hidden="false" customHeight="true" outlineLevel="0" collapsed="false">
      <c r="A115" s="111" t="n">
        <v>1921</v>
      </c>
      <c r="B115" s="122" t="n">
        <f aca="false">'Debt &amp; cash'!M80</f>
        <v>1096.64252237502</v>
      </c>
      <c r="C115" s="122" t="n">
        <f aca="false">'Debt &amp; cash'!S80</f>
        <v>256.397797837213</v>
      </c>
      <c r="D115" s="122" t="n">
        <f aca="false">Budget!M81</f>
        <v>3234.71353355674</v>
      </c>
      <c r="E115" s="122" t="n">
        <f aca="false">Loans!W81</f>
        <v>6.03407274804372</v>
      </c>
      <c r="F115" s="122" t="n">
        <f aca="false">('Debt &amp; cash'!H81+'Debt &amp; cash'!Q81)*issue_price</f>
        <v>0</v>
      </c>
      <c r="G115" s="107" t="n">
        <f aca="false">SUM(B115:F115)</f>
        <v>4593.78792651701</v>
      </c>
      <c r="H115" s="122" t="n">
        <f aca="false">Budget!Y81</f>
        <v>2665.56317744606</v>
      </c>
      <c r="I115" s="122" t="n">
        <f aca="false">Loans!V81</f>
        <v>17</v>
      </c>
      <c r="J115" s="122" t="n">
        <f aca="false">'Debt &amp; cash'!C81</f>
        <v>37.086808899618</v>
      </c>
      <c r="K115" s="122" t="n">
        <f aca="false">'Debt &amp; cash'!K81</f>
        <v>194.174822146784</v>
      </c>
      <c r="L115" s="122" t="n">
        <f aca="false">'Debt &amp; cash'!I81+'Debt &amp; cash'!J81+'Debt &amp; cash'!Q81*issue_price*dev_bonds</f>
        <v>566.343231261453</v>
      </c>
      <c r="M115" s="122" t="n">
        <f aca="false">'Debt &amp; cash'!M81</f>
        <v>808.678383389185</v>
      </c>
      <c r="N115" s="122" t="n">
        <f aca="false">'Debt &amp; cash'!S81</f>
        <v>304.941503373909</v>
      </c>
      <c r="O115" s="107" t="n">
        <f aca="false">SUM(H115:N115)</f>
        <v>4593.78792651701</v>
      </c>
      <c r="P115" s="123" t="n">
        <f aca="false">G115-O115</f>
        <v>0</v>
      </c>
      <c r="Q115" s="122" t="n">
        <f aca="false">'Debt &amp; cash'!Q81</f>
        <v>0</v>
      </c>
      <c r="R115" s="107" t="n">
        <f aca="false">Q115*issue_price</f>
        <v>0</v>
      </c>
      <c r="S115" s="107" t="n">
        <f aca="false">Q115-R115</f>
        <v>0</v>
      </c>
    </row>
    <row r="116" customFormat="false" ht="19.5" hidden="false" customHeight="true" outlineLevel="0" collapsed="false">
      <c r="A116" s="111" t="n">
        <v>1922</v>
      </c>
      <c r="B116" s="122" t="n">
        <f aca="false">'Debt &amp; cash'!M81</f>
        <v>808.678383389185</v>
      </c>
      <c r="C116" s="122" t="n">
        <f aca="false">'Debt &amp; cash'!S81</f>
        <v>304.941503373909</v>
      </c>
      <c r="D116" s="122" t="n">
        <f aca="false">Budget!M82</f>
        <v>3364.63846106969</v>
      </c>
      <c r="E116" s="122" t="n">
        <f aca="false">Loans!W82</f>
        <v>6.47270983812197</v>
      </c>
      <c r="F116" s="122" t="n">
        <f aca="false">('Debt &amp; cash'!H82+'Debt &amp; cash'!Q82)*issue_price</f>
        <v>129.409098485821</v>
      </c>
      <c r="G116" s="107" t="n">
        <f aca="false">SUM(B116:F116)</f>
        <v>4614.14015615673</v>
      </c>
      <c r="H116" s="122" t="n">
        <f aca="false">Budget!Y82</f>
        <v>2657.42215127837</v>
      </c>
      <c r="I116" s="122" t="n">
        <f aca="false">Loans!V82</f>
        <v>17</v>
      </c>
      <c r="J116" s="122" t="n">
        <f aca="false">'Debt &amp; cash'!C82</f>
        <v>32.46157627869</v>
      </c>
      <c r="K116" s="122" t="n">
        <f aca="false">'Debt &amp; cash'!K82</f>
        <v>151.619090753404</v>
      </c>
      <c r="L116" s="122" t="n">
        <f aca="false">'Debt &amp; cash'!I82+'Debt &amp; cash'!J82+'Debt &amp; cash'!Q82*issue_price*dev_bonds</f>
        <v>571.631446516582</v>
      </c>
      <c r="M116" s="122" t="n">
        <f aca="false">'Debt &amp; cash'!M82</f>
        <v>841.159615267423</v>
      </c>
      <c r="N116" s="122" t="n">
        <f aca="false">'Debt &amp; cash'!S82</f>
        <v>342.84627606226</v>
      </c>
      <c r="O116" s="107" t="n">
        <f aca="false">SUM(H116:N116)</f>
        <v>4614.14015615673</v>
      </c>
      <c r="P116" s="123" t="n">
        <f aca="false">G116-O116</f>
        <v>0</v>
      </c>
      <c r="Q116" s="122" t="n">
        <f aca="false">'Debt &amp; cash'!Q82</f>
        <v>133.41144173796</v>
      </c>
      <c r="R116" s="107" t="n">
        <f aca="false">Q116*issue_price</f>
        <v>129.409098485821</v>
      </c>
      <c r="S116" s="107" t="n">
        <f aca="false">Q116-R116</f>
        <v>4.00234325213881</v>
      </c>
    </row>
    <row r="117" customFormat="false" ht="19.5" hidden="false" customHeight="true" outlineLevel="0" collapsed="false">
      <c r="A117" s="111" t="n">
        <v>1923</v>
      </c>
      <c r="B117" s="122" t="n">
        <f aca="false">'Debt &amp; cash'!M82</f>
        <v>841.159615267423</v>
      </c>
      <c r="C117" s="122" t="n">
        <f aca="false">'Debt &amp; cash'!S82</f>
        <v>342.84627606226</v>
      </c>
      <c r="D117" s="122" t="n">
        <f aca="false">Budget!M83</f>
        <v>3773.32301113889</v>
      </c>
      <c r="E117" s="122" t="n">
        <f aca="false">Loans!W83</f>
        <v>30.8510882442373</v>
      </c>
      <c r="F117" s="122" t="n">
        <f aca="false">('Debt &amp; cash'!H83+'Debt &amp; cash'!Q83)*issue_price</f>
        <v>395.812031069251</v>
      </c>
      <c r="G117" s="107" t="n">
        <f aca="false">SUM(B117:F117)</f>
        <v>5383.99202178206</v>
      </c>
      <c r="H117" s="122" t="n">
        <f aca="false">Budget!Y83</f>
        <v>2912.34678075202</v>
      </c>
      <c r="I117" s="122" t="n">
        <f aca="false">Loans!V83</f>
        <v>50</v>
      </c>
      <c r="J117" s="122" t="n">
        <f aca="false">'Debt &amp; cash'!C83</f>
        <v>31.4481917728073</v>
      </c>
      <c r="K117" s="122" t="n">
        <f aca="false">'Debt &amp; cash'!K83</f>
        <v>169.969917441839</v>
      </c>
      <c r="L117" s="122" t="n">
        <f aca="false">'Debt &amp; cash'!I83+'Debt &amp; cash'!J83+'Debt &amp; cash'!Q83*issue_price*dev_bonds</f>
        <v>891.557623607948</v>
      </c>
      <c r="M117" s="122" t="n">
        <f aca="false">'Debt &amp; cash'!M83</f>
        <v>943.330752784722</v>
      </c>
      <c r="N117" s="122" t="n">
        <f aca="false">'Debt &amp; cash'!S83</f>
        <v>385.33875542272</v>
      </c>
      <c r="O117" s="107" t="n">
        <f aca="false">SUM(H117:N117)</f>
        <v>5383.99202178206</v>
      </c>
      <c r="P117" s="123" t="n">
        <f aca="false">G117-O117</f>
        <v>0</v>
      </c>
      <c r="Q117" s="122" t="n">
        <f aca="false">'Debt &amp; cash'!Q83</f>
        <v>408.053640277578</v>
      </c>
      <c r="R117" s="107" t="n">
        <f aca="false">Q117*issue_price</f>
        <v>395.812031069251</v>
      </c>
      <c r="S117" s="107" t="n">
        <f aca="false">Q117-R117</f>
        <v>12.2416092083274</v>
      </c>
    </row>
    <row r="118" customFormat="false" ht="19.5" hidden="false" customHeight="true" outlineLevel="0" collapsed="false">
      <c r="A118" s="111" t="n">
        <v>1924</v>
      </c>
      <c r="B118" s="122" t="n">
        <f aca="false">'Debt &amp; cash'!M83</f>
        <v>943.330752784722</v>
      </c>
      <c r="C118" s="122" t="n">
        <f aca="false">'Debt &amp; cash'!S83</f>
        <v>385.33875542272</v>
      </c>
      <c r="D118" s="122" t="n">
        <f aca="false">Budget!M84</f>
        <v>4045.9068402707</v>
      </c>
      <c r="E118" s="122" t="n">
        <f aca="false">Loans!W84</f>
        <v>32.1920195976591</v>
      </c>
      <c r="F118" s="122" t="n">
        <f aca="false">('Debt &amp; cash'!H84+'Debt &amp; cash'!Q84)*issue_price</f>
        <v>350.081587857478</v>
      </c>
      <c r="G118" s="107" t="n">
        <f aca="false">SUM(B118:F118)</f>
        <v>5756.84995593328</v>
      </c>
      <c r="H118" s="122" t="n">
        <f aca="false">Budget!Y84</f>
        <v>3132.86463338702</v>
      </c>
      <c r="I118" s="122" t="n">
        <f aca="false">Loans!V84</f>
        <v>0</v>
      </c>
      <c r="J118" s="122" t="n">
        <f aca="false">'Debt &amp; cash'!C84</f>
        <v>35.580902394066</v>
      </c>
      <c r="K118" s="122" t="n">
        <f aca="false">'Debt &amp; cash'!K84</f>
        <v>201.961768033037</v>
      </c>
      <c r="L118" s="122" t="n">
        <f aca="false">'Debt &amp; cash'!I84+'Debt &amp; cash'!J84+'Debt &amp; cash'!Q84*issue_price*dev_bonds</f>
        <v>939.136744620503</v>
      </c>
      <c r="M118" s="122" t="n">
        <f aca="false">'Debt &amp; cash'!M84</f>
        <v>1011.47671006767</v>
      </c>
      <c r="N118" s="122" t="n">
        <f aca="false">'Debt &amp; cash'!S84</f>
        <v>435.829197430979</v>
      </c>
      <c r="O118" s="107" t="n">
        <f aca="false">SUM(H118:N118)</f>
        <v>5756.84995593327</v>
      </c>
      <c r="P118" s="123" t="n">
        <f aca="false">G118-O118</f>
        <v>0</v>
      </c>
      <c r="Q118" s="122" t="n">
        <f aca="false">'Debt &amp; cash'!Q84</f>
        <v>360.908853461318</v>
      </c>
      <c r="R118" s="107" t="n">
        <f aca="false">Q118*issue_price</f>
        <v>350.081587857478</v>
      </c>
      <c r="S118" s="107" t="n">
        <f aca="false">Q118-R118</f>
        <v>10.8272656038395</v>
      </c>
    </row>
    <row r="119" customFormat="false" ht="19.5" hidden="false" customHeight="true" outlineLevel="0" collapsed="false">
      <c r="A119" s="111" t="n">
        <v>1925</v>
      </c>
      <c r="B119" s="122" t="n">
        <f aca="false">'Debt &amp; cash'!M84</f>
        <v>1011.47671006767</v>
      </c>
      <c r="C119" s="122" t="n">
        <f aca="false">'Debt &amp; cash'!S84</f>
        <v>435.829197430979</v>
      </c>
      <c r="D119" s="122" t="n">
        <f aca="false">Budget!M85</f>
        <v>4375.23424383514</v>
      </c>
      <c r="E119" s="122" t="n">
        <f aca="false">Loans!W85</f>
        <v>31.4701140988131</v>
      </c>
      <c r="F119" s="122" t="n">
        <f aca="false">('Debt &amp; cash'!H85+'Debt &amp; cash'!Q85)*issue_price</f>
        <v>396.353579566382</v>
      </c>
      <c r="G119" s="107" t="n">
        <f aca="false">SUM(B119:F119)</f>
        <v>6250.36384499899</v>
      </c>
      <c r="H119" s="122" t="n">
        <f aca="false">Budget!Y85</f>
        <v>3391.39937103442</v>
      </c>
      <c r="I119" s="122" t="n">
        <f aca="false">Loans!V85</f>
        <v>0</v>
      </c>
      <c r="J119" s="122" t="n">
        <f aca="false">'Debt &amp; cash'!C85</f>
        <v>38.0482260547503</v>
      </c>
      <c r="K119" s="122" t="n">
        <f aca="false">'Debt &amp; cash'!K85</f>
        <v>214.781978388882</v>
      </c>
      <c r="L119" s="122" t="n">
        <f aca="false">'Debt &amp; cash'!I85+'Debt &amp; cash'!J85+'Debt &amp; cash'!Q85*issue_price*dev_bonds</f>
        <v>1022.80101653395</v>
      </c>
      <c r="M119" s="122" t="n">
        <f aca="false">'Debt &amp; cash'!M85</f>
        <v>1093.80856095879</v>
      </c>
      <c r="N119" s="122" t="n">
        <f aca="false">'Debt &amp; cash'!S85</f>
        <v>489.524692028199</v>
      </c>
      <c r="O119" s="107" t="n">
        <f aca="false">SUM(H119:N119)</f>
        <v>6250.36384499899</v>
      </c>
      <c r="P119" s="123" t="n">
        <f aca="false">G119-O119</f>
        <v>0</v>
      </c>
      <c r="Q119" s="122" t="n">
        <f aca="false">'Debt &amp; cash'!Q85</f>
        <v>408.611937697302</v>
      </c>
      <c r="R119" s="107" t="n">
        <f aca="false">Q119*issue_price</f>
        <v>396.353579566382</v>
      </c>
      <c r="S119" s="107" t="n">
        <f aca="false">Q119-R119</f>
        <v>12.2583581309191</v>
      </c>
    </row>
    <row r="120" customFormat="false" ht="19.5" hidden="false" customHeight="true" outlineLevel="0" collapsed="false">
      <c r="A120" s="111" t="n">
        <v>1926</v>
      </c>
      <c r="B120" s="122" t="n">
        <f aca="false">'Debt &amp; cash'!M85</f>
        <v>1093.80856095879</v>
      </c>
      <c r="C120" s="122" t="n">
        <f aca="false">'Debt &amp; cash'!S85</f>
        <v>489.524692028199</v>
      </c>
      <c r="D120" s="122" t="n">
        <f aca="false">Budget!M86</f>
        <v>4575.05508157097</v>
      </c>
      <c r="E120" s="122" t="n">
        <f aca="false">Loans!W86</f>
        <v>30.7680324153599</v>
      </c>
      <c r="F120" s="122" t="n">
        <f aca="false">('Debt &amp; cash'!H86+'Debt &amp; cash'!Q86)*issue_price</f>
        <v>357.332241541972</v>
      </c>
      <c r="G120" s="107" t="n">
        <f aca="false">SUM(B120:F120)</f>
        <v>6546.48860851529</v>
      </c>
      <c r="H120" s="122" t="n">
        <f aca="false">Budget!Y86</f>
        <v>3529.42648662229</v>
      </c>
      <c r="I120" s="122" t="n">
        <f aca="false">Loans!V86</f>
        <v>0</v>
      </c>
      <c r="J120" s="122" t="n">
        <f aca="false">'Debt &amp; cash'!C86</f>
        <v>41.1638607198236</v>
      </c>
      <c r="K120" s="122" t="n">
        <f aca="false">'Debt &amp; cash'!K86</f>
        <v>236.466613730461</v>
      </c>
      <c r="L120" s="122" t="n">
        <f aca="false">'Debt &amp; cash'!I86+'Debt &amp; cash'!J86+'Debt &amp; cash'!Q86*issue_price*dev_bonds</f>
        <v>1047.02653158915</v>
      </c>
      <c r="M120" s="122" t="n">
        <f aca="false">'Debt &amp; cash'!M86</f>
        <v>1143.76377039274</v>
      </c>
      <c r="N120" s="122" t="n">
        <f aca="false">'Debt &amp; cash'!S86</f>
        <v>548.641345460814</v>
      </c>
      <c r="O120" s="107" t="n">
        <f aca="false">SUM(H120:N120)</f>
        <v>6546.48860851528</v>
      </c>
      <c r="P120" s="123" t="n">
        <f aca="false">G120-O120</f>
        <v>0</v>
      </c>
      <c r="Q120" s="122" t="n">
        <f aca="false">'Debt &amp; cash'!Q86</f>
        <v>368.383754166982</v>
      </c>
      <c r="R120" s="107" t="n">
        <f aca="false">Q120*issue_price</f>
        <v>357.332241541972</v>
      </c>
      <c r="S120" s="107" t="n">
        <f aca="false">Q120-R120</f>
        <v>11.0515126250095</v>
      </c>
    </row>
    <row r="121" customFormat="false" ht="19.5" hidden="false" customHeight="true" outlineLevel="0" collapsed="false">
      <c r="A121" s="111" t="n">
        <v>1927</v>
      </c>
      <c r="B121" s="122" t="n">
        <f aca="false">'Debt &amp; cash'!M86</f>
        <v>1143.76377039274</v>
      </c>
      <c r="C121" s="122" t="n">
        <f aca="false">'Debt &amp; cash'!S86</f>
        <v>548.641345460814</v>
      </c>
      <c r="D121" s="122" t="n">
        <f aca="false">Budget!M87</f>
        <v>4958.79610206137</v>
      </c>
      <c r="E121" s="122" t="n">
        <f aca="false">Loans!W87</f>
        <v>30.0851264331568</v>
      </c>
      <c r="F121" s="122" t="n">
        <f aca="false">('Debt &amp; cash'!H87+'Debt &amp; cash'!Q87)*issue_price</f>
        <v>347.609218659076</v>
      </c>
      <c r="G121" s="107" t="n">
        <f aca="false">SUM(B121:F121)</f>
        <v>7028.89556300716</v>
      </c>
      <c r="H121" s="122" t="n">
        <f aca="false">Budget!Y87</f>
        <v>3706.3799279725</v>
      </c>
      <c r="I121" s="122" t="n">
        <f aca="false">Loans!V87</f>
        <v>165.620411505982</v>
      </c>
      <c r="J121" s="122" t="n">
        <f aca="false">'Debt &amp; cash'!C87</f>
        <v>42.9789263141576</v>
      </c>
      <c r="K121" s="122" t="n">
        <f aca="false">'Debt &amp; cash'!K87</f>
        <v>234.712009819028</v>
      </c>
      <c r="L121" s="122" t="n">
        <f aca="false">'Debt &amp; cash'!I87+'Debt &amp; cash'!J87+'Debt &amp; cash'!Q87*issue_price*dev_bonds</f>
        <v>1032.18591396457</v>
      </c>
      <c r="M121" s="122" t="n">
        <f aca="false">'Debt &amp; cash'!M87</f>
        <v>1239.69902551534</v>
      </c>
      <c r="N121" s="122" t="n">
        <f aca="false">'Debt &amp; cash'!S87</f>
        <v>607.319347915571</v>
      </c>
      <c r="O121" s="107" t="n">
        <f aca="false">SUM(H121:N121)</f>
        <v>7028.89556300716</v>
      </c>
      <c r="P121" s="123" t="n">
        <f aca="false">G121-O121</f>
        <v>0</v>
      </c>
      <c r="Q121" s="122" t="n">
        <f aca="false">'Debt &amp; cash'!Q87</f>
        <v>358.360019236161</v>
      </c>
      <c r="R121" s="107" t="n">
        <f aca="false">Q121*issue_price</f>
        <v>347.609218659076</v>
      </c>
      <c r="S121" s="107" t="n">
        <f aca="false">Q121-R121</f>
        <v>10.7508005770848</v>
      </c>
    </row>
    <row r="122" customFormat="false" ht="19.5" hidden="false" customHeight="true" outlineLevel="0" collapsed="false">
      <c r="A122" s="111" t="n">
        <v>1928</v>
      </c>
      <c r="B122" s="122" t="n">
        <f aca="false">'Debt &amp; cash'!M87</f>
        <v>1239.69902551534</v>
      </c>
      <c r="C122" s="122" t="n">
        <f aca="false">'Debt &amp; cash'!S87</f>
        <v>607.319347915571</v>
      </c>
      <c r="D122" s="122" t="n">
        <f aca="false">Budget!M88</f>
        <v>5331.93831240924</v>
      </c>
      <c r="E122" s="122" t="n">
        <f aca="false">Loans!W88</f>
        <v>29.4207716452113</v>
      </c>
      <c r="F122" s="122" t="n">
        <f aca="false">('Debt &amp; cash'!H88+'Debt &amp; cash'!Q88)*issue_price</f>
        <v>488.143120169708</v>
      </c>
      <c r="G122" s="107" t="n">
        <f aca="false">SUM(B122:F122)</f>
        <v>7696.52057765507</v>
      </c>
      <c r="H122" s="122" t="n">
        <f aca="false">Budget!Y88</f>
        <v>3992.57310374352</v>
      </c>
      <c r="I122" s="122" t="n">
        <f aca="false">Loans!V88</f>
        <v>0</v>
      </c>
      <c r="J122" s="122" t="n">
        <f aca="false">'Debt &amp; cash'!C88</f>
        <v>44.5923079762171</v>
      </c>
      <c r="K122" s="122" t="n">
        <f aca="false">'Debt &amp; cash'!K88</f>
        <v>295.417948739458</v>
      </c>
      <c r="L122" s="122" t="n">
        <f aca="false">'Debt &amp; cash'!I88+'Debt &amp; cash'!J88+'Debt &amp; cash'!Q88*issue_price*dev_bonds</f>
        <v>1349.77880399313</v>
      </c>
      <c r="M122" s="122" t="n">
        <f aca="false">'Debt &amp; cash'!M88</f>
        <v>1332.98457810231</v>
      </c>
      <c r="N122" s="122" t="n">
        <f aca="false">'Debt &amp; cash'!S88</f>
        <v>681.173835100436</v>
      </c>
      <c r="O122" s="107" t="n">
        <f aca="false">SUM(H122:N122)</f>
        <v>7696.52057765507</v>
      </c>
      <c r="P122" s="123" t="n">
        <f aca="false">G122-O122</f>
        <v>0</v>
      </c>
      <c r="Q122" s="122" t="n">
        <f aca="false">'Debt &amp; cash'!Q88</f>
        <v>503.240330071864</v>
      </c>
      <c r="R122" s="107" t="n">
        <f aca="false">Q122*issue_price</f>
        <v>488.143120169708</v>
      </c>
      <c r="S122" s="107" t="n">
        <f aca="false">Q122-R122</f>
        <v>15.0972099021559</v>
      </c>
    </row>
    <row r="123" customFormat="false" ht="19.5" hidden="false" customHeight="true" outlineLevel="0" collapsed="false">
      <c r="A123" s="111" t="n">
        <v>1929</v>
      </c>
      <c r="B123" s="122" t="n">
        <f aca="false">'Debt &amp; cash'!M88</f>
        <v>1332.98457810231</v>
      </c>
      <c r="C123" s="122" t="n">
        <f aca="false">'Debt &amp; cash'!S88</f>
        <v>681.173835100436</v>
      </c>
      <c r="D123" s="122" t="n">
        <f aca="false">Budget!M89</f>
        <v>5659.09044173626</v>
      </c>
      <c r="E123" s="122" t="n">
        <f aca="false">Loans!W89</f>
        <v>61.89844854567</v>
      </c>
      <c r="F123" s="122" t="n">
        <f aca="false">('Debt &amp; cash'!H89+'Debt &amp; cash'!Q89)*issue_price</f>
        <v>505.295535961026</v>
      </c>
      <c r="G123" s="107" t="n">
        <f aca="false">SUM(B123:F123)</f>
        <v>8240.4428394457</v>
      </c>
      <c r="H123" s="122" t="n">
        <f aca="false">Budget!Y89</f>
        <v>4229.48828923963</v>
      </c>
      <c r="I123" s="122" t="n">
        <f aca="false">Loans!V89</f>
        <v>0</v>
      </c>
      <c r="J123" s="122" t="n">
        <f aca="false">'Debt &amp; cash'!C89</f>
        <v>47.8569094433409</v>
      </c>
      <c r="K123" s="122" t="n">
        <f aca="false">'Debt &amp; cash'!K89</f>
        <v>326.845358224128</v>
      </c>
      <c r="L123" s="122" t="n">
        <f aca="false">'Debt &amp; cash'!I89+'Debt &amp; cash'!J89+'Debt &amp; cash'!Q89*issue_price*dev_bonds</f>
        <v>1458.59449744807</v>
      </c>
      <c r="M123" s="122" t="n">
        <f aca="false">'Debt &amp; cash'!M89</f>
        <v>1414.77261043406</v>
      </c>
      <c r="N123" s="122" t="n">
        <f aca="false">'Debt &amp; cash'!S89</f>
        <v>762.885174656468</v>
      </c>
      <c r="O123" s="107" t="n">
        <f aca="false">SUM(H123:N123)</f>
        <v>8240.4428394457</v>
      </c>
      <c r="P123" s="123" t="n">
        <f aca="false">G123-O123</f>
        <v>0</v>
      </c>
      <c r="Q123" s="122" t="n">
        <f aca="false">'Debt &amp; cash'!Q89</f>
        <v>520.923232949511</v>
      </c>
      <c r="R123" s="107" t="n">
        <f aca="false">Q123*issue_price</f>
        <v>505.295535961026</v>
      </c>
      <c r="S123" s="107" t="n">
        <f aca="false">Q123-R123</f>
        <v>15.6276969884854</v>
      </c>
    </row>
    <row r="124" customFormat="false" ht="19.5" hidden="false" customHeight="true" outlineLevel="0" collapsed="false">
      <c r="A124" s="111" t="n">
        <v>1930</v>
      </c>
      <c r="B124" s="122" t="n">
        <f aca="false">'Debt &amp; cash'!M89</f>
        <v>1414.77261043406</v>
      </c>
      <c r="C124" s="122" t="n">
        <f aca="false">'Debt &amp; cash'!S89</f>
        <v>762.885174656468</v>
      </c>
      <c r="D124" s="122" t="n">
        <f aca="false">Budget!M90</f>
        <v>5230.20607520842</v>
      </c>
      <c r="E124" s="122" t="n">
        <f aca="false">Loans!W90</f>
        <v>61.2694125535206</v>
      </c>
      <c r="F124" s="122" t="n">
        <f aca="false">('Debt &amp; cash'!H90+'Debt &amp; cash'!Q90)*issue_price</f>
        <v>160.519325163285</v>
      </c>
      <c r="G124" s="107" t="n">
        <f aca="false">SUM(B124:F124)</f>
        <v>7629.65259801575</v>
      </c>
      <c r="H124" s="122" t="n">
        <f aca="false">Budget!Y90</f>
        <v>4209.96405781701</v>
      </c>
      <c r="I124" s="122" t="n">
        <f aca="false">Loans!V90</f>
        <v>0</v>
      </c>
      <c r="J124" s="122" t="n">
        <f aca="false">'Debt &amp; cash'!C90</f>
        <v>50.7813287489817</v>
      </c>
      <c r="K124" s="122" t="n">
        <f aca="false">'Debt &amp; cash'!K90</f>
        <v>273.108286278698</v>
      </c>
      <c r="L124" s="122" t="n">
        <f aca="false">'Debt &amp; cash'!I90+'Debt &amp; cash'!J90+'Debt &amp; cash'!Q90*issue_price*dev_bonds</f>
        <v>957.08516014282</v>
      </c>
      <c r="M124" s="122" t="n">
        <f aca="false">'Debt &amp; cash'!M90</f>
        <v>1307.5515188021</v>
      </c>
      <c r="N124" s="122" t="n">
        <f aca="false">'Debt &amp; cash'!S90</f>
        <v>831.162246226143</v>
      </c>
      <c r="O124" s="107" t="n">
        <f aca="false">SUM(H124:N124)</f>
        <v>7629.65259801575</v>
      </c>
      <c r="P124" s="123" t="n">
        <f aca="false">G124-O124</f>
        <v>0</v>
      </c>
      <c r="Q124" s="122" t="n">
        <f aca="false">'Debt &amp; cash'!Q90</f>
        <v>165.483840374521</v>
      </c>
      <c r="R124" s="107" t="n">
        <f aca="false">Q124*issue_price</f>
        <v>160.519325163285</v>
      </c>
      <c r="S124" s="107" t="n">
        <f aca="false">Q124-R124</f>
        <v>4.96451521123564</v>
      </c>
    </row>
    <row r="125" customFormat="false" ht="19.5" hidden="false" customHeight="true" outlineLevel="0" collapsed="false">
      <c r="A125" s="111" t="n">
        <v>1931</v>
      </c>
      <c r="B125" s="122" t="n">
        <f aca="false">'Debt &amp; cash'!M90</f>
        <v>1307.5515188021</v>
      </c>
      <c r="C125" s="122" t="n">
        <f aca="false">'Debt &amp; cash'!S90</f>
        <v>831.162246226143</v>
      </c>
      <c r="D125" s="122" t="n">
        <f aca="false">Budget!M91</f>
        <v>4415.19436849236</v>
      </c>
      <c r="E125" s="122" t="n">
        <f aca="false">Loans!W91</f>
        <v>39.6000937791288</v>
      </c>
      <c r="F125" s="122" t="n">
        <f aca="false">('Debt &amp; cash'!H91+'Debt &amp; cash'!Q91)*issue_price</f>
        <v>0</v>
      </c>
      <c r="G125" s="107" t="n">
        <f aca="false">SUM(B125:F125)</f>
        <v>6593.50822729973</v>
      </c>
      <c r="H125" s="122" t="n">
        <f aca="false">Budget!Y91</f>
        <v>4019.30808241882</v>
      </c>
      <c r="I125" s="122" t="n">
        <f aca="false">Loans!V91</f>
        <v>240</v>
      </c>
      <c r="J125" s="122" t="n">
        <f aca="false">'Debt &amp; cash'!C91</f>
        <v>47.6132132559185</v>
      </c>
      <c r="K125" s="122" t="n">
        <f aca="false">'Debt &amp; cash'!K91</f>
        <v>84.3902623861833</v>
      </c>
      <c r="L125" s="122" t="n">
        <f aca="false">'Debt &amp; cash'!I91+'Debt &amp; cash'!J91+'Debt &amp; cash'!Q91*issue_price*dev_bonds</f>
        <v>246.138265293035</v>
      </c>
      <c r="M125" s="122" t="n">
        <f aca="false">'Debt &amp; cash'!M91</f>
        <v>1103.79859212309</v>
      </c>
      <c r="N125" s="122" t="n">
        <f aca="false">'Debt &amp; cash'!S91</f>
        <v>852.259811822688</v>
      </c>
      <c r="O125" s="107" t="n">
        <f aca="false">SUM(H125:N125)</f>
        <v>6593.50822729973</v>
      </c>
      <c r="P125" s="123" t="n">
        <f aca="false">G125-O125</f>
        <v>0</v>
      </c>
      <c r="Q125" s="122" t="n">
        <f aca="false">'Debt &amp; cash'!Q91</f>
        <v>0</v>
      </c>
      <c r="R125" s="107" t="n">
        <f aca="false">Q125*issue_price</f>
        <v>0</v>
      </c>
      <c r="S125" s="107" t="n">
        <f aca="false">Q125-R125</f>
        <v>0</v>
      </c>
    </row>
    <row r="126" customFormat="false" ht="19.5" hidden="false" customHeight="true" outlineLevel="0" collapsed="false">
      <c r="A126" s="111" t="n">
        <v>1932</v>
      </c>
      <c r="B126" s="122" t="n">
        <f aca="false">'Debt &amp; cash'!M91</f>
        <v>1103.79859212309</v>
      </c>
      <c r="C126" s="122" t="n">
        <f aca="false">'Debt &amp; cash'!S91</f>
        <v>852.259811822688</v>
      </c>
      <c r="D126" s="122" t="n">
        <f aca="false">Budget!M92</f>
        <v>3916.1460524271</v>
      </c>
      <c r="E126" s="122" t="n">
        <f aca="false">Loans!W92</f>
        <v>39.3410533200115</v>
      </c>
      <c r="F126" s="122" t="n">
        <f aca="false">('Debt &amp; cash'!H92+'Debt &amp; cash'!Q92)*issue_price</f>
        <v>0</v>
      </c>
      <c r="G126" s="107" t="n">
        <f aca="false">SUM(B126:F126)</f>
        <v>5911.54550969289</v>
      </c>
      <c r="H126" s="122" t="n">
        <f aca="false">Budget!Y92</f>
        <v>3732.18768676787</v>
      </c>
      <c r="I126" s="122" t="n">
        <f aca="false">Loans!V92</f>
        <v>160</v>
      </c>
      <c r="J126" s="122" t="n">
        <f aca="false">'Debt &amp; cash'!C92</f>
        <v>44.9731437430765</v>
      </c>
      <c r="K126" s="122" t="n">
        <f aca="false">'Debt &amp; cash'!K92</f>
        <v>34.3412050205947</v>
      </c>
      <c r="L126" s="122" t="n">
        <f aca="false">'Debt &amp; cash'!I92+'Debt &amp; cash'!J92+'Debt &amp; cash'!Q92*issue_price*dev_bonds</f>
        <v>100.161847976735</v>
      </c>
      <c r="M126" s="122" t="n">
        <f aca="false">'Debt &amp; cash'!M92</f>
        <v>979.036513106775</v>
      </c>
      <c r="N126" s="122" t="n">
        <f aca="false">'Debt &amp; cash'!S92</f>
        <v>860.845113077837</v>
      </c>
      <c r="O126" s="107" t="n">
        <f aca="false">SUM(H126:N126)</f>
        <v>5911.54550969289</v>
      </c>
      <c r="P126" s="123" t="n">
        <f aca="false">G126-O126</f>
        <v>0</v>
      </c>
      <c r="Q126" s="122" t="n">
        <f aca="false">'Debt &amp; cash'!Q92</f>
        <v>0</v>
      </c>
      <c r="R126" s="107" t="n">
        <f aca="false">Q126*issue_price</f>
        <v>0</v>
      </c>
      <c r="S126" s="107" t="n">
        <f aca="false">Q126-R126</f>
        <v>0</v>
      </c>
    </row>
    <row r="127" customFormat="false" ht="19.5" hidden="false" customHeight="true" outlineLevel="0" collapsed="false">
      <c r="A127" s="100"/>
      <c r="B127" s="103"/>
      <c r="C127" s="103"/>
      <c r="D127" s="103"/>
      <c r="E127" s="103"/>
      <c r="F127" s="103"/>
      <c r="G127" s="103"/>
      <c r="H127" s="103"/>
      <c r="I127" s="103"/>
      <c r="J127" s="103"/>
      <c r="K127" s="103"/>
      <c r="L127" s="103"/>
      <c r="M127" s="103"/>
      <c r="N127" s="103"/>
      <c r="O127" s="103"/>
      <c r="P127" s="103"/>
      <c r="Q127" s="103"/>
      <c r="R127" s="103"/>
      <c r="S127" s="103"/>
    </row>
    <row r="128" customFormat="false" ht="19.5" hidden="false" customHeight="true" outlineLevel="0" collapsed="false">
      <c r="A128" s="100"/>
      <c r="B128" s="103"/>
      <c r="C128" s="103"/>
      <c r="D128" s="103"/>
      <c r="E128" s="103"/>
      <c r="F128" s="103"/>
      <c r="G128" s="103"/>
      <c r="H128" s="103"/>
      <c r="I128" s="103"/>
      <c r="J128" s="103"/>
      <c r="K128" s="103"/>
      <c r="L128" s="103"/>
      <c r="M128" s="103"/>
      <c r="N128" s="103"/>
      <c r="O128" s="103"/>
      <c r="P128" s="103"/>
      <c r="Q128" s="103"/>
      <c r="R128" s="103"/>
      <c r="S128" s="103"/>
    </row>
    <row r="129" customFormat="false" ht="19.5" hidden="false" customHeight="true" outlineLevel="0" collapsed="false">
      <c r="A129" s="100"/>
      <c r="B129" s="103"/>
      <c r="C129" s="103"/>
      <c r="D129" s="103"/>
      <c r="E129" s="103"/>
      <c r="F129" s="103"/>
      <c r="G129" s="103"/>
      <c r="H129" s="103"/>
      <c r="I129" s="103"/>
      <c r="J129" s="103"/>
      <c r="K129" s="103"/>
      <c r="L129" s="103"/>
      <c r="M129" s="103"/>
      <c r="N129" s="103"/>
      <c r="O129" s="103"/>
      <c r="P129" s="103"/>
      <c r="Q129" s="103"/>
      <c r="R129" s="103"/>
      <c r="S129" s="103"/>
    </row>
    <row r="130" customFormat="false" ht="19.5" hidden="false" customHeight="true" outlineLevel="0" collapsed="false">
      <c r="A130" s="100"/>
      <c r="B130" s="103"/>
      <c r="C130" s="103"/>
      <c r="D130" s="103"/>
      <c r="E130" s="103"/>
      <c r="F130" s="103"/>
      <c r="G130" s="103"/>
      <c r="H130" s="103"/>
      <c r="I130" s="103"/>
      <c r="J130" s="103"/>
      <c r="K130" s="103"/>
      <c r="L130" s="103"/>
      <c r="M130" s="103"/>
      <c r="N130" s="103"/>
      <c r="O130" s="103"/>
      <c r="P130" s="103"/>
      <c r="Q130" s="103"/>
      <c r="R130" s="103"/>
      <c r="S130" s="103"/>
    </row>
    <row r="131" customFormat="false" ht="19.5" hidden="false" customHeight="true" outlineLevel="0" collapsed="false">
      <c r="A131" s="100"/>
      <c r="B131" s="103"/>
      <c r="C131" s="103"/>
      <c r="D131" s="103"/>
      <c r="E131" s="103"/>
      <c r="F131" s="103"/>
      <c r="G131" s="103"/>
      <c r="H131" s="103"/>
      <c r="I131" s="103"/>
      <c r="J131" s="103"/>
      <c r="K131" s="103"/>
      <c r="L131" s="103"/>
      <c r="M131" s="103"/>
      <c r="N131" s="103"/>
      <c r="O131" s="103"/>
      <c r="P131" s="103"/>
      <c r="Q131" s="103"/>
      <c r="R131" s="103"/>
      <c r="S131" s="103"/>
    </row>
    <row r="132" customFormat="false" ht="19.5" hidden="false" customHeight="true" outlineLevel="0" collapsed="false">
      <c r="A132" s="100"/>
      <c r="B132" s="103"/>
      <c r="C132" s="103"/>
      <c r="D132" s="103"/>
      <c r="E132" s="103"/>
      <c r="F132" s="103"/>
      <c r="G132" s="103"/>
      <c r="H132" s="103"/>
      <c r="I132" s="103"/>
      <c r="J132" s="103"/>
      <c r="K132" s="103"/>
      <c r="L132" s="103"/>
      <c r="M132" s="103"/>
      <c r="N132" s="103"/>
      <c r="O132" s="103"/>
      <c r="P132" s="103"/>
      <c r="Q132" s="103"/>
      <c r="R132" s="103"/>
      <c r="S132" s="103"/>
    </row>
    <row r="133" customFormat="false" ht="19.5" hidden="false" customHeight="true" outlineLevel="0" collapsed="false">
      <c r="A133" s="100"/>
      <c r="B133" s="103"/>
      <c r="C133" s="103"/>
      <c r="D133" s="103"/>
      <c r="E133" s="103"/>
      <c r="F133" s="103"/>
      <c r="G133" s="103"/>
      <c r="H133" s="103"/>
      <c r="I133" s="103"/>
      <c r="J133" s="103"/>
      <c r="K133" s="103"/>
      <c r="L133" s="103"/>
      <c r="M133" s="103"/>
      <c r="N133" s="103"/>
      <c r="O133" s="103"/>
      <c r="P133" s="103"/>
      <c r="Q133" s="103"/>
      <c r="R133" s="103"/>
      <c r="S133" s="103"/>
    </row>
    <row r="134" customFormat="false" ht="57.75" hidden="false" customHeight="true" outlineLevel="0" collapsed="false">
      <c r="A134" s="76" t="s">
        <v>103</v>
      </c>
      <c r="B134" s="113" t="s">
        <v>2261</v>
      </c>
      <c r="C134" s="113" t="s">
        <v>2262</v>
      </c>
      <c r="D134" s="113" t="s">
        <v>2263</v>
      </c>
      <c r="E134" s="113" t="s">
        <v>2264</v>
      </c>
      <c r="F134" s="113" t="s">
        <v>2265</v>
      </c>
      <c r="G134" s="113" t="s">
        <v>2266</v>
      </c>
      <c r="H134" s="113" t="s">
        <v>2267</v>
      </c>
      <c r="I134" s="113" t="s">
        <v>2268</v>
      </c>
      <c r="J134" s="113" t="s">
        <v>2269</v>
      </c>
      <c r="K134" s="113" t="s">
        <v>2270</v>
      </c>
      <c r="L134" s="113" t="s">
        <v>2271</v>
      </c>
      <c r="M134" s="113" t="s">
        <v>2272</v>
      </c>
      <c r="N134" s="113" t="s">
        <v>2273</v>
      </c>
      <c r="O134" s="113" t="s">
        <v>2274</v>
      </c>
      <c r="P134" s="113" t="s">
        <v>2275</v>
      </c>
      <c r="Q134" s="113" t="s">
        <v>2276</v>
      </c>
      <c r="R134" s="103"/>
      <c r="S134" s="103"/>
    </row>
    <row r="135" customFormat="false" ht="19.5" hidden="false" customHeight="true" outlineLevel="0" collapsed="false">
      <c r="A135" s="111" t="n">
        <v>1846</v>
      </c>
      <c r="B135" s="122" t="n">
        <f aca="false">Economy!O6*$E$25</f>
        <v>4.2020715</v>
      </c>
      <c r="C135" s="122" t="n">
        <f aca="false">MAX(0,Abroad!M6-Abroad!N6-Abroad!V6)*$E$27</f>
        <v>0</v>
      </c>
      <c r="D135" s="122" t="n">
        <f aca="false">Abroad!F6</f>
        <v>0</v>
      </c>
      <c r="E135" s="107" t="n">
        <f aca="false">SUM(B135:D135)</f>
        <v>4.2020715</v>
      </c>
      <c r="F135" s="122" t="n">
        <f aca="false">Economy!O6*IF(A135=1862,$E$38,IF(OR(AND(A135&gt;=1861,A135&lt;=1865),AND(A135&gt;=1870,A135&lt;=1871)),$E$37,$E$26))</f>
        <v>2.86504875</v>
      </c>
      <c r="G135" s="122" t="n">
        <f aca="false">'Debt &amp; cash'!Y6*issue_price</f>
        <v>0.086850119375</v>
      </c>
      <c r="H135" s="122" t="n">
        <f aca="false">Abroad!C6</f>
        <v>0.03820065</v>
      </c>
      <c r="I135" s="122" t="n">
        <f aca="false">Abroad!D6</f>
        <v>0</v>
      </c>
      <c r="J135" s="122" t="n">
        <f aca="false">'Champion funding'!D6-'Champion funding'!K6+'Champion funding'!Q6+'Champion funding'!R6</f>
        <v>0</v>
      </c>
      <c r="K135" s="107" t="n">
        <f aca="false">SUM(F135:J135)</f>
        <v>2.990099519375</v>
      </c>
      <c r="L135" s="107" t="n">
        <f aca="false">E135-K135</f>
        <v>1.211971980625</v>
      </c>
      <c r="M135" s="107" t="n">
        <f aca="false">MAX(0,-L135)</f>
        <v>0</v>
      </c>
      <c r="N135" s="122" t="n">
        <f aca="false">'Capital accounts'!L6</f>
        <v>0</v>
      </c>
      <c r="O135" s="122" t="n">
        <f aca="false">'War credit'!E6</f>
        <v>0</v>
      </c>
      <c r="P135" s="124" t="n">
        <f aca="false">'War credit'!AC6</f>
        <v>0</v>
      </c>
      <c r="Q135" s="122" t="str">
        <f aca="false">IF(O135&gt;0,'War credit'!AD6,IF(N135&gt;0,"Project funding unallocated","Capacity is MODEL"))</f>
        <v>Capacity is MODEL</v>
      </c>
      <c r="R135" s="103"/>
      <c r="S135" s="103"/>
    </row>
    <row r="136" customFormat="false" ht="19.5" hidden="false" customHeight="true" outlineLevel="0" collapsed="false">
      <c r="A136" s="111" t="n">
        <v>1847</v>
      </c>
      <c r="B136" s="122" t="n">
        <f aca="false">Economy!O7*$E$25</f>
        <v>4.4865002754</v>
      </c>
      <c r="C136" s="122" t="n">
        <f aca="false">MAX(0,Abroad!M7-Abroad!N7-Abroad!V7)*$E$27</f>
        <v>0.00103141755</v>
      </c>
      <c r="D136" s="122" t="n">
        <f aca="false">Abroad!F7</f>
        <v>0.0011460195</v>
      </c>
      <c r="E136" s="107" t="n">
        <f aca="false">SUM(B136:D136)</f>
        <v>4.48867771245</v>
      </c>
      <c r="F136" s="122" t="n">
        <f aca="false">Economy!O7*IF(A136=1862,$E$38,IF(OR(AND(A136&gt;=1861,A136&lt;=1865),AND(A136&gt;=1870,A136&lt;=1871)),$E$37,$E$26))</f>
        <v>3.0589774605</v>
      </c>
      <c r="G136" s="122" t="n">
        <f aca="false">'Debt &amp; cash'!Y7*issue_price</f>
        <v>0.487507358520235</v>
      </c>
      <c r="H136" s="122" t="n">
        <f aca="false">Abroad!C7</f>
        <v>0.04078636614</v>
      </c>
      <c r="I136" s="122" t="n">
        <f aca="false">Abroad!D7</f>
        <v>0</v>
      </c>
      <c r="J136" s="122" t="n">
        <f aca="false">'Champion funding'!D7-'Champion funding'!K7+'Champion funding'!Q7+'Champion funding'!R7</f>
        <v>0</v>
      </c>
      <c r="K136" s="107" t="n">
        <f aca="false">SUM(F136:J136)</f>
        <v>3.58727118516024</v>
      </c>
      <c r="L136" s="107" t="n">
        <f aca="false">E136-K136</f>
        <v>0.901406527289765</v>
      </c>
      <c r="M136" s="107" t="n">
        <f aca="false">MAX(0,-L136)</f>
        <v>0</v>
      </c>
      <c r="N136" s="122" t="n">
        <f aca="false">'Capital accounts'!L7</f>
        <v>0</v>
      </c>
      <c r="O136" s="122" t="n">
        <f aca="false">'War credit'!E7</f>
        <v>0</v>
      </c>
      <c r="P136" s="124" t="n">
        <f aca="false">'War credit'!AC7</f>
        <v>0</v>
      </c>
      <c r="Q136" s="122" t="str">
        <f aca="false">IF(O136&gt;0,'War credit'!AD7,IF(N136&gt;0,"Project funding unallocated","Capacity is MODEL"))</f>
        <v>Capacity is MODEL</v>
      </c>
      <c r="R136" s="103"/>
      <c r="S136" s="103"/>
    </row>
    <row r="137" customFormat="false" ht="19.5" hidden="false" customHeight="true" outlineLevel="0" collapsed="false">
      <c r="A137" s="111" t="n">
        <v>1848</v>
      </c>
      <c r="B137" s="122" t="n">
        <f aca="false">Economy!O8*$E$25</f>
        <v>6.44955839100813</v>
      </c>
      <c r="C137" s="122" t="n">
        <f aca="false">MAX(0,Abroad!M8-Abroad!N8-Abroad!V8)*$E$27</f>
        <v>0.00210170690928</v>
      </c>
      <c r="D137" s="122" t="n">
        <f aca="false">Abroad!F8</f>
        <v>0.0023352298992</v>
      </c>
      <c r="E137" s="107" t="n">
        <f aca="false">SUM(B137:D137)</f>
        <v>6.45399532781661</v>
      </c>
      <c r="F137" s="122" t="n">
        <f aca="false">Economy!O8*IF(A137=1862,$E$38,IF(OR(AND(A137&gt;=1861,A137&lt;=1865),AND(A137&gt;=1870,A137&lt;=1871)),$E$37,$E$26))</f>
        <v>4.39742617568736</v>
      </c>
      <c r="G137" s="122" t="n">
        <f aca="false">'Debt &amp; cash'!Y8*issue_price</f>
        <v>0.555074643334658</v>
      </c>
      <c r="H137" s="122" t="n">
        <f aca="false">Abroad!C8</f>
        <v>0.0586323490091648</v>
      </c>
      <c r="I137" s="122" t="n">
        <f aca="false">Abroad!D8</f>
        <v>0</v>
      </c>
      <c r="J137" s="122" t="n">
        <f aca="false">'Champion funding'!D8-'Champion funding'!K8+'Champion funding'!Q8+'Champion funding'!R8</f>
        <v>0</v>
      </c>
      <c r="K137" s="107" t="n">
        <f aca="false">SUM(F137:J137)</f>
        <v>5.01113316803118</v>
      </c>
      <c r="L137" s="107" t="n">
        <f aca="false">E137-K137</f>
        <v>1.44286215978542</v>
      </c>
      <c r="M137" s="107" t="n">
        <f aca="false">MAX(0,-L137)</f>
        <v>0</v>
      </c>
      <c r="N137" s="122" t="n">
        <f aca="false">'Capital accounts'!L8</f>
        <v>0</v>
      </c>
      <c r="O137" s="122" t="n">
        <f aca="false">'War credit'!E8</f>
        <v>0</v>
      </c>
      <c r="P137" s="124" t="n">
        <f aca="false">'War credit'!AC8</f>
        <v>0</v>
      </c>
      <c r="Q137" s="122" t="str">
        <f aca="false">IF(O137&gt;0,'War credit'!AD8,IF(N137&gt;0,"Project funding unallocated","Capacity is MODEL"))</f>
        <v>Capacity is MODEL</v>
      </c>
      <c r="R137" s="103"/>
      <c r="S137" s="103"/>
    </row>
    <row r="138" customFormat="false" ht="19.5" hidden="false" customHeight="true" outlineLevel="0" collapsed="false">
      <c r="A138" s="111" t="n">
        <v>1849</v>
      </c>
      <c r="B138" s="122" t="n">
        <f aca="false">Economy!O9*$E$25</f>
        <v>15.4887275710276</v>
      </c>
      <c r="C138" s="122" t="n">
        <f aca="false">MAX(0,Abroad!M9-Abroad!N9-Abroad!V9)*$E$27</f>
        <v>0.00362172912524905</v>
      </c>
      <c r="D138" s="122" t="n">
        <f aca="false">Abroad!F9</f>
        <v>0.00402414347249894</v>
      </c>
      <c r="E138" s="107" t="n">
        <f aca="false">SUM(B138:D138)</f>
        <v>15.4963734436253</v>
      </c>
      <c r="F138" s="122" t="n">
        <f aca="false">Economy!O9*IF(A138=1862,$E$38,IF(OR(AND(A138&gt;=1861,A138&lt;=1865),AND(A138&gt;=1870,A138&lt;=1871)),$E$37,$E$26))</f>
        <v>10.5604960711552</v>
      </c>
      <c r="G138" s="122" t="n">
        <f aca="false">'Debt &amp; cash'!Y9*issue_price</f>
        <v>0.50115925044475</v>
      </c>
      <c r="H138" s="122" t="n">
        <f aca="false">Abroad!C9</f>
        <v>0.140806614282069</v>
      </c>
      <c r="I138" s="122" t="n">
        <f aca="false">Abroad!D9</f>
        <v>0</v>
      </c>
      <c r="J138" s="122" t="n">
        <f aca="false">'Champion funding'!D9-'Champion funding'!K9+'Champion funding'!Q9+'Champion funding'!R9</f>
        <v>0</v>
      </c>
      <c r="K138" s="107" t="n">
        <f aca="false">SUM(F138:J138)</f>
        <v>11.202461935882</v>
      </c>
      <c r="L138" s="107" t="n">
        <f aca="false">E138-K138</f>
        <v>4.29391150774334</v>
      </c>
      <c r="M138" s="107" t="n">
        <f aca="false">MAX(0,-L138)</f>
        <v>0</v>
      </c>
      <c r="N138" s="122" t="n">
        <f aca="false">'Capital accounts'!L9</f>
        <v>0</v>
      </c>
      <c r="O138" s="122" t="n">
        <f aca="false">'War credit'!E9</f>
        <v>0</v>
      </c>
      <c r="P138" s="124" t="n">
        <f aca="false">'War credit'!AC9</f>
        <v>0</v>
      </c>
      <c r="Q138" s="122" t="str">
        <f aca="false">IF(O138&gt;0,'War credit'!AD9,IF(N138&gt;0,"Project funding unallocated","Capacity is MODEL"))</f>
        <v>Capacity is MODEL</v>
      </c>
      <c r="R138" s="103"/>
      <c r="S138" s="103"/>
    </row>
    <row r="139" customFormat="false" ht="19.5" hidden="false" customHeight="true" outlineLevel="0" collapsed="false">
      <c r="A139" s="111" t="n">
        <v>1850</v>
      </c>
      <c r="B139" s="122" t="n">
        <f aca="false">Economy!O10*$E$25</f>
        <v>17.0143671616056</v>
      </c>
      <c r="C139" s="122" t="n">
        <f aca="false">MAX(0,Abroad!M10-Abroad!N10-Abroad!V10)*$E$27</f>
        <v>0.00731485583710744</v>
      </c>
      <c r="D139" s="122" t="n">
        <f aca="false">Abroad!F10</f>
        <v>0.00812761759678604</v>
      </c>
      <c r="E139" s="107" t="n">
        <f aca="false">SUM(B139:D139)</f>
        <v>17.0298096350395</v>
      </c>
      <c r="F139" s="122" t="n">
        <f aca="false">Economy!O10*IF(A139=1862,$E$38,IF(OR(AND(A139&gt;=1861,A139&lt;=1865),AND(A139&gt;=1870,A139&lt;=1871)),$E$37,$E$26))</f>
        <v>11.6007048829129</v>
      </c>
      <c r="G139" s="122" t="n">
        <f aca="false">'Debt &amp; cash'!Y10*issue_price</f>
        <v>0</v>
      </c>
      <c r="H139" s="122" t="n">
        <f aca="false">Abroad!C10</f>
        <v>0.154676065105506</v>
      </c>
      <c r="I139" s="122" t="n">
        <f aca="false">Abroad!D10</f>
        <v>0</v>
      </c>
      <c r="J139" s="122" t="n">
        <f aca="false">'Champion funding'!D10-'Champion funding'!K10+'Champion funding'!Q10+'Champion funding'!R10</f>
        <v>0</v>
      </c>
      <c r="K139" s="107" t="n">
        <f aca="false">SUM(F139:J139)</f>
        <v>11.7553809480184</v>
      </c>
      <c r="L139" s="107" t="n">
        <f aca="false">E139-K139</f>
        <v>5.2744286870211</v>
      </c>
      <c r="M139" s="107" t="n">
        <f aca="false">MAX(0,-L139)</f>
        <v>0</v>
      </c>
      <c r="N139" s="122" t="n">
        <f aca="false">'Capital accounts'!L10</f>
        <v>0</v>
      </c>
      <c r="O139" s="122" t="n">
        <f aca="false">'War credit'!E10</f>
        <v>0</v>
      </c>
      <c r="P139" s="124" t="n">
        <f aca="false">'War credit'!AC10</f>
        <v>0</v>
      </c>
      <c r="Q139" s="122" t="str">
        <f aca="false">IF(O139&gt;0,'War credit'!AD10,IF(N139&gt;0,"Project funding unallocated","Capacity is MODEL"))</f>
        <v>Capacity is MODEL</v>
      </c>
      <c r="R139" s="103"/>
      <c r="S139" s="103"/>
    </row>
    <row r="140" customFormat="false" ht="19.5" hidden="false" customHeight="true" outlineLevel="0" collapsed="false">
      <c r="A140" s="111" t="n">
        <v>1851</v>
      </c>
      <c r="B140" s="122" t="n">
        <f aca="false">Economy!O11*$E$25</f>
        <v>23.2526594370765</v>
      </c>
      <c r="C140" s="122" t="n">
        <f aca="false">MAX(0,Abroad!M11-Abroad!N11-Abroad!V11)*$E$27</f>
        <v>0.0112716639198429</v>
      </c>
      <c r="D140" s="122" t="n">
        <f aca="false">Abroad!F11</f>
        <v>0.0125240710220476</v>
      </c>
      <c r="E140" s="107" t="n">
        <f aca="false">SUM(B140:D140)</f>
        <v>23.2764551720184</v>
      </c>
      <c r="F140" s="122" t="n">
        <f aca="false">Economy!O11*IF(A140=1862,$E$38,IF(OR(AND(A140&gt;=1861,A140&lt;=1865),AND(A140&gt;=1870,A140&lt;=1871)),$E$37,$E$26))</f>
        <v>15.8540859798249</v>
      </c>
      <c r="G140" s="122" t="n">
        <f aca="false">'Debt &amp; cash'!Y11*issue_price</f>
        <v>0</v>
      </c>
      <c r="H140" s="122" t="n">
        <f aca="false">Abroad!C11</f>
        <v>0.211387813064332</v>
      </c>
      <c r="I140" s="122" t="n">
        <f aca="false">Abroad!D11</f>
        <v>0</v>
      </c>
      <c r="J140" s="122" t="n">
        <f aca="false">'Champion funding'!D11-'Champion funding'!K11+'Champion funding'!Q11+'Champion funding'!R11</f>
        <v>0</v>
      </c>
      <c r="K140" s="107" t="n">
        <f aca="false">SUM(F140:J140)</f>
        <v>16.0654737928892</v>
      </c>
      <c r="L140" s="107" t="n">
        <f aca="false">E140-K140</f>
        <v>7.21098137912917</v>
      </c>
      <c r="M140" s="107" t="n">
        <f aca="false">MAX(0,-L140)</f>
        <v>0</v>
      </c>
      <c r="N140" s="122" t="n">
        <f aca="false">'Capital accounts'!L11</f>
        <v>0</v>
      </c>
      <c r="O140" s="122" t="n">
        <f aca="false">'War credit'!E11</f>
        <v>0</v>
      </c>
      <c r="P140" s="124" t="n">
        <f aca="false">'War credit'!AC11</f>
        <v>0</v>
      </c>
      <c r="Q140" s="122" t="str">
        <f aca="false">IF(O140&gt;0,'War credit'!AD11,IF(N140&gt;0,"Project funding unallocated","Capacity is MODEL"))</f>
        <v>Capacity is MODEL</v>
      </c>
      <c r="R140" s="103"/>
      <c r="S140" s="103"/>
    </row>
    <row r="141" customFormat="false" ht="19.5" hidden="false" customHeight="true" outlineLevel="0" collapsed="false">
      <c r="A141" s="111" t="n">
        <v>1852</v>
      </c>
      <c r="B141" s="122" t="n">
        <f aca="false">Economy!O12*$E$25</f>
        <v>26.1365180179722</v>
      </c>
      <c r="C141" s="122" t="n">
        <f aca="false">MAX(0,Abroad!M12-Abroad!N12-Abroad!V12)*$E$27</f>
        <v>0.0166409849549845</v>
      </c>
      <c r="D141" s="122" t="n">
        <f aca="false">Abroad!F12</f>
        <v>0.0184899832833162</v>
      </c>
      <c r="E141" s="107" t="n">
        <f aca="false">SUM(B141:D141)</f>
        <v>26.1716489862105</v>
      </c>
      <c r="F141" s="122" t="n">
        <f aca="false">Economy!O12*IF(A141=1862,$E$38,IF(OR(AND(A141&gt;=1861,A141&lt;=1865),AND(A141&gt;=1870,A141&lt;=1871)),$E$37,$E$26))</f>
        <v>17.820353194072</v>
      </c>
      <c r="G141" s="122" t="n">
        <f aca="false">'Debt &amp; cash'!Y12*issue_price</f>
        <v>0</v>
      </c>
      <c r="H141" s="122" t="n">
        <f aca="false">Abroad!C12</f>
        <v>0.237604709254293</v>
      </c>
      <c r="I141" s="122" t="n">
        <f aca="false">Abroad!D12</f>
        <v>0</v>
      </c>
      <c r="J141" s="122" t="n">
        <f aca="false">'Champion funding'!D12-'Champion funding'!K12+'Champion funding'!Q12+'Champion funding'!R12</f>
        <v>0</v>
      </c>
      <c r="K141" s="107" t="n">
        <f aca="false">SUM(F141:J141)</f>
        <v>18.0579579033263</v>
      </c>
      <c r="L141" s="107" t="n">
        <f aca="false">E141-K141</f>
        <v>8.11369108288426</v>
      </c>
      <c r="M141" s="107" t="n">
        <f aca="false">MAX(0,-L141)</f>
        <v>0</v>
      </c>
      <c r="N141" s="122" t="n">
        <f aca="false">'Capital accounts'!L12</f>
        <v>0</v>
      </c>
      <c r="O141" s="122" t="n">
        <f aca="false">'War credit'!E12</f>
        <v>0</v>
      </c>
      <c r="P141" s="124" t="n">
        <f aca="false">'War credit'!AC12</f>
        <v>0</v>
      </c>
      <c r="Q141" s="122" t="str">
        <f aca="false">IF(O141&gt;0,'War credit'!AD12,IF(N141&gt;0,"Project funding unallocated","Capacity is MODEL"))</f>
        <v>Capacity is MODEL</v>
      </c>
      <c r="R141" s="103"/>
      <c r="S141" s="103"/>
    </row>
    <row r="142" customFormat="false" ht="19.5" hidden="false" customHeight="true" outlineLevel="0" collapsed="false">
      <c r="A142" s="111" t="n">
        <v>1853</v>
      </c>
      <c r="B142" s="122" t="n">
        <f aca="false">Economy!O13*$E$25</f>
        <v>26.2272266292585</v>
      </c>
      <c r="C142" s="122" t="n">
        <f aca="false">MAX(0,Abroad!M13-Abroad!N13-Abroad!V13)*$E$27</f>
        <v>0.0225570825562009</v>
      </c>
      <c r="D142" s="122" t="n">
        <f aca="false">Abroad!F13</f>
        <v>0.0250634250624455</v>
      </c>
      <c r="E142" s="107" t="n">
        <f aca="false">SUM(B142:D142)</f>
        <v>26.2748471368772</v>
      </c>
      <c r="F142" s="122" t="n">
        <f aca="false">Economy!O13*IF(A142=1862,$E$38,IF(OR(AND(A142&gt;=1861,A142&lt;=1865),AND(A142&gt;=1870,A142&lt;=1871)),$E$37,$E$26))</f>
        <v>17.8821999744944</v>
      </c>
      <c r="G142" s="122" t="n">
        <f aca="false">'Debt &amp; cash'!Y13*issue_price</f>
        <v>0</v>
      </c>
      <c r="H142" s="122" t="n">
        <f aca="false">Abroad!C13</f>
        <v>0.238429332993259</v>
      </c>
      <c r="I142" s="122" t="n">
        <f aca="false">Abroad!D13</f>
        <v>0</v>
      </c>
      <c r="J142" s="122" t="n">
        <f aca="false">'Champion funding'!D13-'Champion funding'!K13+'Champion funding'!Q13+'Champion funding'!R13</f>
        <v>0</v>
      </c>
      <c r="K142" s="107" t="n">
        <f aca="false">SUM(F142:J142)</f>
        <v>18.1206293074877</v>
      </c>
      <c r="L142" s="107" t="n">
        <f aca="false">E142-K142</f>
        <v>8.15421782938946</v>
      </c>
      <c r="M142" s="107" t="n">
        <f aca="false">MAX(0,-L142)</f>
        <v>0</v>
      </c>
      <c r="N142" s="122" t="n">
        <f aca="false">'Capital accounts'!L13</f>
        <v>0</v>
      </c>
      <c r="O142" s="122" t="n">
        <f aca="false">'War credit'!E13</f>
        <v>0</v>
      </c>
      <c r="P142" s="124" t="n">
        <f aca="false">'War credit'!AC13</f>
        <v>0</v>
      </c>
      <c r="Q142" s="122" t="str">
        <f aca="false">IF(O142&gt;0,'War credit'!AD13,IF(N142&gt;0,"Project funding unallocated","Capacity is MODEL"))</f>
        <v>Capacity is MODEL</v>
      </c>
      <c r="R142" s="103"/>
      <c r="S142" s="103"/>
    </row>
    <row r="143" customFormat="false" ht="19.5" hidden="false" customHeight="true" outlineLevel="0" collapsed="false">
      <c r="A143" s="111" t="n">
        <v>1854</v>
      </c>
      <c r="B143" s="122" t="n">
        <f aca="false">Economy!O14*$E$25</f>
        <v>28.2240995215763</v>
      </c>
      <c r="C143" s="122" t="n">
        <f aca="false">MAX(0,Abroad!M14-Abroad!N14-Abroad!V14)*$E$27</f>
        <v>0.0283179620703329</v>
      </c>
      <c r="D143" s="122" t="n">
        <f aca="false">Abroad!F14</f>
        <v>0.0314644023003699</v>
      </c>
      <c r="E143" s="107" t="n">
        <f aca="false">SUM(B143:D143)</f>
        <v>28.283881885947</v>
      </c>
      <c r="F143" s="122" t="n">
        <f aca="false">Economy!O14*IF(A143=1862,$E$38,IF(OR(AND(A143&gt;=1861,A143&lt;=1865),AND(A143&gt;=1870,A143&lt;=1871)),$E$37,$E$26))</f>
        <v>19.2437042192566</v>
      </c>
      <c r="G143" s="122" t="n">
        <f aca="false">'Debt &amp; cash'!Y14*issue_price</f>
        <v>0</v>
      </c>
      <c r="H143" s="122" t="n">
        <f aca="false">Abroad!C14</f>
        <v>0.256582722923421</v>
      </c>
      <c r="I143" s="122" t="n">
        <f aca="false">Abroad!D14</f>
        <v>0</v>
      </c>
      <c r="J143" s="122" t="n">
        <f aca="false">'Champion funding'!D14-'Champion funding'!K14+'Champion funding'!Q14+'Champion funding'!R14</f>
        <v>0</v>
      </c>
      <c r="K143" s="107" t="n">
        <f aca="false">SUM(F143:J143)</f>
        <v>19.50028694218</v>
      </c>
      <c r="L143" s="107" t="n">
        <f aca="false">E143-K143</f>
        <v>8.78359494376702</v>
      </c>
      <c r="M143" s="107" t="n">
        <f aca="false">MAX(0,-L143)</f>
        <v>0</v>
      </c>
      <c r="N143" s="122" t="n">
        <f aca="false">'Capital accounts'!L14</f>
        <v>0</v>
      </c>
      <c r="O143" s="122" t="n">
        <f aca="false">'War credit'!E14</f>
        <v>0</v>
      </c>
      <c r="P143" s="124" t="n">
        <f aca="false">'War credit'!AC14</f>
        <v>0</v>
      </c>
      <c r="Q143" s="122" t="str">
        <f aca="false">IF(O143&gt;0,'War credit'!AD14,IF(N143&gt;0,"Project funding unallocated","Capacity is MODEL"))</f>
        <v>Capacity is MODEL</v>
      </c>
      <c r="R143" s="103"/>
      <c r="S143" s="103"/>
    </row>
    <row r="144" customFormat="false" ht="19.5" hidden="false" customHeight="true" outlineLevel="0" collapsed="false">
      <c r="A144" s="111" t="n">
        <v>1855</v>
      </c>
      <c r="B144" s="122" t="n">
        <f aca="false">Economy!O15*$E$25</f>
        <v>27.6734363909081</v>
      </c>
      <c r="C144" s="122" t="n">
        <f aca="false">MAX(0,Abroad!M15-Abroad!N15-Abroad!V15)*$E$27</f>
        <v>0.0343961567271553</v>
      </c>
      <c r="D144" s="122" t="n">
        <f aca="false">Abroad!F15</f>
        <v>0.0382179519190614</v>
      </c>
      <c r="E144" s="107" t="n">
        <f aca="false">SUM(B144:D144)</f>
        <v>27.7460504995543</v>
      </c>
      <c r="F144" s="122" t="n">
        <f aca="false">Economy!O15*IF(A144=1862,$E$38,IF(OR(AND(A144&gt;=1861,A144&lt;=1865),AND(A144&gt;=1870,A144&lt;=1871)),$E$37,$E$26))</f>
        <v>18.8682520847101</v>
      </c>
      <c r="G144" s="122" t="n">
        <f aca="false">'Debt &amp; cash'!Y15*issue_price</f>
        <v>0</v>
      </c>
      <c r="H144" s="122" t="n">
        <f aca="false">Abroad!C15</f>
        <v>0.251576694462801</v>
      </c>
      <c r="I144" s="122" t="n">
        <f aca="false">Abroad!D15</f>
        <v>0</v>
      </c>
      <c r="J144" s="122" t="n">
        <f aca="false">'Champion funding'!D15-'Champion funding'!K15+'Champion funding'!Q15+'Champion funding'!R15</f>
        <v>0</v>
      </c>
      <c r="K144" s="107" t="n">
        <f aca="false">SUM(F144:J144)</f>
        <v>19.1198287791729</v>
      </c>
      <c r="L144" s="107" t="n">
        <f aca="false">E144-K144</f>
        <v>8.62622172038146</v>
      </c>
      <c r="M144" s="107" t="n">
        <f aca="false">MAX(0,-L144)</f>
        <v>0</v>
      </c>
      <c r="N144" s="122" t="n">
        <f aca="false">'Capital accounts'!L15</f>
        <v>0</v>
      </c>
      <c r="O144" s="122" t="n">
        <f aca="false">'War credit'!E15</f>
        <v>0</v>
      </c>
      <c r="P144" s="124" t="n">
        <f aca="false">'War credit'!AC15</f>
        <v>0</v>
      </c>
      <c r="Q144" s="122" t="str">
        <f aca="false">IF(O144&gt;0,'War credit'!AD15,IF(N144&gt;0,"Project funding unallocated","Capacity is MODEL"))</f>
        <v>Capacity is MODEL</v>
      </c>
      <c r="R144" s="103"/>
      <c r="S144" s="103"/>
    </row>
    <row r="145" customFormat="false" ht="19.5" hidden="false" customHeight="true" outlineLevel="0" collapsed="false">
      <c r="A145" s="111" t="n">
        <v>1856</v>
      </c>
      <c r="B145" s="122" t="n">
        <f aca="false">Economy!O16*$E$25</f>
        <v>31.1297184918163</v>
      </c>
      <c r="C145" s="122" t="n">
        <f aca="false">MAX(0,Abroad!M16-Abroad!N16-Abroad!V16)*$E$27</f>
        <v>0.0401568427758362</v>
      </c>
      <c r="D145" s="122" t="n">
        <f aca="false">Abroad!F16</f>
        <v>0.0446187141953736</v>
      </c>
      <c r="E145" s="107" t="n">
        <f aca="false">SUM(B145:D145)</f>
        <v>31.2144940487876</v>
      </c>
      <c r="F145" s="122" t="n">
        <f aca="false">Economy!O16*IF(A145=1862,$E$38,IF(OR(AND(A145&gt;=1861,A145&lt;=1865),AND(A145&gt;=1870,A145&lt;=1871)),$E$37,$E$26))</f>
        <v>21.2248080626021</v>
      </c>
      <c r="G145" s="122" t="n">
        <f aca="false">'Debt &amp; cash'!Y16*issue_price</f>
        <v>0</v>
      </c>
      <c r="H145" s="122" t="n">
        <f aca="false">Abroad!C16</f>
        <v>0.282997440834694</v>
      </c>
      <c r="I145" s="122" t="n">
        <f aca="false">Abroad!D16</f>
        <v>0</v>
      </c>
      <c r="J145" s="122" t="n">
        <f aca="false">'Champion funding'!D16-'Champion funding'!K16+'Champion funding'!Q16+'Champion funding'!R16</f>
        <v>0</v>
      </c>
      <c r="K145" s="107" t="n">
        <f aca="false">SUM(F145:J145)</f>
        <v>21.5078055034367</v>
      </c>
      <c r="L145" s="107" t="n">
        <f aca="false">E145-K145</f>
        <v>9.70668854535081</v>
      </c>
      <c r="M145" s="107" t="n">
        <f aca="false">MAX(0,-L145)</f>
        <v>0</v>
      </c>
      <c r="N145" s="122" t="n">
        <f aca="false">'Capital accounts'!L16</f>
        <v>0</v>
      </c>
      <c r="O145" s="122" t="n">
        <f aca="false">'War credit'!E16</f>
        <v>0</v>
      </c>
      <c r="P145" s="124" t="n">
        <f aca="false">'War credit'!AC16</f>
        <v>0</v>
      </c>
      <c r="Q145" s="122" t="str">
        <f aca="false">IF(O145&gt;0,'War credit'!AD16,IF(N145&gt;0,"Project funding unallocated","Capacity is MODEL"))</f>
        <v>Capacity is MODEL</v>
      </c>
      <c r="R145" s="103"/>
      <c r="S145" s="103"/>
    </row>
    <row r="146" customFormat="false" ht="19.5" hidden="false" customHeight="true" outlineLevel="0" collapsed="false">
      <c r="A146" s="111" t="n">
        <v>1857</v>
      </c>
      <c r="B146" s="122" t="n">
        <f aca="false">Economy!O17*$E$25</f>
        <v>31.5616907277981</v>
      </c>
      <c r="C146" s="122" t="n">
        <f aca="false">MAX(0,Abroad!M17-Abroad!N17-Abroad!V17)*$E$27</f>
        <v>0.0465930683950979</v>
      </c>
      <c r="D146" s="122" t="n">
        <f aca="false">Abroad!F17</f>
        <v>0.0517700759945532</v>
      </c>
      <c r="E146" s="107" t="n">
        <f aca="false">SUM(B146:D146)</f>
        <v>31.6600538721878</v>
      </c>
      <c r="F146" s="122" t="n">
        <f aca="false">Economy!O17*IF(A146=1862,$E$38,IF(OR(AND(A146&gt;=1861,A146&lt;=1865),AND(A146&gt;=1870,A146&lt;=1871)),$E$37,$E$26))</f>
        <v>21.5193345871351</v>
      </c>
      <c r="G146" s="122" t="n">
        <f aca="false">'Debt &amp; cash'!Y17*issue_price</f>
        <v>0</v>
      </c>
      <c r="H146" s="122" t="n">
        <f aca="false">Abroad!C17</f>
        <v>0.286924461161801</v>
      </c>
      <c r="I146" s="122" t="n">
        <f aca="false">Abroad!D17</f>
        <v>0</v>
      </c>
      <c r="J146" s="122" t="n">
        <f aca="false">'Champion funding'!D17-'Champion funding'!K17+'Champion funding'!Q17+'Champion funding'!R17</f>
        <v>0</v>
      </c>
      <c r="K146" s="107" t="n">
        <f aca="false">SUM(F146:J146)</f>
        <v>21.8062590482969</v>
      </c>
      <c r="L146" s="107" t="n">
        <f aca="false">E146-K146</f>
        <v>9.85379482389089</v>
      </c>
      <c r="M146" s="107" t="n">
        <f aca="false">MAX(0,-L146)</f>
        <v>0</v>
      </c>
      <c r="N146" s="122" t="n">
        <f aca="false">'Capital accounts'!L17</f>
        <v>0</v>
      </c>
      <c r="O146" s="122" t="n">
        <f aca="false">'War credit'!E17</f>
        <v>0</v>
      </c>
      <c r="P146" s="124" t="n">
        <f aca="false">'War credit'!AC17</f>
        <v>0</v>
      </c>
      <c r="Q146" s="122" t="str">
        <f aca="false">IF(O146&gt;0,'War credit'!AD17,IF(N146&gt;0,"Project funding unallocated","Capacity is MODEL"))</f>
        <v>Capacity is MODEL</v>
      </c>
      <c r="R146" s="103"/>
      <c r="S146" s="103"/>
    </row>
    <row r="147" customFormat="false" ht="19.5" hidden="false" customHeight="true" outlineLevel="0" collapsed="false">
      <c r="A147" s="111" t="n">
        <v>1858</v>
      </c>
      <c r="B147" s="122" t="n">
        <f aca="false">Economy!O18*$E$25</f>
        <v>34.2441678440014</v>
      </c>
      <c r="C147" s="122" t="n">
        <f aca="false">MAX(0,Abroad!M18-Abroad!N18-Abroad!V18)*$E$27</f>
        <v>0.0529422367946136</v>
      </c>
      <c r="D147" s="122" t="n">
        <f aca="false">Abroad!F18</f>
        <v>0.0588247075495707</v>
      </c>
      <c r="E147" s="107" t="n">
        <f aca="false">SUM(B147:D147)</f>
        <v>34.3559347883456</v>
      </c>
      <c r="F147" s="122" t="n">
        <f aca="false">Economy!O18*IF(A147=1862,$E$38,IF(OR(AND(A147&gt;=1861,A147&lt;=1865),AND(A147&gt;=1870,A147&lt;=1871)),$E$37,$E$26))</f>
        <v>23.3482962572737</v>
      </c>
      <c r="G147" s="122" t="n">
        <f aca="false">'Debt &amp; cash'!Y18*issue_price</f>
        <v>0</v>
      </c>
      <c r="H147" s="122" t="n">
        <f aca="false">Abroad!C18</f>
        <v>0.31131061676365</v>
      </c>
      <c r="I147" s="122" t="n">
        <f aca="false">Abroad!D18</f>
        <v>0</v>
      </c>
      <c r="J147" s="122" t="n">
        <f aca="false">'Champion funding'!D18-'Champion funding'!K18+'Champion funding'!Q18+'Champion funding'!R18</f>
        <v>0</v>
      </c>
      <c r="K147" s="107" t="n">
        <f aca="false">SUM(F147:J147)</f>
        <v>23.6596068740374</v>
      </c>
      <c r="L147" s="107" t="n">
        <f aca="false">E147-K147</f>
        <v>10.6963279143083</v>
      </c>
      <c r="M147" s="107" t="n">
        <f aca="false">MAX(0,-L147)</f>
        <v>0</v>
      </c>
      <c r="N147" s="122" t="n">
        <f aca="false">'Capital accounts'!L18</f>
        <v>0</v>
      </c>
      <c r="O147" s="122" t="n">
        <f aca="false">'War credit'!E18</f>
        <v>0</v>
      </c>
      <c r="P147" s="124" t="n">
        <f aca="false">'War credit'!AC18</f>
        <v>0</v>
      </c>
      <c r="Q147" s="122" t="str">
        <f aca="false">IF(O147&gt;0,'War credit'!AD18,IF(N147&gt;0,"Project funding unallocated","Capacity is MODEL"))</f>
        <v>Capacity is MODEL</v>
      </c>
      <c r="R147" s="103"/>
      <c r="S147" s="103"/>
    </row>
    <row r="148" customFormat="false" ht="19.5" hidden="false" customHeight="true" outlineLevel="0" collapsed="false">
      <c r="A148" s="111" t="n">
        <v>1859</v>
      </c>
      <c r="B148" s="122" t="n">
        <f aca="false">Economy!O19*$E$25</f>
        <v>36.5305120685875</v>
      </c>
      <c r="C148" s="122" t="n">
        <f aca="false">MAX(0,Abroad!M19-Abroad!N19-Abroad!V19)*$E$27</f>
        <v>0.0597593563433937</v>
      </c>
      <c r="D148" s="122" t="n">
        <f aca="false">Abroad!F19</f>
        <v>0.066399284825993</v>
      </c>
      <c r="E148" s="107" t="n">
        <f aca="false">SUM(B148:D148)</f>
        <v>36.6566707097568</v>
      </c>
      <c r="F148" s="122" t="n">
        <f aca="false">Economy!O19*IF(A148=1862,$E$38,IF(OR(AND(A148&gt;=1861,A148&lt;=1865),AND(A148&gt;=1870,A148&lt;=1871)),$E$37,$E$26))</f>
        <v>24.9071673194915</v>
      </c>
      <c r="G148" s="122" t="n">
        <f aca="false">'Debt &amp; cash'!Y19*issue_price</f>
        <v>0</v>
      </c>
      <c r="H148" s="122" t="n">
        <f aca="false">Abroad!C19</f>
        <v>0.332095564259886</v>
      </c>
      <c r="I148" s="122" t="n">
        <f aca="false">Abroad!D19</f>
        <v>0</v>
      </c>
      <c r="J148" s="122" t="n">
        <f aca="false">'Champion funding'!D19-'Champion funding'!K19+'Champion funding'!Q19+'Champion funding'!R19</f>
        <v>0</v>
      </c>
      <c r="K148" s="107" t="n">
        <f aca="false">SUM(F148:J148)</f>
        <v>25.2392628837513</v>
      </c>
      <c r="L148" s="107" t="n">
        <f aca="false">E148-K148</f>
        <v>11.4174078260055</v>
      </c>
      <c r="M148" s="107" t="n">
        <f aca="false">MAX(0,-L148)</f>
        <v>0</v>
      </c>
      <c r="N148" s="122" t="n">
        <f aca="false">'Capital accounts'!L19</f>
        <v>0</v>
      </c>
      <c r="O148" s="122" t="n">
        <f aca="false">'War credit'!E19</f>
        <v>0</v>
      </c>
      <c r="P148" s="124" t="n">
        <f aca="false">'War credit'!AC19</f>
        <v>0</v>
      </c>
      <c r="Q148" s="122" t="str">
        <f aca="false">IF(O148&gt;0,'War credit'!AD19,IF(N148&gt;0,"Project funding unallocated","Capacity is MODEL"))</f>
        <v>Capacity is MODEL</v>
      </c>
      <c r="R148" s="103"/>
      <c r="S148" s="103"/>
    </row>
    <row r="149" customFormat="false" ht="19.5" hidden="false" customHeight="true" outlineLevel="0" collapsed="false">
      <c r="A149" s="111" t="n">
        <v>1860</v>
      </c>
      <c r="B149" s="122" t="n">
        <f aca="false">Economy!O20*$E$25</f>
        <v>38.5011808115611</v>
      </c>
      <c r="C149" s="122" t="n">
        <f aca="false">MAX(0,Abroad!M20-Abroad!N20-Abroad!V20)*$E$27</f>
        <v>0.0669331558881088</v>
      </c>
      <c r="D149" s="122" t="n">
        <f aca="false">Abroad!F20</f>
        <v>0.0743701732090098</v>
      </c>
      <c r="E149" s="107" t="n">
        <f aca="false">SUM(B149:D149)</f>
        <v>38.6424841406582</v>
      </c>
      <c r="F149" s="122" t="n">
        <f aca="false">Economy!O20*IF(A149=1862,$E$38,IF(OR(AND(A149&gt;=1861,A149&lt;=1865),AND(A149&gt;=1870,A149&lt;=1871)),$E$37,$E$26))</f>
        <v>26.2508050987916</v>
      </c>
      <c r="G149" s="122" t="n">
        <f aca="false">'Debt &amp; cash'!Y20*issue_price</f>
        <v>4.02122599827158</v>
      </c>
      <c r="H149" s="122" t="n">
        <f aca="false">Abroad!C20</f>
        <v>0.350010734650555</v>
      </c>
      <c r="I149" s="122" t="n">
        <f aca="false">Abroad!D20</f>
        <v>0</v>
      </c>
      <c r="J149" s="122" t="n">
        <f aca="false">'Champion funding'!D20-'Champion funding'!K20+'Champion funding'!Q20+'Champion funding'!R20</f>
        <v>0</v>
      </c>
      <c r="K149" s="107" t="n">
        <f aca="false">SUM(F149:J149)</f>
        <v>30.6220418317138</v>
      </c>
      <c r="L149" s="107" t="n">
        <f aca="false">E149-K149</f>
        <v>8.02044230894441</v>
      </c>
      <c r="M149" s="107" t="n">
        <f aca="false">MAX(0,-L149)</f>
        <v>0</v>
      </c>
      <c r="N149" s="122" t="n">
        <f aca="false">'Capital accounts'!L20</f>
        <v>0</v>
      </c>
      <c r="O149" s="122" t="n">
        <f aca="false">'War credit'!E20</f>
        <v>0</v>
      </c>
      <c r="P149" s="124" t="n">
        <f aca="false">'War credit'!AC20</f>
        <v>0</v>
      </c>
      <c r="Q149" s="122" t="str">
        <f aca="false">IF(O149&gt;0,'War credit'!AD20,IF(N149&gt;0,"Project funding unallocated","Capacity is MODEL"))</f>
        <v>Capacity is MODEL</v>
      </c>
      <c r="R149" s="103"/>
      <c r="S149" s="103"/>
    </row>
    <row r="150" customFormat="false" ht="19.5" hidden="false" customHeight="true" outlineLevel="0" collapsed="false">
      <c r="A150" s="111" t="n">
        <v>1861</v>
      </c>
      <c r="B150" s="122" t="n">
        <f aca="false">Economy!O21*$E$25</f>
        <v>39.7027230320593</v>
      </c>
      <c r="C150" s="122" t="n">
        <f aca="false">MAX(0,Abroad!M21-Abroad!N21-Abroad!V21)*$E$27</f>
        <v>0.0743754510470306</v>
      </c>
      <c r="D150" s="122" t="n">
        <f aca="false">Abroad!F21</f>
        <v>0.0826393900522562</v>
      </c>
      <c r="E150" s="107" t="n">
        <f aca="false">SUM(B150:D150)</f>
        <v>39.8597378731585</v>
      </c>
      <c r="F150" s="122" t="n">
        <f aca="false">Economy!O21*IF(A150=1862,$E$38,IF(OR(AND(A150&gt;=1861,A150&lt;=1865),AND(A150&gt;=1870,A150&lt;=1871)),$E$37,$E$26))</f>
        <v>23.4606999734896</v>
      </c>
      <c r="G150" s="122" t="n">
        <f aca="false">'Debt &amp; cash'!Y21*issue_price</f>
        <v>10.3463818128021</v>
      </c>
      <c r="H150" s="122" t="n">
        <f aca="false">Abroad!C21</f>
        <v>0.360933845745993</v>
      </c>
      <c r="I150" s="122" t="n">
        <f aca="false">Abroad!D21</f>
        <v>0</v>
      </c>
      <c r="J150" s="122" t="n">
        <f aca="false">'Champion funding'!D21-'Champion funding'!K21+'Champion funding'!Q21+'Champion funding'!R21</f>
        <v>0</v>
      </c>
      <c r="K150" s="107" t="n">
        <f aca="false">SUM(F150:J150)</f>
        <v>34.1680156320376</v>
      </c>
      <c r="L150" s="107" t="n">
        <f aca="false">E150-K150</f>
        <v>5.69172224112093</v>
      </c>
      <c r="M150" s="107" t="n">
        <f aca="false">MAX(0,-L150)</f>
        <v>0</v>
      </c>
      <c r="N150" s="122" t="n">
        <f aca="false">'Capital accounts'!L21</f>
        <v>0</v>
      </c>
      <c r="O150" s="122" t="n">
        <f aca="false">'War credit'!E21</f>
        <v>0</v>
      </c>
      <c r="P150" s="124" t="n">
        <f aca="false">'War credit'!AC21</f>
        <v>0</v>
      </c>
      <c r="Q150" s="122" t="str">
        <f aca="false">IF(O150&gt;0,'War credit'!AD21,IF(N150&gt;0,"Project funding unallocated","Capacity is MODEL"))</f>
        <v>Capacity is MODEL</v>
      </c>
      <c r="R150" s="103"/>
      <c r="S150" s="103"/>
    </row>
    <row r="151" customFormat="false" ht="19.5" hidden="false" customHeight="true" outlineLevel="0" collapsed="false">
      <c r="A151" s="111" t="n">
        <v>1862</v>
      </c>
      <c r="B151" s="122" t="n">
        <f aca="false">Economy!O22*$E$25</f>
        <v>45.7503702379609</v>
      </c>
      <c r="C151" s="122" t="n">
        <f aca="false">MAX(0,Abroad!M22-Abroad!N22-Abroad!V22)*$E$27</f>
        <v>0.0818894013507615</v>
      </c>
      <c r="D151" s="122" t="n">
        <f aca="false">Abroad!F22</f>
        <v>0.0909882237230683</v>
      </c>
      <c r="E151" s="107" t="n">
        <f aca="false">SUM(B151:D151)</f>
        <v>45.9232478630348</v>
      </c>
      <c r="F151" s="122" t="n">
        <f aca="false">Economy!O22*IF(A151=1862,$E$38,IF(OR(AND(A151&gt;=1861,A151&lt;=1865),AND(A151&gt;=1870,A151&lt;=1871)),$E$37,$E$26))</f>
        <v>25.5786160875872</v>
      </c>
      <c r="G151" s="122" t="n">
        <f aca="false">'Debt &amp; cash'!Y22*issue_price</f>
        <v>19.8446864680553</v>
      </c>
      <c r="H151" s="122" t="n">
        <f aca="false">Abroad!C22</f>
        <v>0.415912456708736</v>
      </c>
      <c r="I151" s="122" t="n">
        <f aca="false">Abroad!D22</f>
        <v>0</v>
      </c>
      <c r="J151" s="122" t="n">
        <f aca="false">'Champion funding'!D22-'Champion funding'!K22+'Champion funding'!Q22+'Champion funding'!R22</f>
        <v>0</v>
      </c>
      <c r="K151" s="107" t="n">
        <f aca="false">SUM(F151:J151)</f>
        <v>45.8392150123513</v>
      </c>
      <c r="L151" s="107" t="n">
        <f aca="false">E151-K151</f>
        <v>0.0840328506835135</v>
      </c>
      <c r="M151" s="107" t="n">
        <f aca="false">MAX(0,-L151)</f>
        <v>0</v>
      </c>
      <c r="N151" s="122" t="n">
        <f aca="false">'Capital accounts'!L22</f>
        <v>0</v>
      </c>
      <c r="O151" s="122" t="n">
        <f aca="false">'War credit'!E22</f>
        <v>0</v>
      </c>
      <c r="P151" s="124" t="n">
        <f aca="false">'War credit'!AC22</f>
        <v>0</v>
      </c>
      <c r="Q151" s="122" t="str">
        <f aca="false">IF(O151&gt;0,'War credit'!AD22,IF(N151&gt;0,"Project funding unallocated","Capacity is MODEL"))</f>
        <v>Capacity is MODEL</v>
      </c>
      <c r="R151" s="103"/>
      <c r="S151" s="103"/>
    </row>
    <row r="152" customFormat="false" ht="19.5" hidden="false" customHeight="true" outlineLevel="0" collapsed="false">
      <c r="A152" s="111" t="n">
        <v>1863</v>
      </c>
      <c r="B152" s="122" t="n">
        <f aca="false">Economy!O23*$E$25</f>
        <v>57.0142601184127</v>
      </c>
      <c r="C152" s="122" t="n">
        <f aca="false">MAX(0,Abroad!M23-Abroad!N23-Abroad!V23)*$E$27</f>
        <v>0.0906623556413745</v>
      </c>
      <c r="D152" s="122" t="n">
        <f aca="false">Abroad!F23</f>
        <v>0.100735950712638</v>
      </c>
      <c r="E152" s="107" t="n">
        <f aca="false">SUM(B152:D152)</f>
        <v>57.2056584247667</v>
      </c>
      <c r="F152" s="122" t="n">
        <f aca="false">Economy!O23*IF(A152=1862,$E$38,IF(OR(AND(A152&gt;=1861,A152&lt;=1865),AND(A152&gt;=1870,A152&lt;=1871)),$E$37,$E$26))</f>
        <v>33.6902446154257</v>
      </c>
      <c r="G152" s="122" t="n">
        <f aca="false">'Debt &amp; cash'!Y23*issue_price</f>
        <v>22.7253071562635</v>
      </c>
      <c r="H152" s="122" t="n">
        <f aca="false">Abroad!C23</f>
        <v>0.518311455621933</v>
      </c>
      <c r="I152" s="122" t="n">
        <f aca="false">Abroad!D23</f>
        <v>0</v>
      </c>
      <c r="J152" s="122" t="n">
        <f aca="false">'Champion funding'!D23-'Champion funding'!K23+'Champion funding'!Q23+'Champion funding'!R23</f>
        <v>0</v>
      </c>
      <c r="K152" s="107" t="n">
        <f aca="false">SUM(F152:J152)</f>
        <v>56.9338632273111</v>
      </c>
      <c r="L152" s="107" t="n">
        <f aca="false">E152-K152</f>
        <v>0.271795197455553</v>
      </c>
      <c r="M152" s="107" t="n">
        <f aca="false">MAX(0,-L152)</f>
        <v>0</v>
      </c>
      <c r="N152" s="122" t="n">
        <f aca="false">'Capital accounts'!L23</f>
        <v>0</v>
      </c>
      <c r="O152" s="122" t="n">
        <f aca="false">'War credit'!E23</f>
        <v>0</v>
      </c>
      <c r="P152" s="124" t="n">
        <f aca="false">'War credit'!AC23</f>
        <v>0</v>
      </c>
      <c r="Q152" s="122" t="str">
        <f aca="false">IF(O152&gt;0,'War credit'!AD23,IF(N152&gt;0,"Project funding unallocated","Capacity is MODEL"))</f>
        <v>Capacity is MODEL</v>
      </c>
      <c r="R152" s="103"/>
      <c r="S152" s="103"/>
    </row>
    <row r="153" customFormat="false" ht="19.5" hidden="false" customHeight="true" outlineLevel="0" collapsed="false">
      <c r="A153" s="111" t="n">
        <v>1864</v>
      </c>
      <c r="B153" s="122" t="n">
        <f aca="false">Economy!O24*$E$25</f>
        <v>69.1869619030282</v>
      </c>
      <c r="C153" s="122" t="n">
        <f aca="false">MAX(0,Abroad!M24-Abroad!N24-Abroad!V24)*$E$27</f>
        <v>0.101936894273925</v>
      </c>
      <c r="D153" s="122" t="n">
        <f aca="false">Abroad!F24</f>
        <v>0.113263215859917</v>
      </c>
      <c r="E153" s="107" t="n">
        <f aca="false">SUM(B153:D153)</f>
        <v>69.4021620131621</v>
      </c>
      <c r="F153" s="122" t="n">
        <f aca="false">Economy!O24*IF(A153=1862,$E$38,IF(OR(AND(A153&gt;=1861,A153&lt;=1865),AND(A153&gt;=1870,A153&lt;=1871)),$E$37,$E$26))</f>
        <v>40.8832047608803</v>
      </c>
      <c r="G153" s="122" t="n">
        <f aca="false">'Debt &amp; cash'!Y24*issue_price</f>
        <v>21.8500022545367</v>
      </c>
      <c r="H153" s="122" t="n">
        <f aca="false">Abroad!C24</f>
        <v>0.62897238093662</v>
      </c>
      <c r="I153" s="122" t="n">
        <f aca="false">Abroad!D24</f>
        <v>0</v>
      </c>
      <c r="J153" s="122" t="n">
        <f aca="false">'Champion funding'!D24-'Champion funding'!K24+'Champion funding'!Q24+'Champion funding'!R24</f>
        <v>0</v>
      </c>
      <c r="K153" s="107" t="n">
        <f aca="false">SUM(F153:J153)</f>
        <v>63.3621793963536</v>
      </c>
      <c r="L153" s="107" t="n">
        <f aca="false">E153-K153</f>
        <v>6.03998261680842</v>
      </c>
      <c r="M153" s="107" t="n">
        <f aca="false">MAX(0,-L153)</f>
        <v>0</v>
      </c>
      <c r="N153" s="122" t="n">
        <f aca="false">'Capital accounts'!L24</f>
        <v>0</v>
      </c>
      <c r="O153" s="122" t="n">
        <f aca="false">'War credit'!E24</f>
        <v>0</v>
      </c>
      <c r="P153" s="124" t="n">
        <f aca="false">'War credit'!AC24</f>
        <v>0</v>
      </c>
      <c r="Q153" s="122" t="str">
        <f aca="false">IF(O153&gt;0,'War credit'!AD24,IF(N153&gt;0,"Project funding unallocated","Capacity is MODEL"))</f>
        <v>Capacity is MODEL</v>
      </c>
      <c r="R153" s="103"/>
      <c r="S153" s="103"/>
    </row>
    <row r="154" customFormat="false" ht="19.5" hidden="false" customHeight="true" outlineLevel="0" collapsed="false">
      <c r="A154" s="111" t="n">
        <v>1865</v>
      </c>
      <c r="B154" s="122" t="n">
        <f aca="false">Economy!O25*$E$25</f>
        <v>75.4949360308556</v>
      </c>
      <c r="C154" s="122" t="n">
        <f aca="false">MAX(0,Abroad!M25-Abroad!N25-Abroad!V25)*$E$27</f>
        <v>0.115861041730996</v>
      </c>
      <c r="D154" s="122" t="n">
        <f aca="false">Abroad!F25</f>
        <v>0.128734490812218</v>
      </c>
      <c r="E154" s="107" t="n">
        <f aca="false">SUM(B154:D154)</f>
        <v>75.7395315633988</v>
      </c>
      <c r="F154" s="122" t="n">
        <f aca="false">Economy!O25*IF(A154=1862,$E$38,IF(OR(AND(A154&gt;=1861,A154&lt;=1865),AND(A154&gt;=1870,A154&lt;=1871)),$E$37,$E$26))</f>
        <v>44.6106440182329</v>
      </c>
      <c r="G154" s="122" t="n">
        <f aca="false">'Debt &amp; cash'!Y25*issue_price</f>
        <v>10.0252093451207</v>
      </c>
      <c r="H154" s="122" t="n">
        <f aca="false">Abroad!C25</f>
        <v>0.686317600280506</v>
      </c>
      <c r="I154" s="122" t="n">
        <f aca="false">Abroad!D25</f>
        <v>0</v>
      </c>
      <c r="J154" s="122" t="n">
        <f aca="false">'Champion funding'!D25-'Champion funding'!K25+'Champion funding'!Q25+'Champion funding'!R25</f>
        <v>0</v>
      </c>
      <c r="K154" s="107" t="n">
        <f aca="false">SUM(F154:J154)</f>
        <v>55.322170963634</v>
      </c>
      <c r="L154" s="107" t="n">
        <f aca="false">E154-K154</f>
        <v>20.4173605997648</v>
      </c>
      <c r="M154" s="107" t="n">
        <f aca="false">MAX(0,-L154)</f>
        <v>0</v>
      </c>
      <c r="N154" s="122" t="n">
        <f aca="false">'Capital accounts'!L25</f>
        <v>0</v>
      </c>
      <c r="O154" s="122" t="n">
        <f aca="false">'War credit'!E25</f>
        <v>0</v>
      </c>
      <c r="P154" s="124" t="n">
        <f aca="false">'War credit'!AC25</f>
        <v>0</v>
      </c>
      <c r="Q154" s="122" t="str">
        <f aca="false">IF(O154&gt;0,'War credit'!AD25,IF(N154&gt;0,"Project funding unallocated","Capacity is MODEL"))</f>
        <v>Capacity is MODEL</v>
      </c>
      <c r="R154" s="103"/>
      <c r="S154" s="103"/>
    </row>
    <row r="155" customFormat="false" ht="19.5" hidden="false" customHeight="true" outlineLevel="0" collapsed="false">
      <c r="A155" s="111" t="n">
        <v>1866</v>
      </c>
      <c r="B155" s="122" t="n">
        <f aca="false">Economy!O26*$E$25</f>
        <v>80.6852956993239</v>
      </c>
      <c r="C155" s="122" t="n">
        <f aca="false">MAX(0,Abroad!M26-Abroad!N26-Abroad!V26)*$E$27</f>
        <v>0.13091578568664</v>
      </c>
      <c r="D155" s="122" t="n">
        <f aca="false">Abroad!F26</f>
        <v>0.145461984096267</v>
      </c>
      <c r="E155" s="107" t="n">
        <f aca="false">SUM(B155:D155)</f>
        <v>80.9616734691068</v>
      </c>
      <c r="F155" s="122" t="n">
        <f aca="false">Economy!O26*IF(A155=1862,$E$38,IF(OR(AND(A155&gt;=1861,A155&lt;=1865),AND(A155&gt;=1870,A155&lt;=1871)),$E$37,$E$26))</f>
        <v>55.0127016131754</v>
      </c>
      <c r="G155" s="122" t="n">
        <f aca="false">'Debt &amp; cash'!Y26*issue_price</f>
        <v>7.94429328436478</v>
      </c>
      <c r="H155" s="122" t="n">
        <f aca="false">Abroad!C26</f>
        <v>0.733502688175672</v>
      </c>
      <c r="I155" s="122" t="n">
        <f aca="false">Abroad!D26</f>
        <v>0</v>
      </c>
      <c r="J155" s="122" t="n">
        <f aca="false">'Champion funding'!D26-'Champion funding'!K26+'Champion funding'!Q26+'Champion funding'!R26</f>
        <v>0</v>
      </c>
      <c r="K155" s="107" t="n">
        <f aca="false">SUM(F155:J155)</f>
        <v>63.6904975857158</v>
      </c>
      <c r="L155" s="107" t="n">
        <f aca="false">E155-K155</f>
        <v>17.271175883391</v>
      </c>
      <c r="M155" s="107" t="n">
        <f aca="false">MAX(0,-L155)</f>
        <v>0</v>
      </c>
      <c r="N155" s="122" t="n">
        <f aca="false">'Capital accounts'!L26</f>
        <v>0</v>
      </c>
      <c r="O155" s="122" t="n">
        <f aca="false">'War credit'!E26</f>
        <v>0</v>
      </c>
      <c r="P155" s="124" t="n">
        <f aca="false">'War credit'!AC26</f>
        <v>0</v>
      </c>
      <c r="Q155" s="122" t="str">
        <f aca="false">IF(O155&gt;0,'War credit'!AD26,IF(N155&gt;0,"Project funding unallocated","Capacity is MODEL"))</f>
        <v>Capacity is MODEL</v>
      </c>
      <c r="R155" s="103"/>
      <c r="S155" s="103"/>
    </row>
    <row r="156" customFormat="false" ht="19.5" hidden="false" customHeight="true" outlineLevel="0" collapsed="false">
      <c r="A156" s="111" t="n">
        <v>1867</v>
      </c>
      <c r="B156" s="122" t="n">
        <f aca="false">Economy!O27*$E$25</f>
        <v>87.7576083891955</v>
      </c>
      <c r="C156" s="122" t="n">
        <f aca="false">MAX(0,Abroad!M27-Abroad!N27-Abroad!V27)*$E$27</f>
        <v>0.154899182589274</v>
      </c>
      <c r="D156" s="122" t="n">
        <f aca="false">Abroad!F27</f>
        <v>0.163103205218649</v>
      </c>
      <c r="E156" s="107" t="n">
        <f aca="false">SUM(B156:D156)</f>
        <v>88.0756107770034</v>
      </c>
      <c r="F156" s="122" t="n">
        <f aca="false">Economy!O27*IF(A156=1862,$E$38,IF(OR(AND(A156&gt;=1861,A156&lt;=1865),AND(A156&gt;=1870,A156&lt;=1871)),$E$37,$E$26))</f>
        <v>59.8347329926333</v>
      </c>
      <c r="G156" s="122" t="n">
        <f aca="false">'Debt &amp; cash'!Y27*issue_price</f>
        <v>24.1149237539794</v>
      </c>
      <c r="H156" s="122" t="n">
        <f aca="false">Abroad!C27</f>
        <v>0.797796439901777</v>
      </c>
      <c r="I156" s="122" t="n">
        <f aca="false">Abroad!D27</f>
        <v>0</v>
      </c>
      <c r="J156" s="122" t="n">
        <f aca="false">'Champion funding'!D27-'Champion funding'!K27+'Champion funding'!Q27+'Champion funding'!R27</f>
        <v>0</v>
      </c>
      <c r="K156" s="107" t="n">
        <f aca="false">SUM(F156:J156)</f>
        <v>84.7474531865144</v>
      </c>
      <c r="L156" s="107" t="n">
        <f aca="false">E156-K156</f>
        <v>3.328157590489</v>
      </c>
      <c r="M156" s="107" t="n">
        <f aca="false">MAX(0,-L156)</f>
        <v>0</v>
      </c>
      <c r="N156" s="122" t="n">
        <f aca="false">'Capital accounts'!L27</f>
        <v>0</v>
      </c>
      <c r="O156" s="122" t="n">
        <f aca="false">'War credit'!E27</f>
        <v>0</v>
      </c>
      <c r="P156" s="124" t="n">
        <f aca="false">'War credit'!AC27</f>
        <v>0</v>
      </c>
      <c r="Q156" s="122" t="str">
        <f aca="false">IF(O156&gt;0,'War credit'!AD27,IF(N156&gt;0,"Project funding unallocated","Capacity is MODEL"))</f>
        <v>Capacity is MODEL</v>
      </c>
      <c r="R156" s="103"/>
      <c r="S156" s="103"/>
    </row>
    <row r="157" customFormat="false" ht="19.5" hidden="false" customHeight="true" outlineLevel="0" collapsed="false">
      <c r="A157" s="111" t="n">
        <v>1868</v>
      </c>
      <c r="B157" s="122" t="n">
        <f aca="false">Economy!O28*$E$25</f>
        <v>95.5373478918161</v>
      </c>
      <c r="C157" s="122" t="n">
        <f aca="false">MAX(0,Abroad!M28-Abroad!N28-Abroad!V28)*$E$27</f>
        <v>0.172659019888807</v>
      </c>
      <c r="D157" s="122" t="n">
        <f aca="false">Abroad!F28</f>
        <v>0.182144002259143</v>
      </c>
      <c r="E157" s="107" t="n">
        <f aca="false">SUM(B157:D157)</f>
        <v>95.892150913964</v>
      </c>
      <c r="F157" s="122" t="n">
        <f aca="false">Economy!O28*IF(A157=1862,$E$38,IF(OR(AND(A157&gt;=1861,A157&lt;=1865),AND(A157&gt;=1870,A157&lt;=1871)),$E$37,$E$26))</f>
        <v>65.1391008353292</v>
      </c>
      <c r="G157" s="122" t="n">
        <f aca="false">'Debt &amp; cash'!Y28*issue_price</f>
        <v>7.58586877328107</v>
      </c>
      <c r="H157" s="122" t="n">
        <f aca="false">Abroad!C28</f>
        <v>0.868521344471055</v>
      </c>
      <c r="I157" s="122" t="n">
        <f aca="false">Abroad!D28</f>
        <v>0</v>
      </c>
      <c r="J157" s="122" t="n">
        <f aca="false">'Champion funding'!D28-'Champion funding'!K28+'Champion funding'!Q28+'Champion funding'!R28</f>
        <v>0</v>
      </c>
      <c r="K157" s="107" t="n">
        <f aca="false">SUM(F157:J157)</f>
        <v>73.5934909530813</v>
      </c>
      <c r="L157" s="107" t="n">
        <f aca="false">E157-K157</f>
        <v>22.2986599608828</v>
      </c>
      <c r="M157" s="107" t="n">
        <f aca="false">MAX(0,-L157)</f>
        <v>0</v>
      </c>
      <c r="N157" s="122" t="n">
        <f aca="false">'Capital accounts'!L28</f>
        <v>0</v>
      </c>
      <c r="O157" s="122" t="n">
        <f aca="false">'War credit'!E28</f>
        <v>0</v>
      </c>
      <c r="P157" s="124" t="n">
        <f aca="false">'War credit'!AC28</f>
        <v>0</v>
      </c>
      <c r="Q157" s="122" t="str">
        <f aca="false">IF(O157&gt;0,'War credit'!AD28,IF(N157&gt;0,"Project funding unallocated","Capacity is MODEL"))</f>
        <v>Capacity is MODEL</v>
      </c>
      <c r="R157" s="103"/>
      <c r="S157" s="103"/>
    </row>
    <row r="158" customFormat="false" ht="19.5" hidden="false" customHeight="true" outlineLevel="0" collapsed="false">
      <c r="A158" s="111" t="n">
        <v>1869</v>
      </c>
      <c r="B158" s="122" t="n">
        <f aca="false">Economy!O29*$E$25</f>
        <v>103.75465407081</v>
      </c>
      <c r="C158" s="122" t="n">
        <f aca="false">MAX(0,Abroad!M29-Abroad!N29-Abroad!V29)*$E$27</f>
        <v>0.196507757363658</v>
      </c>
      <c r="D158" s="122" t="n">
        <f aca="false">Abroad!F29</f>
        <v>0.2027353225255</v>
      </c>
      <c r="E158" s="107" t="n">
        <f aca="false">SUM(B158:D158)</f>
        <v>104.1538971507</v>
      </c>
      <c r="F158" s="122" t="n">
        <f aca="false">Economy!O29*IF(A158=1862,$E$38,IF(OR(AND(A158&gt;=1861,A158&lt;=1865),AND(A158&gt;=1870,A158&lt;=1871)),$E$37,$E$26))</f>
        <v>70.7418095937344</v>
      </c>
      <c r="G158" s="122" t="n">
        <f aca="false">'Debt &amp; cash'!Y29*issue_price</f>
        <v>6.42023580253586</v>
      </c>
      <c r="H158" s="122" t="n">
        <f aca="false">Abroad!C29</f>
        <v>0.943224127916458</v>
      </c>
      <c r="I158" s="122" t="n">
        <f aca="false">Abroad!D29</f>
        <v>0</v>
      </c>
      <c r="J158" s="122" t="n">
        <f aca="false">'Champion funding'!D29-'Champion funding'!K29+'Champion funding'!Q29+'Champion funding'!R29</f>
        <v>0</v>
      </c>
      <c r="K158" s="107" t="n">
        <f aca="false">SUM(F158:J158)</f>
        <v>78.1052695241867</v>
      </c>
      <c r="L158" s="107" t="n">
        <f aca="false">E158-K158</f>
        <v>26.0486276265129</v>
      </c>
      <c r="M158" s="107" t="n">
        <f aca="false">MAX(0,-L158)</f>
        <v>0</v>
      </c>
      <c r="N158" s="122" t="n">
        <f aca="false">'Capital accounts'!L29</f>
        <v>0</v>
      </c>
      <c r="O158" s="122" t="n">
        <f aca="false">'War credit'!E29</f>
        <v>0</v>
      </c>
      <c r="P158" s="124" t="n">
        <f aca="false">'War credit'!AC29</f>
        <v>0</v>
      </c>
      <c r="Q158" s="122" t="str">
        <f aca="false">IF(O158&gt;0,'War credit'!AD29,IF(N158&gt;0,"Project funding unallocated","Capacity is MODEL"))</f>
        <v>Capacity is MODEL</v>
      </c>
      <c r="R158" s="103"/>
      <c r="S158" s="103"/>
    </row>
    <row r="159" customFormat="false" ht="19.5" hidden="false" customHeight="true" outlineLevel="0" collapsed="false">
      <c r="A159" s="111" t="n">
        <v>1870</v>
      </c>
      <c r="B159" s="122" t="n">
        <f aca="false">Economy!O30*$E$25</f>
        <v>113.184928855738</v>
      </c>
      <c r="C159" s="122" t="n">
        <f aca="false">MAX(0,Abroad!M30-Abroad!N30-Abroad!V30)*$E$27</f>
        <v>0.420725277228805</v>
      </c>
      <c r="D159" s="122" t="n">
        <f aca="false">Abroad!F30</f>
        <v>0.224949986687229</v>
      </c>
      <c r="E159" s="107" t="n">
        <f aca="false">SUM(B159:D159)</f>
        <v>113.830604119654</v>
      </c>
      <c r="F159" s="122" t="n">
        <f aca="false">Economy!O30*IF(A159=1862,$E$38,IF(OR(AND(A159&gt;=1861,A159&lt;=1865),AND(A159&gt;=1870,A159&lt;=1871)),$E$37,$E$26))</f>
        <v>66.8820034147543</v>
      </c>
      <c r="G159" s="122" t="n">
        <f aca="false">'Debt &amp; cash'!Y30*issue_price</f>
        <v>13.4882614817586</v>
      </c>
      <c r="H159" s="122" t="n">
        <f aca="false">Abroad!C30</f>
        <v>3.08686169606558</v>
      </c>
      <c r="I159" s="122" t="n">
        <f aca="false">Abroad!D30</f>
        <v>0</v>
      </c>
      <c r="J159" s="122" t="n">
        <f aca="false">'Champion funding'!D30-'Champion funding'!K30+'Champion funding'!Q30+'Champion funding'!R30</f>
        <v>5.2699379306171</v>
      </c>
      <c r="K159" s="107" t="n">
        <f aca="false">SUM(F159:J159)</f>
        <v>88.7270645231956</v>
      </c>
      <c r="L159" s="107" t="n">
        <f aca="false">E159-K159</f>
        <v>25.1035395964585</v>
      </c>
      <c r="M159" s="107" t="n">
        <f aca="false">MAX(0,-L159)</f>
        <v>0</v>
      </c>
      <c r="N159" s="122" t="n">
        <f aca="false">'Capital accounts'!L30</f>
        <v>0</v>
      </c>
      <c r="O159" s="122" t="n">
        <f aca="false">'War credit'!E30</f>
        <v>0</v>
      </c>
      <c r="P159" s="124" t="n">
        <f aca="false">'War credit'!AC30</f>
        <v>0</v>
      </c>
      <c r="Q159" s="122" t="str">
        <f aca="false">IF(O159&gt;0,'War credit'!AD30,IF(N159&gt;0,"Project funding unallocated","Capacity is MODEL"))</f>
        <v>Capacity is MODEL</v>
      </c>
      <c r="R159" s="103"/>
      <c r="S159" s="103"/>
    </row>
    <row r="160" customFormat="false" ht="19.5" hidden="false" customHeight="true" outlineLevel="0" collapsed="false">
      <c r="A160" s="111" t="n">
        <v>1871</v>
      </c>
      <c r="B160" s="122" t="n">
        <f aca="false">Economy!O31*$E$25</f>
        <v>121.658589129369</v>
      </c>
      <c r="C160" s="122" t="n">
        <f aca="false">MAX(0,Abroad!M31-Abroad!N31-Abroad!V31)*$E$27</f>
        <v>0.553665945545213</v>
      </c>
      <c r="D160" s="122" t="n">
        <f aca="false">Abroad!F31</f>
        <v>0.31080733796858</v>
      </c>
      <c r="E160" s="107" t="n">
        <f aca="false">SUM(B160:D160)</f>
        <v>122.523062412883</v>
      </c>
      <c r="F160" s="122" t="n">
        <f aca="false">Economy!O31*IF(A160=1862,$E$38,IF(OR(AND(A160&gt;=1861,A160&lt;=1865),AND(A160&gt;=1870,A160&lt;=1871)),$E$37,$E$26))</f>
        <v>71.8891663037182</v>
      </c>
      <c r="G160" s="122" t="n">
        <f aca="false">'Debt &amp; cash'!Y31*issue_price</f>
        <v>19.7512939981477</v>
      </c>
      <c r="H160" s="122" t="n">
        <f aca="false">Abroad!C31</f>
        <v>3.31796152171007</v>
      </c>
      <c r="I160" s="122" t="n">
        <f aca="false">Abroad!D31</f>
        <v>0</v>
      </c>
      <c r="J160" s="122" t="n">
        <f aca="false">'Champion funding'!D31-'Champion funding'!K31+'Champion funding'!Q31+'Champion funding'!R31</f>
        <v>3.02428577111503</v>
      </c>
      <c r="K160" s="107" t="n">
        <f aca="false">SUM(F160:J160)</f>
        <v>97.9827075946911</v>
      </c>
      <c r="L160" s="107" t="n">
        <f aca="false">E160-K160</f>
        <v>24.5403548181921</v>
      </c>
      <c r="M160" s="107" t="n">
        <f aca="false">MAX(0,-L160)</f>
        <v>0</v>
      </c>
      <c r="N160" s="122" t="n">
        <f aca="false">'Capital accounts'!L31</f>
        <v>0</v>
      </c>
      <c r="O160" s="122" t="n">
        <f aca="false">'War credit'!E31</f>
        <v>0</v>
      </c>
      <c r="P160" s="124" t="n">
        <f aca="false">'War credit'!AC31</f>
        <v>0</v>
      </c>
      <c r="Q160" s="122" t="str">
        <f aca="false">IF(O160&gt;0,'War credit'!AD31,IF(N160&gt;0,"Project funding unallocated","Capacity is MODEL"))</f>
        <v>Capacity is MODEL</v>
      </c>
      <c r="R160" s="103"/>
      <c r="S160" s="103"/>
    </row>
    <row r="161" customFormat="false" ht="19.5" hidden="false" customHeight="true" outlineLevel="0" collapsed="false">
      <c r="A161" s="111" t="n">
        <v>1872</v>
      </c>
      <c r="B161" s="122" t="n">
        <f aca="false">Economy!O32*$E$25</f>
        <v>130.371663786444</v>
      </c>
      <c r="C161" s="122" t="n">
        <f aca="false">MAX(0,Abroad!M32-Abroad!N32-Abroad!V32)*$E$27</f>
        <v>0.697527072460558</v>
      </c>
      <c r="D161" s="122" t="n">
        <f aca="false">Abroad!F32</f>
        <v>0.401021963480824</v>
      </c>
      <c r="E161" s="107" t="n">
        <f aca="false">SUM(B161:D161)</f>
        <v>131.470212822385</v>
      </c>
      <c r="F161" s="122" t="n">
        <f aca="false">Economy!O32*IF(A161=1862,$E$38,IF(OR(AND(A161&gt;=1861,A161&lt;=1865),AND(A161&gt;=1870,A161&lt;=1871)),$E$37,$E$26))</f>
        <v>88.8897707634846</v>
      </c>
      <c r="G161" s="122" t="n">
        <f aca="false">'Debt &amp; cash'!Y32*issue_price</f>
        <v>14.8524845196456</v>
      </c>
      <c r="H161" s="122" t="n">
        <f aca="false">Abroad!C32</f>
        <v>3.55559083053938</v>
      </c>
      <c r="I161" s="122" t="n">
        <f aca="false">Abroad!D32</f>
        <v>0</v>
      </c>
      <c r="J161" s="122" t="n">
        <f aca="false">'Champion funding'!D32-'Champion funding'!K32+'Champion funding'!Q32+'Champion funding'!R32</f>
        <v>2.27901607957905</v>
      </c>
      <c r="K161" s="107" t="n">
        <f aca="false">SUM(F161:J161)</f>
        <v>109.576862193249</v>
      </c>
      <c r="L161" s="107" t="n">
        <f aca="false">E161-K161</f>
        <v>21.8933506291368</v>
      </c>
      <c r="M161" s="107" t="n">
        <f aca="false">MAX(0,-L161)</f>
        <v>0</v>
      </c>
      <c r="N161" s="122" t="n">
        <f aca="false">'Capital accounts'!L32</f>
        <v>0</v>
      </c>
      <c r="O161" s="122" t="n">
        <f aca="false">'War credit'!E32</f>
        <v>0</v>
      </c>
      <c r="P161" s="124" t="n">
        <f aca="false">'War credit'!AC32</f>
        <v>0</v>
      </c>
      <c r="Q161" s="122" t="str">
        <f aca="false">IF(O161&gt;0,'War credit'!AD32,IF(N161&gt;0,"Project funding unallocated","Capacity is MODEL"))</f>
        <v>Capacity is MODEL</v>
      </c>
      <c r="R161" s="103"/>
      <c r="S161" s="103"/>
    </row>
    <row r="162" customFormat="false" ht="19.5" hidden="false" customHeight="true" outlineLevel="0" collapsed="false">
      <c r="A162" s="111" t="n">
        <v>1873</v>
      </c>
      <c r="B162" s="122" t="n">
        <f aca="false">Economy!O33*$E$25</f>
        <v>138.286414852504</v>
      </c>
      <c r="C162" s="122" t="n">
        <f aca="false">MAX(0,Abroad!M33-Abroad!N33-Abroad!V33)*$E$27</f>
        <v>0.807914058398336</v>
      </c>
      <c r="D162" s="122" t="n">
        <f aca="false">Abroad!F33</f>
        <v>0.495659029492581</v>
      </c>
      <c r="E162" s="107" t="n">
        <f aca="false">SUM(B162:D162)</f>
        <v>139.589987940395</v>
      </c>
      <c r="F162" s="122" t="n">
        <f aca="false">Economy!O33*IF(A162=1862,$E$38,IF(OR(AND(A162&gt;=1861,A162&lt;=1865),AND(A162&gt;=1870,A162&lt;=1871)),$E$37,$E$26))</f>
        <v>94.2861919448888</v>
      </c>
      <c r="G162" s="122" t="n">
        <f aca="false">'Debt &amp; cash'!Y33*issue_price</f>
        <v>0</v>
      </c>
      <c r="H162" s="122" t="n">
        <f aca="false">Abroad!C33</f>
        <v>3.77144767779555</v>
      </c>
      <c r="I162" s="122" t="n">
        <f aca="false">Abroad!D33</f>
        <v>0</v>
      </c>
      <c r="J162" s="122" t="n">
        <f aca="false">'Champion funding'!D33-'Champion funding'!K33+'Champion funding'!Q33+'Champion funding'!R33</f>
        <v>1.53052488195903</v>
      </c>
      <c r="K162" s="107" t="n">
        <f aca="false">SUM(F162:J162)</f>
        <v>99.5881645046434</v>
      </c>
      <c r="L162" s="107" t="n">
        <f aca="false">E162-K162</f>
        <v>40.0018234357511</v>
      </c>
      <c r="M162" s="107" t="n">
        <f aca="false">MAX(0,-L162)</f>
        <v>0</v>
      </c>
      <c r="N162" s="122" t="n">
        <f aca="false">'Capital accounts'!L33</f>
        <v>0</v>
      </c>
      <c r="O162" s="122" t="n">
        <f aca="false">'War credit'!E33</f>
        <v>0</v>
      </c>
      <c r="P162" s="124" t="n">
        <f aca="false">'War credit'!AC33</f>
        <v>0</v>
      </c>
      <c r="Q162" s="122" t="str">
        <f aca="false">IF(O162&gt;0,'War credit'!AD33,IF(N162&gt;0,"Project funding unallocated","Capacity is MODEL"))</f>
        <v>Capacity is MODEL</v>
      </c>
      <c r="R162" s="103"/>
      <c r="S162" s="103"/>
    </row>
    <row r="163" customFormat="false" ht="19.5" hidden="false" customHeight="true" outlineLevel="0" collapsed="false">
      <c r="A163" s="111" t="n">
        <v>1874</v>
      </c>
      <c r="B163" s="122" t="n">
        <f aca="false">Economy!O34*$E$25</f>
        <v>147.479689954479</v>
      </c>
      <c r="C163" s="122" t="n">
        <f aca="false">MAX(0,Abroad!M34-Abroad!N34-Abroad!V34)*$E$27</f>
        <v>0.996404171535852</v>
      </c>
      <c r="D163" s="122" t="n">
        <f aca="false">Abroad!F34</f>
        <v>0.59393268894167</v>
      </c>
      <c r="E163" s="107" t="n">
        <f aca="false">SUM(B163:D163)</f>
        <v>149.070026814957</v>
      </c>
      <c r="F163" s="122" t="n">
        <f aca="false">Economy!O34*IF(A163=1862,$E$38,IF(OR(AND(A163&gt;=1861,A163&lt;=1865),AND(A163&gt;=1870,A163&lt;=1871)),$E$37,$E$26))</f>
        <v>100.554334059872</v>
      </c>
      <c r="G163" s="122" t="n">
        <f aca="false">'Debt &amp; cash'!Y34*issue_price</f>
        <v>0</v>
      </c>
      <c r="H163" s="122" t="n">
        <f aca="false">Abroad!C34</f>
        <v>4.02217336239489</v>
      </c>
      <c r="I163" s="122" t="n">
        <f aca="false">Abroad!D34</f>
        <v>0</v>
      </c>
      <c r="J163" s="122" t="n">
        <f aca="false">'Champion funding'!D34-'Champion funding'!K34+'Champion funding'!Q34+'Champion funding'!R34</f>
        <v>3.05172755064091</v>
      </c>
      <c r="K163" s="107" t="n">
        <f aca="false">SUM(F163:J163)</f>
        <v>107.628234972908</v>
      </c>
      <c r="L163" s="107" t="n">
        <f aca="false">E163-K163</f>
        <v>41.4417918420488</v>
      </c>
      <c r="M163" s="107" t="n">
        <f aca="false">MAX(0,-L163)</f>
        <v>0</v>
      </c>
      <c r="N163" s="122" t="n">
        <f aca="false">'Capital accounts'!L34</f>
        <v>0</v>
      </c>
      <c r="O163" s="122" t="n">
        <f aca="false">'War credit'!E34</f>
        <v>0</v>
      </c>
      <c r="P163" s="124" t="n">
        <f aca="false">'War credit'!AC34</f>
        <v>0</v>
      </c>
      <c r="Q163" s="122" t="str">
        <f aca="false">IF(O163&gt;0,'War credit'!AD34,IF(N163&gt;0,"Project funding unallocated","Capacity is MODEL"))</f>
        <v>Capacity is MODEL</v>
      </c>
      <c r="R163" s="103"/>
      <c r="S163" s="103"/>
    </row>
    <row r="164" customFormat="false" ht="19.5" hidden="false" customHeight="true" outlineLevel="0" collapsed="false">
      <c r="A164" s="111" t="n">
        <v>1875</v>
      </c>
      <c r="B164" s="122" t="n">
        <f aca="false">Economy!O35*$E$25</f>
        <v>159.767661820874</v>
      </c>
      <c r="C164" s="122" t="n">
        <f aca="false">MAX(0,Abroad!M35-Abroad!N35-Abroad!V35)*$E$27</f>
        <v>1.17790177163736</v>
      </c>
      <c r="D164" s="122" t="n">
        <f aca="false">Abroad!F35</f>
        <v>0.696779909145267</v>
      </c>
      <c r="E164" s="107" t="n">
        <f aca="false">SUM(B164:D164)</f>
        <v>161.642343501657</v>
      </c>
      <c r="F164" s="122" t="n">
        <f aca="false">Economy!O35*IF(A164=1862,$E$38,IF(OR(AND(A164&gt;=1861,A164&lt;=1865),AND(A164&gt;=1870,A164&lt;=1871)),$E$37,$E$26))</f>
        <v>108.932496696051</v>
      </c>
      <c r="G164" s="122" t="n">
        <f aca="false">'Debt &amp; cash'!Y35*issue_price</f>
        <v>0</v>
      </c>
      <c r="H164" s="122" t="n">
        <f aca="false">Abroad!C35</f>
        <v>4.35729986784203</v>
      </c>
      <c r="I164" s="122" t="n">
        <f aca="false">Abroad!D35</f>
        <v>0</v>
      </c>
      <c r="J164" s="122" t="n">
        <f aca="false">'Champion funding'!D35-'Champion funding'!K35+'Champion funding'!Q35+'Champion funding'!R35</f>
        <v>3.06294669705201</v>
      </c>
      <c r="K164" s="107" t="n">
        <f aca="false">SUM(F164:J164)</f>
        <v>116.352743260945</v>
      </c>
      <c r="L164" s="107" t="n">
        <f aca="false">E164-K164</f>
        <v>45.2896002407122</v>
      </c>
      <c r="M164" s="107" t="n">
        <f aca="false">MAX(0,-L164)</f>
        <v>0</v>
      </c>
      <c r="N164" s="122" t="n">
        <f aca="false">'Capital accounts'!L35</f>
        <v>0</v>
      </c>
      <c r="O164" s="122" t="n">
        <f aca="false">'War credit'!E35</f>
        <v>0</v>
      </c>
      <c r="P164" s="124" t="n">
        <f aca="false">'War credit'!AC35</f>
        <v>0</v>
      </c>
      <c r="Q164" s="122" t="str">
        <f aca="false">IF(O164&gt;0,'War credit'!AD35,IF(N164&gt;0,"Project funding unallocated","Capacity is MODEL"))</f>
        <v>Capacity is MODEL</v>
      </c>
      <c r="R164" s="103"/>
      <c r="S164" s="103"/>
    </row>
    <row r="165" customFormat="false" ht="19.5" hidden="false" customHeight="true" outlineLevel="0" collapsed="false">
      <c r="A165" s="111" t="n">
        <v>1876</v>
      </c>
      <c r="B165" s="122" t="n">
        <f aca="false">Economy!O36*$E$25</f>
        <v>174.178418021598</v>
      </c>
      <c r="C165" s="122" t="n">
        <f aca="false">MAX(0,Abroad!M36-Abroad!N36-Abroad!V36)*$E$27</f>
        <v>1.33664131159578</v>
      </c>
      <c r="D165" s="122" t="n">
        <f aca="false">Abroad!F36</f>
        <v>0.80659550790617</v>
      </c>
      <c r="E165" s="107" t="n">
        <f aca="false">SUM(B165:D165)</f>
        <v>176.3216548411</v>
      </c>
      <c r="F165" s="122" t="n">
        <f aca="false">Economy!O36*IF(A165=1862,$E$38,IF(OR(AND(A165&gt;=1861,A165&lt;=1865),AND(A165&gt;=1870,A165&lt;=1871)),$E$37,$E$26))</f>
        <v>118.758012287453</v>
      </c>
      <c r="G165" s="122" t="n">
        <f aca="false">'Debt &amp; cash'!Y36*issue_price</f>
        <v>0</v>
      </c>
      <c r="H165" s="122" t="n">
        <f aca="false">Abroad!C36</f>
        <v>4.75032049149813</v>
      </c>
      <c r="I165" s="122" t="n">
        <f aca="false">Abroad!D36</f>
        <v>0</v>
      </c>
      <c r="J165" s="122" t="n">
        <f aca="false">'Champion funding'!D36-'Champion funding'!K36+'Champion funding'!Q36+'Champion funding'!R36</f>
        <v>2.31444943673441</v>
      </c>
      <c r="K165" s="107" t="n">
        <f aca="false">SUM(F165:J165)</f>
        <v>125.822782215686</v>
      </c>
      <c r="L165" s="107" t="n">
        <f aca="false">E165-K165</f>
        <v>50.4988726254142</v>
      </c>
      <c r="M165" s="107" t="n">
        <f aca="false">MAX(0,-L165)</f>
        <v>0</v>
      </c>
      <c r="N165" s="122" t="n">
        <f aca="false">'Capital accounts'!L36</f>
        <v>0</v>
      </c>
      <c r="O165" s="122" t="n">
        <f aca="false">'War credit'!E36</f>
        <v>0</v>
      </c>
      <c r="P165" s="124" t="n">
        <f aca="false">'War credit'!AC36</f>
        <v>0</v>
      </c>
      <c r="Q165" s="122" t="str">
        <f aca="false">IF(O165&gt;0,'War credit'!AD36,IF(N165&gt;0,"Project funding unallocated","Capacity is MODEL"))</f>
        <v>Capacity is MODEL</v>
      </c>
      <c r="R165" s="103"/>
      <c r="S165" s="103"/>
    </row>
    <row r="166" customFormat="false" ht="19.5" hidden="false" customHeight="true" outlineLevel="0" collapsed="false">
      <c r="A166" s="111" t="n">
        <v>1877</v>
      </c>
      <c r="B166" s="122" t="n">
        <f aca="false">Economy!O37*$E$25</f>
        <v>182.390679554068</v>
      </c>
      <c r="C166" s="122" t="n">
        <f aca="false">MAX(0,Abroad!M37-Abroad!N37-Abroad!V37)*$E$27</f>
        <v>1.51184820620195</v>
      </c>
      <c r="D166" s="122" t="n">
        <f aca="false">Abroad!F37</f>
        <v>0.924907257413928</v>
      </c>
      <c r="E166" s="107" t="n">
        <f aca="false">SUM(B166:D166)</f>
        <v>184.827435017684</v>
      </c>
      <c r="F166" s="122" t="n">
        <f aca="false">Economy!O37*IF(A166=1862,$E$38,IF(OR(AND(A166&gt;=1861,A166&lt;=1865),AND(A166&gt;=1870,A166&lt;=1871)),$E$37,$E$26))</f>
        <v>124.357281514138</v>
      </c>
      <c r="G166" s="122" t="n">
        <f aca="false">'Debt &amp; cash'!Y37*issue_price</f>
        <v>0</v>
      </c>
      <c r="H166" s="122" t="n">
        <f aca="false">Abroad!C37</f>
        <v>4.9742912605655</v>
      </c>
      <c r="I166" s="122" t="n">
        <f aca="false">Abroad!D37</f>
        <v>0</v>
      </c>
      <c r="J166" s="122" t="n">
        <f aca="false">'Champion funding'!D37-'Champion funding'!K37+'Champion funding'!Q37+'Champion funding'!R37</f>
        <v>2.33109067115468</v>
      </c>
      <c r="K166" s="107" t="n">
        <f aca="false">SUM(F166:J166)</f>
        <v>131.662663445858</v>
      </c>
      <c r="L166" s="107" t="n">
        <f aca="false">E166-K166</f>
        <v>53.1647715718266</v>
      </c>
      <c r="M166" s="107" t="n">
        <f aca="false">MAX(0,-L166)</f>
        <v>0</v>
      </c>
      <c r="N166" s="122" t="n">
        <f aca="false">'Capital accounts'!L37</f>
        <v>0</v>
      </c>
      <c r="O166" s="122" t="n">
        <f aca="false">'War credit'!E37</f>
        <v>0</v>
      </c>
      <c r="P166" s="124" t="n">
        <f aca="false">'War credit'!AC37</f>
        <v>0</v>
      </c>
      <c r="Q166" s="122" t="str">
        <f aca="false">IF(O166&gt;0,'War credit'!AD37,IF(N166&gt;0,"Project funding unallocated","Capacity is MODEL"))</f>
        <v>Capacity is MODEL</v>
      </c>
      <c r="R166" s="103"/>
      <c r="S166" s="103"/>
    </row>
    <row r="167" customFormat="false" ht="19.5" hidden="false" customHeight="true" outlineLevel="0" collapsed="false">
      <c r="A167" s="111" t="n">
        <v>1878</v>
      </c>
      <c r="B167" s="122" t="n">
        <f aca="false">Economy!O38*$E$25</f>
        <v>194.329591146977</v>
      </c>
      <c r="C167" s="122" t="n">
        <f aca="false">MAX(0,Abroad!M38-Abroad!N38-Abroad!V38)*$E$27</f>
        <v>1.67871243057101</v>
      </c>
      <c r="D167" s="122" t="n">
        <f aca="false">Abroad!F38</f>
        <v>1.04638877750848</v>
      </c>
      <c r="E167" s="107" t="n">
        <f aca="false">SUM(B167:D167)</f>
        <v>197.054692355056</v>
      </c>
      <c r="F167" s="122" t="n">
        <f aca="false">Economy!O38*IF(A167=1862,$E$38,IF(OR(AND(A167&gt;=1861,A167&lt;=1865),AND(A167&gt;=1870,A167&lt;=1871)),$E$37,$E$26))</f>
        <v>132.497448509302</v>
      </c>
      <c r="G167" s="122" t="n">
        <f aca="false">'Debt &amp; cash'!Y38*issue_price</f>
        <v>0</v>
      </c>
      <c r="H167" s="122" t="n">
        <f aca="false">Abroad!C38</f>
        <v>5.2998979403721</v>
      </c>
      <c r="I167" s="122" t="n">
        <f aca="false">Abroad!D38</f>
        <v>0</v>
      </c>
      <c r="J167" s="122" t="n">
        <f aca="false">'Champion funding'!D38-'Champion funding'!K38+'Champion funding'!Q38+'Champion funding'!R38</f>
        <v>2.34211165516015</v>
      </c>
      <c r="K167" s="107" t="n">
        <f aca="false">SUM(F167:J167)</f>
        <v>140.139458104835</v>
      </c>
      <c r="L167" s="107" t="n">
        <f aca="false">E167-K167</f>
        <v>56.9152342502217</v>
      </c>
      <c r="M167" s="107" t="n">
        <f aca="false">MAX(0,-L167)</f>
        <v>0</v>
      </c>
      <c r="N167" s="122" t="n">
        <f aca="false">'Capital accounts'!L38</f>
        <v>0</v>
      </c>
      <c r="O167" s="122" t="n">
        <f aca="false">'War credit'!E38</f>
        <v>0</v>
      </c>
      <c r="P167" s="124" t="n">
        <f aca="false">'War credit'!AC38</f>
        <v>0</v>
      </c>
      <c r="Q167" s="122" t="str">
        <f aca="false">IF(O167&gt;0,'War credit'!AD38,IF(N167&gt;0,"Project funding unallocated","Capacity is MODEL"))</f>
        <v>Capacity is MODEL</v>
      </c>
      <c r="R167" s="103"/>
      <c r="S167" s="103"/>
    </row>
    <row r="168" customFormat="false" ht="19.5" hidden="false" customHeight="true" outlineLevel="0" collapsed="false">
      <c r="A168" s="111" t="n">
        <v>1879</v>
      </c>
      <c r="B168" s="122" t="n">
        <f aca="false">Economy!O39*$E$25</f>
        <v>203.764579782746</v>
      </c>
      <c r="C168" s="122" t="n">
        <f aca="false">MAX(0,Abroad!M39-Abroad!N39-Abroad!V39)*$E$27</f>
        <v>1.88782847890991</v>
      </c>
      <c r="D168" s="122" t="n">
        <f aca="false">Abroad!F39</f>
        <v>1.17399405239438</v>
      </c>
      <c r="E168" s="107" t="n">
        <f aca="false">SUM(B168:D168)</f>
        <v>206.82640231405</v>
      </c>
      <c r="F168" s="122" t="n">
        <f aca="false">Economy!O39*IF(A168=1862,$E$38,IF(OR(AND(A168&gt;=1861,A168&lt;=1865),AND(A168&gt;=1870,A168&lt;=1871)),$E$37,$E$26))</f>
        <v>138.930395306417</v>
      </c>
      <c r="G168" s="122" t="n">
        <f aca="false">'Debt &amp; cash'!Y39*issue_price</f>
        <v>0</v>
      </c>
      <c r="H168" s="122" t="n">
        <f aca="false">Abroad!C39</f>
        <v>5.5572158122567</v>
      </c>
      <c r="I168" s="122" t="n">
        <f aca="false">Abroad!D39</f>
        <v>0</v>
      </c>
      <c r="J168" s="122" t="n">
        <f aca="false">'Champion funding'!D39-'Champion funding'!K39+'Champion funding'!Q39+'Champion funding'!R39</f>
        <v>3.11939691877058</v>
      </c>
      <c r="K168" s="107" t="n">
        <f aca="false">SUM(F168:J168)</f>
        <v>147.607008037445</v>
      </c>
      <c r="L168" s="107" t="n">
        <f aca="false">E168-K168</f>
        <v>59.2193942766052</v>
      </c>
      <c r="M168" s="107" t="n">
        <f aca="false">MAX(0,-L168)</f>
        <v>0</v>
      </c>
      <c r="N168" s="122" t="n">
        <f aca="false">'Capital accounts'!L39</f>
        <v>0</v>
      </c>
      <c r="O168" s="122" t="n">
        <f aca="false">'War credit'!E39</f>
        <v>0</v>
      </c>
      <c r="P168" s="124" t="n">
        <f aca="false">'War credit'!AC39</f>
        <v>0</v>
      </c>
      <c r="Q168" s="122" t="str">
        <f aca="false">IF(O168&gt;0,'War credit'!AD39,IF(N168&gt;0,"Project funding unallocated","Capacity is MODEL"))</f>
        <v>Capacity is MODEL</v>
      </c>
      <c r="R168" s="103"/>
      <c r="S168" s="103"/>
    </row>
    <row r="169" customFormat="false" ht="19.5" hidden="false" customHeight="true" outlineLevel="0" collapsed="false">
      <c r="A169" s="111" t="n">
        <v>1880</v>
      </c>
      <c r="B169" s="122" t="n">
        <f aca="false">Economy!O40*$E$25</f>
        <v>215.265000484789</v>
      </c>
      <c r="C169" s="122" t="n">
        <f aca="false">MAX(0,Abroad!M40-Abroad!N40-Abroad!V40)*$E$27</f>
        <v>2.36608887277813</v>
      </c>
      <c r="D169" s="122" t="n">
        <f aca="false">Abroad!F40</f>
        <v>1.30549070519025</v>
      </c>
      <c r="E169" s="107" t="n">
        <f aca="false">SUM(B169:D169)</f>
        <v>218.936580062757</v>
      </c>
      <c r="F169" s="122" t="n">
        <f aca="false">Economy!O40*IF(A169=1862,$E$38,IF(OR(AND(A169&gt;=1861,A169&lt;=1865),AND(A169&gt;=1870,A169&lt;=1871)),$E$37,$E$26))</f>
        <v>146.771591239629</v>
      </c>
      <c r="G169" s="122" t="n">
        <f aca="false">'Debt &amp; cash'!Y40*issue_price</f>
        <v>0</v>
      </c>
      <c r="H169" s="122" t="n">
        <f aca="false">Abroad!C40</f>
        <v>5.87086364958515</v>
      </c>
      <c r="I169" s="122" t="n">
        <f aca="false">Abroad!D40</f>
        <v>0</v>
      </c>
      <c r="J169" s="122" t="n">
        <f aca="false">'Champion funding'!D40-'Champion funding'!K40+'Champion funding'!Q40+'Champion funding'!R40</f>
        <v>1.9972708592354</v>
      </c>
      <c r="K169" s="107" t="n">
        <f aca="false">SUM(F169:J169)</f>
        <v>154.639725748449</v>
      </c>
      <c r="L169" s="107" t="n">
        <f aca="false">E169-K169</f>
        <v>64.2968543143079</v>
      </c>
      <c r="M169" s="107" t="n">
        <f aca="false">MAX(0,-L169)</f>
        <v>0</v>
      </c>
      <c r="N169" s="122" t="n">
        <f aca="false">'Capital accounts'!L40</f>
        <v>0</v>
      </c>
      <c r="O169" s="122" t="n">
        <f aca="false">'War credit'!E40</f>
        <v>0</v>
      </c>
      <c r="P169" s="124" t="n">
        <f aca="false">'War credit'!AC40</f>
        <v>0</v>
      </c>
      <c r="Q169" s="122" t="str">
        <f aca="false">IF(O169&gt;0,'War credit'!AD40,IF(N169&gt;0,"Project funding unallocated","Capacity is MODEL"))</f>
        <v>Capacity is MODEL</v>
      </c>
      <c r="R169" s="103"/>
      <c r="S169" s="103"/>
    </row>
    <row r="170" customFormat="false" ht="19.5" hidden="false" customHeight="true" outlineLevel="0" collapsed="false">
      <c r="A170" s="111" t="n">
        <v>1881</v>
      </c>
      <c r="B170" s="122" t="n">
        <f aca="false">Economy!O41*$E$25</f>
        <v>228.745204745228</v>
      </c>
      <c r="C170" s="122" t="n">
        <f aca="false">MAX(0,Abroad!M41-Abroad!N41-Abroad!V41)*$E$27</f>
        <v>2.57732455307262</v>
      </c>
      <c r="D170" s="122" t="n">
        <f aca="false">Abroad!F41</f>
        <v>1.4424518935221</v>
      </c>
      <c r="E170" s="107" t="n">
        <f aca="false">SUM(B170:D170)</f>
        <v>232.764981191822</v>
      </c>
      <c r="F170" s="122" t="n">
        <f aca="false">Economy!O41*IF(A170=1862,$E$38,IF(OR(AND(A170&gt;=1861,A170&lt;=1865),AND(A170&gt;=1870,A170&lt;=1871)),$E$37,$E$26))</f>
        <v>155.962639599019</v>
      </c>
      <c r="G170" s="122" t="n">
        <f aca="false">'Debt &amp; cash'!Y41*issue_price</f>
        <v>0</v>
      </c>
      <c r="H170" s="122" t="n">
        <f aca="false">Abroad!C41</f>
        <v>6.23850558396075</v>
      </c>
      <c r="I170" s="122" t="n">
        <f aca="false">Abroad!D41</f>
        <v>0</v>
      </c>
      <c r="J170" s="122" t="n">
        <f aca="false">'Champion funding'!D41-'Champion funding'!K41+'Champion funding'!Q41+'Champion funding'!R41</f>
        <v>2.37922336312894</v>
      </c>
      <c r="K170" s="107" t="n">
        <f aca="false">SUM(F170:J170)</f>
        <v>164.580368546109</v>
      </c>
      <c r="L170" s="107" t="n">
        <f aca="false">E170-K170</f>
        <v>68.1846126457139</v>
      </c>
      <c r="M170" s="107" t="n">
        <f aca="false">MAX(0,-L170)</f>
        <v>0</v>
      </c>
      <c r="N170" s="122" t="n">
        <f aca="false">'Capital accounts'!L41</f>
        <v>0</v>
      </c>
      <c r="O170" s="122" t="n">
        <f aca="false">'War credit'!E41</f>
        <v>0</v>
      </c>
      <c r="P170" s="124" t="n">
        <f aca="false">'War credit'!AC41</f>
        <v>0</v>
      </c>
      <c r="Q170" s="122" t="str">
        <f aca="false">IF(O170&gt;0,'War credit'!AD41,IF(N170&gt;0,"Project funding unallocated","Capacity is MODEL"))</f>
        <v>Capacity is MODEL</v>
      </c>
      <c r="R170" s="103"/>
      <c r="S170" s="103"/>
    </row>
    <row r="171" customFormat="false" ht="19.5" hidden="false" customHeight="true" outlineLevel="0" collapsed="false">
      <c r="A171" s="111" t="n">
        <v>1882</v>
      </c>
      <c r="B171" s="122" t="n">
        <f aca="false">Economy!O42*$E$25</f>
        <v>242.109286134084</v>
      </c>
      <c r="C171" s="122" t="n">
        <f aca="false">MAX(0,Abroad!M42-Abroad!N42-Abroad!V42)*$E$27</f>
        <v>2.98273834526075</v>
      </c>
      <c r="D171" s="122" t="n">
        <f aca="false">Abroad!F42</f>
        <v>1.58633350423526</v>
      </c>
      <c r="E171" s="107" t="n">
        <f aca="false">SUM(B171:D171)</f>
        <v>246.67835798358</v>
      </c>
      <c r="F171" s="122" t="n">
        <f aca="false">Economy!O42*IF(A171=1862,$E$38,IF(OR(AND(A171&gt;=1861,A171&lt;=1865),AND(A171&gt;=1870,A171&lt;=1871)),$E$37,$E$26))</f>
        <v>165.074513273239</v>
      </c>
      <c r="G171" s="122" t="n">
        <f aca="false">'Debt &amp; cash'!Y42*issue_price</f>
        <v>0</v>
      </c>
      <c r="H171" s="122" t="n">
        <f aca="false">Abroad!C42</f>
        <v>6.60298053092956</v>
      </c>
      <c r="I171" s="122" t="n">
        <f aca="false">Abroad!D42</f>
        <v>0</v>
      </c>
      <c r="J171" s="122" t="n">
        <f aca="false">'Champion funding'!D42-'Champion funding'!K42+'Champion funding'!Q42+'Champion funding'!R42</f>
        <v>2.85286969930289</v>
      </c>
      <c r="K171" s="107" t="n">
        <f aca="false">SUM(F171:J171)</f>
        <v>174.530363503471</v>
      </c>
      <c r="L171" s="107" t="n">
        <f aca="false">E171-K171</f>
        <v>72.1479944801084</v>
      </c>
      <c r="M171" s="107" t="n">
        <f aca="false">MAX(0,-L171)</f>
        <v>0</v>
      </c>
      <c r="N171" s="122" t="n">
        <f aca="false">'Capital accounts'!L42</f>
        <v>0</v>
      </c>
      <c r="O171" s="122" t="n">
        <f aca="false">'War credit'!E42</f>
        <v>0</v>
      </c>
      <c r="P171" s="124" t="n">
        <f aca="false">'War credit'!AC42</f>
        <v>0</v>
      </c>
      <c r="Q171" s="122" t="str">
        <f aca="false">IF(O171&gt;0,'War credit'!AD42,IF(N171&gt;0,"Project funding unallocated","Capacity is MODEL"))</f>
        <v>Capacity is MODEL</v>
      </c>
      <c r="R171" s="103"/>
      <c r="S171" s="103"/>
    </row>
    <row r="172" customFormat="false" ht="19.5" hidden="false" customHeight="true" outlineLevel="0" collapsed="false">
      <c r="A172" s="111" t="n">
        <v>1883</v>
      </c>
      <c r="B172" s="122" t="n">
        <f aca="false">Economy!O43*$E$25</f>
        <v>255.937784792188</v>
      </c>
      <c r="C172" s="122" t="n">
        <f aca="false">MAX(0,Abroad!M43-Abroad!N43-Abroad!V43)*$E$27</f>
        <v>3.18189308182414</v>
      </c>
      <c r="D172" s="122" t="n">
        <f aca="false">Abroad!F43</f>
        <v>1.73683291503609</v>
      </c>
      <c r="E172" s="107" t="n">
        <f aca="false">SUM(B172:D172)</f>
        <v>260.856510789049</v>
      </c>
      <c r="F172" s="122" t="n">
        <f aca="false">Economy!O43*IF(A172=1862,$E$38,IF(OR(AND(A172&gt;=1861,A172&lt;=1865),AND(A172&gt;=1870,A172&lt;=1871)),$E$37,$E$26))</f>
        <v>174.503035085583</v>
      </c>
      <c r="G172" s="122" t="n">
        <f aca="false">'Debt &amp; cash'!Y43*issue_price</f>
        <v>0</v>
      </c>
      <c r="H172" s="122" t="n">
        <f aca="false">Abroad!C43</f>
        <v>6.98012140342332</v>
      </c>
      <c r="I172" s="122" t="n">
        <f aca="false">Abroad!D43</f>
        <v>0</v>
      </c>
      <c r="J172" s="122" t="n">
        <f aca="false">'Champion funding'!D43-'Champion funding'!K43+'Champion funding'!Q43+'Champion funding'!R43</f>
        <v>3.22775729893788</v>
      </c>
      <c r="K172" s="107" t="n">
        <f aca="false">SUM(F172:J172)</f>
        <v>184.710913787944</v>
      </c>
      <c r="L172" s="107" t="n">
        <f aca="false">E172-K172</f>
        <v>76.1455970011044</v>
      </c>
      <c r="M172" s="107" t="n">
        <f aca="false">MAX(0,-L172)</f>
        <v>0</v>
      </c>
      <c r="N172" s="122" t="n">
        <f aca="false">'Capital accounts'!L43</f>
        <v>0</v>
      </c>
      <c r="O172" s="122" t="n">
        <f aca="false">'War credit'!E43</f>
        <v>0</v>
      </c>
      <c r="P172" s="124" t="n">
        <f aca="false">'War credit'!AC43</f>
        <v>0</v>
      </c>
      <c r="Q172" s="122" t="str">
        <f aca="false">IF(O172&gt;0,'War credit'!AD43,IF(N172&gt;0,"Project funding unallocated","Capacity is MODEL"))</f>
        <v>Capacity is MODEL</v>
      </c>
      <c r="R172" s="103"/>
      <c r="S172" s="103"/>
    </row>
    <row r="173" customFormat="false" ht="19.5" hidden="false" customHeight="true" outlineLevel="0" collapsed="false">
      <c r="A173" s="111" t="n">
        <v>1884</v>
      </c>
      <c r="B173" s="122" t="n">
        <f aca="false">Economy!O44*$E$25</f>
        <v>265.053328218917</v>
      </c>
      <c r="C173" s="122" t="n">
        <f aca="false">MAX(0,Abroad!M44-Abroad!N44-Abroad!V44)*$E$27</f>
        <v>3.66867023500936</v>
      </c>
      <c r="D173" s="122" t="n">
        <f aca="false">Abroad!F44</f>
        <v>1.89413156968771</v>
      </c>
      <c r="E173" s="107" t="n">
        <f aca="false">SUM(B173:D173)</f>
        <v>270.616130023614</v>
      </c>
      <c r="F173" s="122" t="n">
        <f aca="false">Economy!O44*IF(A173=1862,$E$38,IF(OR(AND(A173&gt;=1861,A173&lt;=1865),AND(A173&gt;=1870,A173&lt;=1871)),$E$37,$E$26))</f>
        <v>180.71817833108</v>
      </c>
      <c r="G173" s="122" t="n">
        <f aca="false">'Debt &amp; cash'!Y44*issue_price</f>
        <v>0</v>
      </c>
      <c r="H173" s="122" t="n">
        <f aca="false">Abroad!C44</f>
        <v>7.22872713324319</v>
      </c>
      <c r="I173" s="122" t="n">
        <f aca="false">Abroad!D44</f>
        <v>0</v>
      </c>
      <c r="J173" s="122" t="n">
        <f aca="false">'Champion funding'!D44-'Champion funding'!K44+'Champion funding'!Q44+'Champion funding'!R44</f>
        <v>3.68907201189245</v>
      </c>
      <c r="K173" s="107" t="n">
        <f aca="false">SUM(F173:J173)</f>
        <v>191.635977476215</v>
      </c>
      <c r="L173" s="107" t="n">
        <f aca="false">E173-K173</f>
        <v>78.9801525473987</v>
      </c>
      <c r="M173" s="107" t="n">
        <f aca="false">MAX(0,-L173)</f>
        <v>0</v>
      </c>
      <c r="N173" s="122" t="n">
        <f aca="false">'Capital accounts'!L44</f>
        <v>0</v>
      </c>
      <c r="O173" s="122" t="n">
        <f aca="false">'War credit'!E44</f>
        <v>0</v>
      </c>
      <c r="P173" s="124" t="n">
        <f aca="false">'War credit'!AC44</f>
        <v>0</v>
      </c>
      <c r="Q173" s="122" t="str">
        <f aca="false">IF(O173&gt;0,'War credit'!AD44,IF(N173&gt;0,"Project funding unallocated","Capacity is MODEL"))</f>
        <v>Capacity is MODEL</v>
      </c>
      <c r="R173" s="103"/>
      <c r="S173" s="103"/>
    </row>
    <row r="174" customFormat="false" ht="19.5" hidden="false" customHeight="true" outlineLevel="0" collapsed="false">
      <c r="A174" s="111" t="n">
        <v>1885</v>
      </c>
      <c r="B174" s="122" t="n">
        <f aca="false">Economy!O45*$E$25</f>
        <v>280.049385472758</v>
      </c>
      <c r="C174" s="122" t="n">
        <f aca="false">MAX(0,Abroad!M45-Abroad!N45-Abroad!V45)*$E$27</f>
        <v>3.85676136694006</v>
      </c>
      <c r="D174" s="122" t="n">
        <f aca="false">Abroad!F45</f>
        <v>2.05416943659437</v>
      </c>
      <c r="E174" s="107" t="n">
        <f aca="false">SUM(B174:D174)</f>
        <v>285.960316276292</v>
      </c>
      <c r="F174" s="122" t="n">
        <f aca="false">Economy!O45*IF(A174=1862,$E$38,IF(OR(AND(A174&gt;=1861,A174&lt;=1865),AND(A174&gt;=1870,A174&lt;=1871)),$E$37,$E$26))</f>
        <v>190.942762822335</v>
      </c>
      <c r="G174" s="122" t="n">
        <f aca="false">'Debt &amp; cash'!Y45*issue_price</f>
        <v>0</v>
      </c>
      <c r="H174" s="122" t="n">
        <f aca="false">Abroad!C45</f>
        <v>7.63771051289339</v>
      </c>
      <c r="I174" s="122" t="n">
        <f aca="false">Abroad!D45</f>
        <v>0</v>
      </c>
      <c r="J174" s="122" t="n">
        <f aca="false">'Champion funding'!D45-'Champion funding'!K45+'Champion funding'!Q45+'Champion funding'!R45</f>
        <v>4.21889360508458</v>
      </c>
      <c r="K174" s="107" t="n">
        <f aca="false">SUM(F174:J174)</f>
        <v>202.799366940313</v>
      </c>
      <c r="L174" s="107" t="n">
        <f aca="false">E174-K174</f>
        <v>83.1609493359794</v>
      </c>
      <c r="M174" s="107" t="n">
        <f aca="false">MAX(0,-L174)</f>
        <v>0</v>
      </c>
      <c r="N174" s="122" t="n">
        <f aca="false">'Capital accounts'!L45</f>
        <v>0</v>
      </c>
      <c r="O174" s="122" t="n">
        <f aca="false">'War credit'!E45</f>
        <v>0</v>
      </c>
      <c r="P174" s="124" t="n">
        <f aca="false">'War credit'!AC45</f>
        <v>0</v>
      </c>
      <c r="Q174" s="122" t="str">
        <f aca="false">IF(O174&gt;0,'War credit'!AD45,IF(N174&gt;0,"Project funding unallocated","Capacity is MODEL"))</f>
        <v>Capacity is MODEL</v>
      </c>
      <c r="R174" s="103"/>
      <c r="S174" s="103"/>
    </row>
    <row r="175" customFormat="false" ht="19.5" hidden="false" customHeight="true" outlineLevel="0" collapsed="false">
      <c r="A175" s="111" t="n">
        <v>1886</v>
      </c>
      <c r="B175" s="122" t="n">
        <f aca="false">Economy!O46*$E$25</f>
        <v>305.372018513566</v>
      </c>
      <c r="C175" s="122" t="n">
        <f aca="false">MAX(0,Abroad!M46-Abroad!N46-Abroad!V46)*$E$27</f>
        <v>4.34230311777299</v>
      </c>
      <c r="D175" s="122" t="n">
        <f aca="false">Abroad!F46</f>
        <v>2.22167566888334</v>
      </c>
      <c r="E175" s="107" t="n">
        <f aca="false">SUM(B175:D175)</f>
        <v>311.935997300222</v>
      </c>
      <c r="F175" s="122" t="n">
        <f aca="false">Economy!O46*IF(A175=1862,$E$38,IF(OR(AND(A175&gt;=1861,A175&lt;=1865),AND(A175&gt;=1870,A175&lt;=1871)),$E$37,$E$26))</f>
        <v>208.208194441068</v>
      </c>
      <c r="G175" s="122" t="n">
        <f aca="false">'Debt &amp; cash'!Y46*issue_price</f>
        <v>0</v>
      </c>
      <c r="H175" s="122" t="n">
        <f aca="false">Abroad!C46</f>
        <v>8.32832777764271</v>
      </c>
      <c r="I175" s="122" t="n">
        <f aca="false">Abroad!D46</f>
        <v>0</v>
      </c>
      <c r="J175" s="122" t="n">
        <f aca="false">'Champion funding'!D46-'Champion funding'!K46+'Champion funding'!Q46+'Champion funding'!R46</f>
        <v>4.75071557328672</v>
      </c>
      <c r="K175" s="107" t="n">
        <f aca="false">SUM(F175:J175)</f>
        <v>221.287237791997</v>
      </c>
      <c r="L175" s="107" t="n">
        <f aca="false">E175-K175</f>
        <v>90.6487595082252</v>
      </c>
      <c r="M175" s="107" t="n">
        <f aca="false">MAX(0,-L175)</f>
        <v>0</v>
      </c>
      <c r="N175" s="122" t="n">
        <f aca="false">'Capital accounts'!L46</f>
        <v>0</v>
      </c>
      <c r="O175" s="122" t="n">
        <f aca="false">'War credit'!E46</f>
        <v>0</v>
      </c>
      <c r="P175" s="124" t="n">
        <f aca="false">'War credit'!AC46</f>
        <v>0</v>
      </c>
      <c r="Q175" s="122" t="str">
        <f aca="false">IF(O175&gt;0,'War credit'!AD46,IF(N175&gt;0,"Project funding unallocated","Capacity is MODEL"))</f>
        <v>Capacity is MODEL</v>
      </c>
      <c r="R175" s="103"/>
      <c r="S175" s="103"/>
    </row>
    <row r="176" customFormat="false" ht="19.5" hidden="false" customHeight="true" outlineLevel="0" collapsed="false">
      <c r="A176" s="111" t="n">
        <v>1887</v>
      </c>
      <c r="B176" s="122" t="n">
        <f aca="false">Economy!O47*$E$25</f>
        <v>326.995240275749</v>
      </c>
      <c r="C176" s="122" t="n">
        <f aca="false">MAX(0,Abroad!M47-Abroad!N47-Abroad!V47)*$E$27</f>
        <v>4.57214499811832</v>
      </c>
      <c r="D176" s="122" t="n">
        <f aca="false">Abroad!F47</f>
        <v>2.40487523214612</v>
      </c>
      <c r="E176" s="107" t="n">
        <f aca="false">SUM(B176:D176)</f>
        <v>333.972260506014</v>
      </c>
      <c r="F176" s="122" t="n">
        <f aca="false">Economy!O47*IF(A176=1862,$E$38,IF(OR(AND(A176&gt;=1861,A176&lt;=1865),AND(A176&gt;=1870,A176&lt;=1871)),$E$37,$E$26))</f>
        <v>222.951300188011</v>
      </c>
      <c r="G176" s="122" t="n">
        <f aca="false">'Debt &amp; cash'!Y47*issue_price</f>
        <v>34.6432974851515</v>
      </c>
      <c r="H176" s="122" t="n">
        <f aca="false">Abroad!C47</f>
        <v>8.91805200752044</v>
      </c>
      <c r="I176" s="122" t="n">
        <f aca="false">Abroad!D47</f>
        <v>0</v>
      </c>
      <c r="J176" s="122" t="n">
        <f aca="false">'Champion funding'!D47-'Champion funding'!K47+'Champion funding'!Q47+'Champion funding'!R47</f>
        <v>5.11972164777511</v>
      </c>
      <c r="K176" s="107" t="n">
        <f aca="false">SUM(F176:J176)</f>
        <v>271.632371328458</v>
      </c>
      <c r="L176" s="107" t="n">
        <f aca="false">E176-K176</f>
        <v>62.3398891775559</v>
      </c>
      <c r="M176" s="107" t="n">
        <f aca="false">MAX(0,-L176)</f>
        <v>0</v>
      </c>
      <c r="N176" s="122" t="n">
        <f aca="false">'Capital accounts'!L47</f>
        <v>0</v>
      </c>
      <c r="O176" s="122" t="n">
        <f aca="false">'War credit'!E47</f>
        <v>0</v>
      </c>
      <c r="P176" s="124" t="n">
        <f aca="false">'War credit'!AC47</f>
        <v>0</v>
      </c>
      <c r="Q176" s="122" t="str">
        <f aca="false">IF(O176&gt;0,'War credit'!AD47,IF(N176&gt;0,"Project funding unallocated","Capacity is MODEL"))</f>
        <v>Capacity is MODEL</v>
      </c>
      <c r="R176" s="103"/>
      <c r="S176" s="103"/>
    </row>
    <row r="177" customFormat="false" ht="19.5" hidden="false" customHeight="true" outlineLevel="0" collapsed="false">
      <c r="A177" s="111" t="n">
        <v>1888</v>
      </c>
      <c r="B177" s="122" t="n">
        <f aca="false">Economy!O48*$E$25</f>
        <v>351.686363530062</v>
      </c>
      <c r="C177" s="122" t="n">
        <f aca="false">MAX(0,Abroad!M48-Abroad!N48-Abroad!V48)*$E$27</f>
        <v>5.24557132785506</v>
      </c>
      <c r="D177" s="122" t="n">
        <f aca="false">Abroad!F48</f>
        <v>2.60027053540735</v>
      </c>
      <c r="E177" s="107" t="n">
        <f aca="false">SUM(B177:D177)</f>
        <v>359.532205393325</v>
      </c>
      <c r="F177" s="122" t="n">
        <f aca="false">Economy!O48*IF(A177=1862,$E$38,IF(OR(AND(A177&gt;=1861,A177&lt;=1865),AND(A177&gt;=1870,A177&lt;=1871)),$E$37,$E$26))</f>
        <v>239.786156952315</v>
      </c>
      <c r="G177" s="122" t="n">
        <f aca="false">'Debt &amp; cash'!Y48*issue_price</f>
        <v>13.3534129445266</v>
      </c>
      <c r="H177" s="122" t="n">
        <f aca="false">Abroad!C48</f>
        <v>9.59144627809261</v>
      </c>
      <c r="I177" s="122" t="n">
        <f aca="false">Abroad!D48</f>
        <v>0</v>
      </c>
      <c r="J177" s="122" t="n">
        <f aca="false">'Champion funding'!D48-'Champion funding'!K48+'Champion funding'!Q48+'Champion funding'!R48</f>
        <v>5.64030163483752</v>
      </c>
      <c r="K177" s="107" t="n">
        <f aca="false">SUM(F177:J177)</f>
        <v>268.371317809772</v>
      </c>
      <c r="L177" s="107" t="n">
        <f aca="false">E177-K177</f>
        <v>91.1608875835528</v>
      </c>
      <c r="M177" s="107" t="n">
        <f aca="false">MAX(0,-L177)</f>
        <v>0</v>
      </c>
      <c r="N177" s="122" t="n">
        <f aca="false">'Capital accounts'!L48</f>
        <v>0</v>
      </c>
      <c r="O177" s="122" t="n">
        <f aca="false">'War credit'!E48</f>
        <v>0</v>
      </c>
      <c r="P177" s="124" t="n">
        <f aca="false">'War credit'!AC48</f>
        <v>0</v>
      </c>
      <c r="Q177" s="122" t="str">
        <f aca="false">IF(O177&gt;0,'War credit'!AD48,IF(N177&gt;0,"Project funding unallocated","Capacity is MODEL"))</f>
        <v>Capacity is MODEL</v>
      </c>
      <c r="R177" s="103"/>
      <c r="S177" s="103"/>
    </row>
    <row r="178" customFormat="false" ht="19.5" hidden="false" customHeight="true" outlineLevel="0" collapsed="false">
      <c r="A178" s="111" t="n">
        <v>1889</v>
      </c>
      <c r="B178" s="122" t="n">
        <f aca="false">Economy!O49*$E$25</f>
        <v>375.562531278843</v>
      </c>
      <c r="C178" s="122" t="n">
        <f aca="false">MAX(0,Abroad!M49-Abroad!N49-Abroad!V49)*$E$27</f>
        <v>5.53017249800141</v>
      </c>
      <c r="D178" s="122" t="n">
        <f aca="false">Abroad!F49</f>
        <v>2.81000580768791</v>
      </c>
      <c r="E178" s="107" t="n">
        <f aca="false">SUM(B178:D178)</f>
        <v>383.902709584532</v>
      </c>
      <c r="F178" s="122" t="n">
        <f aca="false">Economy!O49*IF(A178=1862,$E$38,IF(OR(AND(A178&gt;=1861,A178&lt;=1865),AND(A178&gt;=1870,A178&lt;=1871)),$E$37,$E$26))</f>
        <v>256.065362235575</v>
      </c>
      <c r="G178" s="122" t="n">
        <f aca="false">'Debt &amp; cash'!Y49*issue_price</f>
        <v>6.81422685654553</v>
      </c>
      <c r="H178" s="122" t="n">
        <f aca="false">Abroad!C49</f>
        <v>10.242614489423</v>
      </c>
      <c r="I178" s="122" t="n">
        <f aca="false">Abroad!D49</f>
        <v>0</v>
      </c>
      <c r="J178" s="122" t="n">
        <f aca="false">'Champion funding'!D49-'Champion funding'!K49+'Champion funding'!Q49+'Champion funding'!R49</f>
        <v>6.11852716189916</v>
      </c>
      <c r="K178" s="107" t="n">
        <f aca="false">SUM(F178:J178)</f>
        <v>279.240730743442</v>
      </c>
      <c r="L178" s="107" t="n">
        <f aca="false">E178-K178</f>
        <v>104.66197884109</v>
      </c>
      <c r="M178" s="107" t="n">
        <f aca="false">MAX(0,-L178)</f>
        <v>0</v>
      </c>
      <c r="N178" s="122" t="n">
        <f aca="false">'Capital accounts'!L49</f>
        <v>0</v>
      </c>
      <c r="O178" s="122" t="n">
        <f aca="false">'War credit'!E49</f>
        <v>0</v>
      </c>
      <c r="P178" s="124" t="n">
        <f aca="false">'War credit'!AC49</f>
        <v>0</v>
      </c>
      <c r="Q178" s="122" t="str">
        <f aca="false">IF(O178&gt;0,'War credit'!AD49,IF(N178&gt;0,"Project funding unallocated","Capacity is MODEL"))</f>
        <v>Capacity is MODEL</v>
      </c>
      <c r="R178" s="103"/>
      <c r="S178" s="103"/>
    </row>
    <row r="179" customFormat="false" ht="19.5" hidden="false" customHeight="true" outlineLevel="0" collapsed="false">
      <c r="A179" s="111" t="n">
        <v>1890</v>
      </c>
      <c r="B179" s="122" t="n">
        <f aca="false">Economy!O50*$E$25</f>
        <v>408.798279423011</v>
      </c>
      <c r="C179" s="122" t="n">
        <f aca="false">MAX(0,Abroad!M50-Abroad!N50-Abroad!V50)*$E$27</f>
        <v>6.31360466407772</v>
      </c>
      <c r="D179" s="122" t="n">
        <f aca="false">Abroad!F50</f>
        <v>3.03298406813996</v>
      </c>
      <c r="E179" s="107" t="n">
        <f aca="false">SUM(B179:D179)</f>
        <v>418.144868155229</v>
      </c>
      <c r="F179" s="122" t="n">
        <f aca="false">Economy!O50*IF(A179=1862,$E$38,IF(OR(AND(A179&gt;=1861,A179&lt;=1865),AND(A179&gt;=1870,A179&lt;=1871)),$E$37,$E$26))</f>
        <v>278.726099606598</v>
      </c>
      <c r="G179" s="122" t="n">
        <f aca="false">'Debt &amp; cash'!Y50*issue_price</f>
        <v>13.3151636226049</v>
      </c>
      <c r="H179" s="122" t="n">
        <f aca="false">Abroad!C50</f>
        <v>11.1490439842639</v>
      </c>
      <c r="I179" s="122" t="n">
        <f aca="false">Abroad!D50</f>
        <v>0</v>
      </c>
      <c r="J179" s="122" t="n">
        <f aca="false">'Champion funding'!D50-'Champion funding'!K50+'Champion funding'!Q50+'Champion funding'!R50</f>
        <v>6.84397128239001</v>
      </c>
      <c r="K179" s="107" t="n">
        <f aca="false">SUM(F179:J179)</f>
        <v>310.034278495857</v>
      </c>
      <c r="L179" s="107" t="n">
        <f aca="false">E179-K179</f>
        <v>108.110589659371</v>
      </c>
      <c r="M179" s="107" t="n">
        <f aca="false">MAX(0,-L179)</f>
        <v>0</v>
      </c>
      <c r="N179" s="122" t="n">
        <f aca="false">'Capital accounts'!L50</f>
        <v>0</v>
      </c>
      <c r="O179" s="122" t="n">
        <f aca="false">'War credit'!E50</f>
        <v>0</v>
      </c>
      <c r="P179" s="124" t="n">
        <f aca="false">'War credit'!AC50</f>
        <v>0</v>
      </c>
      <c r="Q179" s="122" t="str">
        <f aca="false">IF(O179&gt;0,'War credit'!AD50,IF(N179&gt;0,"Project funding unallocated","Capacity is MODEL"))</f>
        <v>Capacity is MODEL</v>
      </c>
      <c r="R179" s="103"/>
      <c r="S179" s="103"/>
    </row>
    <row r="180" customFormat="false" ht="19.5" hidden="false" customHeight="true" outlineLevel="0" collapsed="false">
      <c r="A180" s="111" t="n">
        <v>1891</v>
      </c>
      <c r="B180" s="122" t="n">
        <f aca="false">Economy!O51*$E$25</f>
        <v>439.454286911621</v>
      </c>
      <c r="C180" s="122" t="n">
        <f aca="false">MAX(0,Abroad!M51-Abroad!N51-Abroad!V51)*$E$27</f>
        <v>7.4230216288876</v>
      </c>
      <c r="D180" s="122" t="n">
        <f aca="false">Abroad!F51</f>
        <v>3.27646586562368</v>
      </c>
      <c r="E180" s="107" t="n">
        <f aca="false">SUM(B180:D180)</f>
        <v>450.153774406133</v>
      </c>
      <c r="F180" s="122" t="n">
        <f aca="false">Economy!O51*IF(A180=1862,$E$38,IF(OR(AND(A180&gt;=1861,A180&lt;=1865),AND(A180&gt;=1870,A180&lt;=1871)),$E$37,$E$26))</f>
        <v>299.627922894287</v>
      </c>
      <c r="G180" s="122" t="n">
        <f aca="false">'Debt &amp; cash'!Y51*issue_price</f>
        <v>14.7796704635519</v>
      </c>
      <c r="H180" s="122" t="n">
        <f aca="false">Abroad!C51</f>
        <v>11.9851169157715</v>
      </c>
      <c r="I180" s="122" t="n">
        <f aca="false">Abroad!D51</f>
        <v>0</v>
      </c>
      <c r="J180" s="122" t="n">
        <f aca="false">'Champion funding'!D51-'Champion funding'!K51+'Champion funding'!Q51+'Champion funding'!R51</f>
        <v>8.18362618283447</v>
      </c>
      <c r="K180" s="107" t="n">
        <f aca="false">SUM(F180:J180)</f>
        <v>334.576336456445</v>
      </c>
      <c r="L180" s="107" t="n">
        <f aca="false">E180-K180</f>
        <v>115.577437949687</v>
      </c>
      <c r="M180" s="107" t="n">
        <f aca="false">MAX(0,-L180)</f>
        <v>0</v>
      </c>
      <c r="N180" s="122" t="n">
        <f aca="false">'Capital accounts'!L51</f>
        <v>0</v>
      </c>
      <c r="O180" s="122" t="n">
        <f aca="false">'War credit'!E51</f>
        <v>0</v>
      </c>
      <c r="P180" s="124" t="n">
        <f aca="false">'War credit'!AC51</f>
        <v>0</v>
      </c>
      <c r="Q180" s="122" t="str">
        <f aca="false">IF(O180&gt;0,'War credit'!AD51,IF(N180&gt;0,"Project funding unallocated","Capacity is MODEL"))</f>
        <v>Capacity is MODEL</v>
      </c>
      <c r="R180" s="103"/>
      <c r="S180" s="103"/>
    </row>
    <row r="181" customFormat="false" ht="19.5" hidden="false" customHeight="true" outlineLevel="0" collapsed="false">
      <c r="A181" s="111" t="n">
        <v>1892</v>
      </c>
      <c r="B181" s="122" t="n">
        <f aca="false">Economy!O52*$E$25</f>
        <v>471.209264117966</v>
      </c>
      <c r="C181" s="122" t="n">
        <f aca="false">MAX(0,Abroad!M52-Abroad!N52-Abroad!V52)*$E$27</f>
        <v>8.14902904175181</v>
      </c>
      <c r="D181" s="122" t="n">
        <f aca="false">Abroad!F52</f>
        <v>3.53772539712812</v>
      </c>
      <c r="E181" s="107" t="n">
        <f aca="false">SUM(B181:D181)</f>
        <v>482.896018556846</v>
      </c>
      <c r="F181" s="122" t="n">
        <f aca="false">Economy!O52*IF(A181=1862,$E$38,IF(OR(AND(A181&gt;=1861,A181&lt;=1865),AND(A181&gt;=1870,A181&lt;=1871)),$E$37,$E$26))</f>
        <v>321.279043716795</v>
      </c>
      <c r="G181" s="122" t="n">
        <f aca="false">'Debt &amp; cash'!Y52*issue_price</f>
        <v>16.9054401537287</v>
      </c>
      <c r="H181" s="122" t="n">
        <f aca="false">Abroad!C52</f>
        <v>12.8511617486718</v>
      </c>
      <c r="I181" s="122" t="n">
        <f aca="false">Abroad!D52</f>
        <v>0</v>
      </c>
      <c r="J181" s="122" t="n">
        <f aca="false">'Champion funding'!D52-'Champion funding'!K52+'Champion funding'!Q52+'Champion funding'!R52</f>
        <v>9.8729237994872</v>
      </c>
      <c r="K181" s="107" t="n">
        <f aca="false">SUM(F181:J181)</f>
        <v>360.908569418683</v>
      </c>
      <c r="L181" s="107" t="n">
        <f aca="false">E181-K181</f>
        <v>121.987449138163</v>
      </c>
      <c r="M181" s="107" t="n">
        <f aca="false">MAX(0,-L181)</f>
        <v>0</v>
      </c>
      <c r="N181" s="122" t="n">
        <f aca="false">'Capital accounts'!L52</f>
        <v>0</v>
      </c>
      <c r="O181" s="122" t="n">
        <f aca="false">'War credit'!E52</f>
        <v>0</v>
      </c>
      <c r="P181" s="124" t="n">
        <f aca="false">'War credit'!AC52</f>
        <v>0</v>
      </c>
      <c r="Q181" s="122" t="str">
        <f aca="false">IF(O181&gt;0,'War credit'!AD52,IF(N181&gt;0,"Project funding unallocated","Capacity is MODEL"))</f>
        <v>Capacity is MODEL</v>
      </c>
      <c r="R181" s="103"/>
      <c r="S181" s="103"/>
    </row>
    <row r="182" customFormat="false" ht="19.5" hidden="false" customHeight="true" outlineLevel="0" collapsed="false">
      <c r="A182" s="111" t="n">
        <v>1893</v>
      </c>
      <c r="B182" s="122" t="n">
        <f aca="false">Economy!O53*$E$25</f>
        <v>479.604505529477</v>
      </c>
      <c r="C182" s="122" t="n">
        <f aca="false">MAX(0,Abroad!M53-Abroad!N53-Abroad!V53)*$E$27</f>
        <v>9.01286366850239</v>
      </c>
      <c r="D182" s="122" t="n">
        <f aca="false">Abroad!F53</f>
        <v>3.81712848767443</v>
      </c>
      <c r="E182" s="107" t="n">
        <f aca="false">SUM(B182:D182)</f>
        <v>492.434497685653</v>
      </c>
      <c r="F182" s="122" t="n">
        <f aca="false">Economy!O53*IF(A182=1862,$E$38,IF(OR(AND(A182&gt;=1861,A182&lt;=1865),AND(A182&gt;=1870,A182&lt;=1871)),$E$37,$E$26))</f>
        <v>327.003071951916</v>
      </c>
      <c r="G182" s="122" t="n">
        <f aca="false">'Debt &amp; cash'!Y53*issue_price</f>
        <v>12.1149398317496</v>
      </c>
      <c r="H182" s="122" t="n">
        <f aca="false">Abroad!C53</f>
        <v>13.0801228780766</v>
      </c>
      <c r="I182" s="122" t="n">
        <f aca="false">Abroad!D53</f>
        <v>0</v>
      </c>
      <c r="J182" s="122" t="n">
        <f aca="false">'Champion funding'!D53-'Champion funding'!K53+'Champion funding'!Q53+'Champion funding'!R53</f>
        <v>11.6412354759356</v>
      </c>
      <c r="K182" s="107" t="n">
        <f aca="false">SUM(F182:J182)</f>
        <v>363.839370137678</v>
      </c>
      <c r="L182" s="107" t="n">
        <f aca="false">E182-K182</f>
        <v>128.595127547976</v>
      </c>
      <c r="M182" s="107" t="n">
        <f aca="false">MAX(0,-L182)</f>
        <v>0</v>
      </c>
      <c r="N182" s="122" t="n">
        <f aca="false">'Capital accounts'!L53</f>
        <v>0</v>
      </c>
      <c r="O182" s="122" t="n">
        <f aca="false">'War credit'!E53</f>
        <v>0</v>
      </c>
      <c r="P182" s="124" t="n">
        <f aca="false">'War credit'!AC53</f>
        <v>0</v>
      </c>
      <c r="Q182" s="122" t="str">
        <f aca="false">IF(O182&gt;0,'War credit'!AD53,IF(N182&gt;0,"Project funding unallocated","Capacity is MODEL"))</f>
        <v>Capacity is MODEL</v>
      </c>
      <c r="R182" s="103"/>
      <c r="S182" s="103"/>
    </row>
    <row r="183" customFormat="false" ht="19.5" hidden="false" customHeight="true" outlineLevel="0" collapsed="false">
      <c r="A183" s="111" t="n">
        <v>1894</v>
      </c>
      <c r="B183" s="122" t="n">
        <f aca="false">Economy!O54*$E$25</f>
        <v>506.472635871953</v>
      </c>
      <c r="C183" s="122" t="n">
        <f aca="false">MAX(0,Abroad!M54-Abroad!N54-Abroad!V54)*$E$27</f>
        <v>9.85088155566274</v>
      </c>
      <c r="D183" s="122" t="n">
        <f aca="false">Abroad!F54</f>
        <v>4.09501831938649</v>
      </c>
      <c r="E183" s="107" t="n">
        <f aca="false">SUM(B183:D183)</f>
        <v>520.418535747002</v>
      </c>
      <c r="F183" s="122" t="n">
        <f aca="false">Economy!O54*IF(A183=1862,$E$38,IF(OR(AND(A183&gt;=1861,A183&lt;=1865),AND(A183&gt;=1870,A183&lt;=1871)),$E$37,$E$26))</f>
        <v>345.322251730877</v>
      </c>
      <c r="G183" s="122" t="n">
        <f aca="false">'Debt &amp; cash'!Y54*issue_price</f>
        <v>13.5512004637239</v>
      </c>
      <c r="H183" s="122" t="n">
        <f aca="false">Abroad!C54</f>
        <v>13.8128900692351</v>
      </c>
      <c r="I183" s="122" t="n">
        <f aca="false">Abroad!D54</f>
        <v>0</v>
      </c>
      <c r="J183" s="122" t="n">
        <f aca="false">'Champion funding'!D54-'Champion funding'!K54+'Champion funding'!Q54+'Champion funding'!R54</f>
        <v>13.4125785309827</v>
      </c>
      <c r="K183" s="107" t="n">
        <f aca="false">SUM(F183:J183)</f>
        <v>386.098920794819</v>
      </c>
      <c r="L183" s="107" t="n">
        <f aca="false">E183-K183</f>
        <v>134.319614952183</v>
      </c>
      <c r="M183" s="107" t="n">
        <f aca="false">MAX(0,-L183)</f>
        <v>0</v>
      </c>
      <c r="N183" s="122" t="n">
        <f aca="false">'Capital accounts'!L54</f>
        <v>0</v>
      </c>
      <c r="O183" s="122" t="n">
        <f aca="false">'War credit'!E54</f>
        <v>0</v>
      </c>
      <c r="P183" s="124" t="n">
        <f aca="false">'War credit'!AC54</f>
        <v>0</v>
      </c>
      <c r="Q183" s="122" t="str">
        <f aca="false">IF(O183&gt;0,'War credit'!AD54,IF(N183&gt;0,"Project funding unallocated","Capacity is MODEL"))</f>
        <v>Capacity is MODEL</v>
      </c>
      <c r="R183" s="103"/>
      <c r="S183" s="103"/>
    </row>
    <row r="184" customFormat="false" ht="19.5" hidden="false" customHeight="true" outlineLevel="0" collapsed="false">
      <c r="A184" s="111" t="n">
        <v>1895</v>
      </c>
      <c r="B184" s="122" t="n">
        <f aca="false">Economy!O55*$E$25</f>
        <v>555.68736682558</v>
      </c>
      <c r="C184" s="122" t="n">
        <f aca="false">MAX(0,Abroad!M55-Abroad!N55-Abroad!V55)*$E$27</f>
        <v>10.6637725684551</v>
      </c>
      <c r="D184" s="122" t="n">
        <f aca="false">Abroad!F55</f>
        <v>4.38655447188195</v>
      </c>
      <c r="E184" s="107" t="n">
        <f aca="false">SUM(B184:D184)</f>
        <v>570.737693865917</v>
      </c>
      <c r="F184" s="122" t="n">
        <f aca="false">Economy!O55*IF(A184=1862,$E$38,IF(OR(AND(A184&gt;=1861,A184&lt;=1865),AND(A184&gt;=1870,A184&lt;=1871)),$E$37,$E$26))</f>
        <v>378.87775010835</v>
      </c>
      <c r="G184" s="122" t="n">
        <f aca="false">'Debt &amp; cash'!Y55*issue_price</f>
        <v>13.082695036576</v>
      </c>
      <c r="H184" s="122" t="n">
        <f aca="false">Abroad!C55</f>
        <v>15.155110004334</v>
      </c>
      <c r="I184" s="122" t="n">
        <f aca="false">Abroad!D55</f>
        <v>0</v>
      </c>
      <c r="J184" s="122" t="n">
        <f aca="false">'Champion funding'!D55-'Champion funding'!K55+'Champion funding'!Q55+'Champion funding'!R55</f>
        <v>15.0714984362037</v>
      </c>
      <c r="K184" s="107" t="n">
        <f aca="false">SUM(F184:J184)</f>
        <v>422.187053585464</v>
      </c>
      <c r="L184" s="107" t="n">
        <f aca="false">E184-K184</f>
        <v>148.550640280453</v>
      </c>
      <c r="M184" s="107" t="n">
        <f aca="false">MAX(0,-L184)</f>
        <v>0</v>
      </c>
      <c r="N184" s="122" t="n">
        <f aca="false">'Capital accounts'!L55</f>
        <v>0</v>
      </c>
      <c r="O184" s="122" t="n">
        <f aca="false">'War credit'!E55</f>
        <v>0</v>
      </c>
      <c r="P184" s="124" t="n">
        <f aca="false">'War credit'!AC55</f>
        <v>0</v>
      </c>
      <c r="Q184" s="122" t="str">
        <f aca="false">IF(O184&gt;0,'War credit'!AD55,IF(N184&gt;0,"Project funding unallocated","Capacity is MODEL"))</f>
        <v>Capacity is MODEL</v>
      </c>
      <c r="R184" s="103"/>
      <c r="S184" s="103"/>
    </row>
    <row r="185" customFormat="false" ht="19.5" hidden="false" customHeight="true" outlineLevel="0" collapsed="false">
      <c r="A185" s="111" t="n">
        <v>1896</v>
      </c>
      <c r="B185" s="122" t="n">
        <f aca="false">Economy!O56*$E$25</f>
        <v>595.130754384879</v>
      </c>
      <c r="C185" s="122" t="n">
        <f aca="false">MAX(0,Abroad!M56-Abroad!N56-Abroad!V56)*$E$27</f>
        <v>11.6084949328032</v>
      </c>
      <c r="D185" s="122" t="n">
        <f aca="false">Abroad!F56</f>
        <v>4.70961113785551</v>
      </c>
      <c r="E185" s="107" t="n">
        <f aca="false">SUM(B185:D185)</f>
        <v>611.448860455537</v>
      </c>
      <c r="F185" s="122" t="n">
        <f aca="false">Economy!O56*IF(A185=1862,$E$38,IF(OR(AND(A185&gt;=1861,A185&lt;=1865),AND(A185&gt;=1870,A185&lt;=1871)),$E$37,$E$26))</f>
        <v>405.770968898781</v>
      </c>
      <c r="G185" s="122" t="n">
        <f aca="false">'Debt &amp; cash'!Y56*issue_price</f>
        <v>18.3650652328766</v>
      </c>
      <c r="H185" s="122" t="n">
        <f aca="false">Abroad!C56</f>
        <v>54.1027958531708</v>
      </c>
      <c r="I185" s="122" t="n">
        <f aca="false">Abroad!D56</f>
        <v>0</v>
      </c>
      <c r="J185" s="122" t="n">
        <f aca="false">'Champion funding'!D56-'Champion funding'!K56+'Champion funding'!Q56+'Champion funding'!R56</f>
        <v>16.9125717454671</v>
      </c>
      <c r="K185" s="107" t="n">
        <f aca="false">SUM(F185:J185)</f>
        <v>495.151401730295</v>
      </c>
      <c r="L185" s="107" t="n">
        <f aca="false">E185-K185</f>
        <v>116.297458725242</v>
      </c>
      <c r="M185" s="107" t="n">
        <f aca="false">MAX(0,-L185)</f>
        <v>0</v>
      </c>
      <c r="N185" s="122" t="n">
        <f aca="false">'Capital accounts'!L56</f>
        <v>0</v>
      </c>
      <c r="O185" s="122" t="n">
        <f aca="false">'War credit'!E56</f>
        <v>0</v>
      </c>
      <c r="P185" s="124" t="n">
        <f aca="false">'War credit'!AC56</f>
        <v>0</v>
      </c>
      <c r="Q185" s="122" t="str">
        <f aca="false">IF(O185&gt;0,'War credit'!AD56,IF(N185&gt;0,"Project funding unallocated","Capacity is MODEL"))</f>
        <v>Capacity is MODEL</v>
      </c>
      <c r="R185" s="103"/>
      <c r="S185" s="103"/>
    </row>
    <row r="186" customFormat="false" ht="19.5" hidden="false" customHeight="true" outlineLevel="0" collapsed="false">
      <c r="A186" s="111" t="n">
        <v>1897</v>
      </c>
      <c r="B186" s="122" t="n">
        <f aca="false">Economy!O57*$E$25</f>
        <v>671.29083584979</v>
      </c>
      <c r="C186" s="122" t="n">
        <f aca="false">MAX(0,Abroad!M57-Abroad!N57-Abroad!V57)*$E$27</f>
        <v>13.707657611387</v>
      </c>
      <c r="D186" s="122" t="n">
        <f aca="false">Abroad!F57</f>
        <v>6.19140667931497</v>
      </c>
      <c r="E186" s="107" t="n">
        <f aca="false">SUM(B186:D186)</f>
        <v>691.189900140492</v>
      </c>
      <c r="F186" s="122" t="n">
        <f aca="false">Economy!O57*IF(A186=1862,$E$38,IF(OR(AND(A186&gt;=1861,A186&lt;=1865),AND(A186&gt;=1870,A186&lt;=1871)),$E$37,$E$26))</f>
        <v>457.698297170311</v>
      </c>
      <c r="G186" s="122" t="n">
        <f aca="false">'Debt &amp; cash'!Y57*issue_price</f>
        <v>22.1985596714001</v>
      </c>
      <c r="H186" s="122" t="n">
        <f aca="false">Abroad!C57</f>
        <v>61.0264396227082</v>
      </c>
      <c r="I186" s="122" t="n">
        <f aca="false">Abroad!D57</f>
        <v>0</v>
      </c>
      <c r="J186" s="122" t="n">
        <f aca="false">'Champion funding'!D57-'Champion funding'!K57+'Champion funding'!Q57+'Champion funding'!R57</f>
        <v>18.7860550848523</v>
      </c>
      <c r="K186" s="107" t="n">
        <f aca="false">SUM(F186:J186)</f>
        <v>559.709351549272</v>
      </c>
      <c r="L186" s="107" t="n">
        <f aca="false">E186-K186</f>
        <v>131.48054859122</v>
      </c>
      <c r="M186" s="107" t="n">
        <f aca="false">MAX(0,-L186)</f>
        <v>0</v>
      </c>
      <c r="N186" s="122" t="n">
        <f aca="false">'Capital accounts'!L57</f>
        <v>0</v>
      </c>
      <c r="O186" s="122" t="n">
        <f aca="false">'War credit'!E57</f>
        <v>0</v>
      </c>
      <c r="P186" s="124" t="n">
        <f aca="false">'War credit'!AC57</f>
        <v>0</v>
      </c>
      <c r="Q186" s="122" t="str">
        <f aca="false">IF(O186&gt;0,'War credit'!AD57,IF(N186&gt;0,"Project funding unallocated","Capacity is MODEL"))</f>
        <v>Capacity is MODEL</v>
      </c>
      <c r="R186" s="103"/>
      <c r="S186" s="103"/>
    </row>
    <row r="187" customFormat="false" ht="19.5" hidden="false" customHeight="true" outlineLevel="0" collapsed="false">
      <c r="A187" s="111" t="n">
        <v>1898</v>
      </c>
      <c r="B187" s="122" t="n">
        <f aca="false">Economy!O58*$E$25</f>
        <v>738.981853227276</v>
      </c>
      <c r="C187" s="122" t="n">
        <f aca="false">MAX(0,Abroad!M58-Abroad!N58-Abroad!V58)*$E$27</f>
        <v>16.0774763788442</v>
      </c>
      <c r="D187" s="122" t="n">
        <f aca="false">Abroad!F58</f>
        <v>7.83645766761677</v>
      </c>
      <c r="E187" s="107" t="n">
        <f aca="false">SUM(B187:D187)</f>
        <v>762.895787273737</v>
      </c>
      <c r="F187" s="122" t="n">
        <f aca="false">Economy!O58*IF(A187=1862,$E$38,IF(OR(AND(A187&gt;=1861,A187&lt;=1865),AND(A187&gt;=1870,A187&lt;=1871)),$E$37,$E$26))</f>
        <v>503.851263564052</v>
      </c>
      <c r="G187" s="122" t="n">
        <f aca="false">'Debt &amp; cash'!Y58*issue_price</f>
        <v>19.6953549343469</v>
      </c>
      <c r="H187" s="122" t="n">
        <f aca="false">Abroad!C58</f>
        <v>67.1801684752069</v>
      </c>
      <c r="I187" s="122" t="n">
        <f aca="false">Abroad!D58</f>
        <v>0</v>
      </c>
      <c r="J187" s="122" t="n">
        <f aca="false">'Champion funding'!D58-'Champion funding'!K58+'Champion funding'!Q58+'Champion funding'!R58</f>
        <v>20.582882991913</v>
      </c>
      <c r="K187" s="107" t="n">
        <f aca="false">SUM(F187:J187)</f>
        <v>611.309669965519</v>
      </c>
      <c r="L187" s="107" t="n">
        <f aca="false">E187-K187</f>
        <v>151.586117308218</v>
      </c>
      <c r="M187" s="107" t="n">
        <f aca="false">MAX(0,-L187)</f>
        <v>0</v>
      </c>
      <c r="N187" s="122" t="n">
        <f aca="false">'Capital accounts'!L58</f>
        <v>0</v>
      </c>
      <c r="O187" s="122" t="n">
        <f aca="false">'War credit'!E58</f>
        <v>0</v>
      </c>
      <c r="P187" s="124" t="n">
        <f aca="false">'War credit'!AC58</f>
        <v>0</v>
      </c>
      <c r="Q187" s="122" t="str">
        <f aca="false">IF(O187&gt;0,'War credit'!AD58,IF(N187&gt;0,"Project funding unallocated","Capacity is MODEL"))</f>
        <v>Capacity is MODEL</v>
      </c>
      <c r="R187" s="103"/>
      <c r="S187" s="103"/>
    </row>
    <row r="188" customFormat="false" ht="19.5" hidden="false" customHeight="true" outlineLevel="0" collapsed="false">
      <c r="A188" s="111" t="n">
        <v>1899</v>
      </c>
      <c r="B188" s="122" t="n">
        <f aca="false">Economy!O59*$E$25</f>
        <v>811.381549701718</v>
      </c>
      <c r="C188" s="122" t="n">
        <f aca="false">MAX(0,Abroad!M59-Abroad!N59-Abroad!V59)*$E$27</f>
        <v>18.5244868943497</v>
      </c>
      <c r="D188" s="122" t="n">
        <f aca="false">Abroad!F59</f>
        <v>9.61676899184447</v>
      </c>
      <c r="E188" s="107" t="n">
        <f aca="false">SUM(B188:D188)</f>
        <v>839.522805587912</v>
      </c>
      <c r="F188" s="122" t="n">
        <f aca="false">Economy!O59*IF(A188=1862,$E$38,IF(OR(AND(A188&gt;=1861,A188&lt;=1865),AND(A188&gt;=1870,A188&lt;=1871)),$E$37,$E$26))</f>
        <v>553.214692978444</v>
      </c>
      <c r="G188" s="122" t="n">
        <f aca="false">'Debt &amp; cash'!Y59*issue_price</f>
        <v>22.2468752522649</v>
      </c>
      <c r="H188" s="122" t="n">
        <f aca="false">Abroad!C59</f>
        <v>73.7619590637926</v>
      </c>
      <c r="I188" s="122" t="n">
        <f aca="false">Abroad!D59</f>
        <v>0</v>
      </c>
      <c r="J188" s="122" t="n">
        <f aca="false">'Champion funding'!D59-'Champion funding'!K59+'Champion funding'!Q59+'Champion funding'!R59</f>
        <v>22.3960013391803</v>
      </c>
      <c r="K188" s="107" t="n">
        <f aca="false">SUM(F188:J188)</f>
        <v>671.619528633682</v>
      </c>
      <c r="L188" s="107" t="n">
        <f aca="false">E188-K188</f>
        <v>167.90327695423</v>
      </c>
      <c r="M188" s="107" t="n">
        <f aca="false">MAX(0,-L188)</f>
        <v>0</v>
      </c>
      <c r="N188" s="122" t="n">
        <f aca="false">'Capital accounts'!L59</f>
        <v>0</v>
      </c>
      <c r="O188" s="122" t="n">
        <f aca="false">'War credit'!E59</f>
        <v>0</v>
      </c>
      <c r="P188" s="124" t="n">
        <f aca="false">'War credit'!AC59</f>
        <v>0</v>
      </c>
      <c r="Q188" s="122" t="str">
        <f aca="false">IF(O188&gt;0,'War credit'!AD59,IF(N188&gt;0,"Project funding unallocated","Capacity is MODEL"))</f>
        <v>Capacity is MODEL</v>
      </c>
      <c r="R188" s="103"/>
      <c r="S188" s="103"/>
    </row>
    <row r="189" customFormat="false" ht="19.5" hidden="false" customHeight="true" outlineLevel="0" collapsed="false">
      <c r="A189" s="111" t="n">
        <v>1900</v>
      </c>
      <c r="B189" s="122" t="n">
        <f aca="false">Economy!O60*$E$25</f>
        <v>892.180146405746</v>
      </c>
      <c r="C189" s="122" t="n">
        <f aca="false">MAX(0,Abroad!M60-Abroad!N60-Abroad!V60)*$E$27</f>
        <v>21.1853456514992</v>
      </c>
      <c r="D189" s="122" t="n">
        <f aca="false">Abroad!F60</f>
        <v>11.5411246940029</v>
      </c>
      <c r="E189" s="107" t="n">
        <f aca="false">SUM(B189:D189)</f>
        <v>924.906616751248</v>
      </c>
      <c r="F189" s="122" t="n">
        <f aca="false">Economy!O60*IF(A189=1862,$E$38,IF(OR(AND(A189&gt;=1861,A189&lt;=1865),AND(A189&gt;=1870,A189&lt;=1871)),$E$37,$E$26))</f>
        <v>608.304645276645</v>
      </c>
      <c r="G189" s="122" t="n">
        <f aca="false">'Debt &amp; cash'!Y60*issue_price</f>
        <v>31.3484141321061</v>
      </c>
      <c r="H189" s="122" t="n">
        <f aca="false">Abroad!C60</f>
        <v>81.107286036886</v>
      </c>
      <c r="I189" s="122" t="n">
        <f aca="false">Abroad!D60</f>
        <v>0</v>
      </c>
      <c r="J189" s="122" t="n">
        <f aca="false">'Champion funding'!D60-'Champion funding'!K60+'Champion funding'!Q60+'Champion funding'!R60</f>
        <v>24.3649743421681</v>
      </c>
      <c r="K189" s="107" t="n">
        <f aca="false">SUM(F189:J189)</f>
        <v>745.125319787805</v>
      </c>
      <c r="L189" s="107" t="n">
        <f aca="false">E189-K189</f>
        <v>179.781296963443</v>
      </c>
      <c r="M189" s="107" t="n">
        <f aca="false">MAX(0,-L189)</f>
        <v>0</v>
      </c>
      <c r="N189" s="122" t="n">
        <f aca="false">'Capital accounts'!L60</f>
        <v>0</v>
      </c>
      <c r="O189" s="122" t="n">
        <f aca="false">'War credit'!E60</f>
        <v>0</v>
      </c>
      <c r="P189" s="124" t="n">
        <f aca="false">'War credit'!AC60</f>
        <v>0</v>
      </c>
      <c r="Q189" s="122" t="str">
        <f aca="false">IF(O189&gt;0,'War credit'!AD60,IF(N189&gt;0,"Project funding unallocated","Capacity is MODEL"))</f>
        <v>Capacity is MODEL</v>
      </c>
      <c r="R189" s="103"/>
      <c r="S189" s="103"/>
    </row>
    <row r="190" customFormat="false" ht="19.5" hidden="false" customHeight="true" outlineLevel="0" collapsed="false">
      <c r="A190" s="111" t="n">
        <v>1901</v>
      </c>
      <c r="B190" s="122" t="n">
        <f aca="false">Economy!O61*$E$25</f>
        <v>975.720111919625</v>
      </c>
      <c r="C190" s="122" t="n">
        <f aca="false">MAX(0,Abroad!M61-Abroad!N61-Abroad!V61)*$E$27</f>
        <v>42.9302900038513</v>
      </c>
      <c r="D190" s="122" t="n">
        <f aca="false">Abroad!F61</f>
        <v>13.6281095342894</v>
      </c>
      <c r="E190" s="107" t="n">
        <f aca="false">SUM(B190:D190)</f>
        <v>1032.27851145777</v>
      </c>
      <c r="F190" s="122" t="n">
        <f aca="false">Economy!O61*IF(A190=1862,$E$38,IF(OR(AND(A190&gt;=1861,A190&lt;=1865),AND(A190&gt;=1870,A190&lt;=1871)),$E$37,$E$26))</f>
        <v>665.263712672471</v>
      </c>
      <c r="G190" s="122" t="n">
        <f aca="false">'Debt &amp; cash'!Y61*issue_price</f>
        <v>39.295433496227</v>
      </c>
      <c r="H190" s="122" t="n">
        <f aca="false">Abroad!C61</f>
        <v>88.7018283563295</v>
      </c>
      <c r="I190" s="122" t="n">
        <f aca="false">Abroad!D61</f>
        <v>0</v>
      </c>
      <c r="J190" s="122" t="n">
        <f aca="false">'Champion funding'!D61-'Champion funding'!K61+'Champion funding'!Q61+'Champion funding'!R61</f>
        <v>37.0391870918006</v>
      </c>
      <c r="K190" s="107" t="n">
        <f aca="false">SUM(F190:J190)</f>
        <v>830.300161616828</v>
      </c>
      <c r="L190" s="107" t="n">
        <f aca="false">E190-K190</f>
        <v>201.978349840937</v>
      </c>
      <c r="M190" s="107" t="n">
        <f aca="false">MAX(0,-L190)</f>
        <v>0</v>
      </c>
      <c r="N190" s="122" t="n">
        <f aca="false">'Capital accounts'!L61</f>
        <v>0</v>
      </c>
      <c r="O190" s="122" t="n">
        <f aca="false">'War credit'!E61</f>
        <v>0</v>
      </c>
      <c r="P190" s="124" t="n">
        <f aca="false">'War credit'!AC61</f>
        <v>0</v>
      </c>
      <c r="Q190" s="122" t="str">
        <f aca="false">IF(O190&gt;0,'War credit'!AD61,IF(N190&gt;0,"Project funding unallocated","Capacity is MODEL"))</f>
        <v>Capacity is MODEL</v>
      </c>
      <c r="R190" s="103"/>
      <c r="S190" s="103"/>
    </row>
    <row r="191" customFormat="false" ht="19.5" hidden="false" customHeight="true" outlineLevel="0" collapsed="false">
      <c r="A191" s="111" t="n">
        <v>1902</v>
      </c>
      <c r="B191" s="122" t="n">
        <f aca="false">Economy!O62*$E$25</f>
        <v>1068.5393464476</v>
      </c>
      <c r="C191" s="122" t="n">
        <f aca="false">MAX(0,Abroad!M62-Abroad!N62-Abroad!V62)*$E$27</f>
        <v>31.5575362826143</v>
      </c>
      <c r="D191" s="122" t="n">
        <f aca="false">Abroad!F62</f>
        <v>15.8803210989506</v>
      </c>
      <c r="E191" s="107" t="n">
        <f aca="false">SUM(B191:D191)</f>
        <v>1115.97720382916</v>
      </c>
      <c r="F191" s="122" t="n">
        <f aca="false">Economy!O62*IF(A191=1862,$E$38,IF(OR(AND(A191&gt;=1861,A191&lt;=1865),AND(A191&gt;=1870,A191&lt;=1871)),$E$37,$E$26))</f>
        <v>728.549554396089</v>
      </c>
      <c r="G191" s="122" t="n">
        <f aca="false">'Debt &amp; cash'!Y62*issue_price</f>
        <v>48.60917017581</v>
      </c>
      <c r="H191" s="122" t="n">
        <f aca="false">Abroad!C62</f>
        <v>97.1399405861452</v>
      </c>
      <c r="I191" s="122" t="n">
        <f aca="false">Abroad!D62</f>
        <v>0</v>
      </c>
      <c r="J191" s="122" t="n">
        <f aca="false">'Champion funding'!D62-'Champion funding'!K62+'Champion funding'!Q62+'Champion funding'!R62</f>
        <v>54.3824817703601</v>
      </c>
      <c r="K191" s="107" t="n">
        <f aca="false">SUM(F191:J191)</f>
        <v>928.681146928404</v>
      </c>
      <c r="L191" s="107" t="n">
        <f aca="false">E191-K191</f>
        <v>187.296056900758</v>
      </c>
      <c r="M191" s="107" t="n">
        <f aca="false">MAX(0,-L191)</f>
        <v>0</v>
      </c>
      <c r="N191" s="122" t="n">
        <f aca="false">'Capital accounts'!L62</f>
        <v>0</v>
      </c>
      <c r="O191" s="122" t="n">
        <f aca="false">'War credit'!E62</f>
        <v>0</v>
      </c>
      <c r="P191" s="124" t="n">
        <f aca="false">'War credit'!AC62</f>
        <v>0</v>
      </c>
      <c r="Q191" s="122" t="str">
        <f aca="false">IF(O191&gt;0,'War credit'!AD62,IF(N191&gt;0,"Project funding unallocated","Capacity is MODEL"))</f>
        <v>Capacity is MODEL</v>
      </c>
      <c r="R191" s="103"/>
      <c r="S191" s="103"/>
    </row>
    <row r="192" customFormat="false" ht="19.5" hidden="false" customHeight="true" outlineLevel="0" collapsed="false">
      <c r="A192" s="111" t="n">
        <v>1903</v>
      </c>
      <c r="B192" s="122" t="n">
        <f aca="false">Economy!O63*$E$25</f>
        <v>1171.37612344439</v>
      </c>
      <c r="C192" s="122" t="n">
        <f aca="false">MAX(0,Abroad!M63-Abroad!N63-Abroad!V63)*$E$27</f>
        <v>36.894770279923</v>
      </c>
      <c r="D192" s="122" t="n">
        <f aca="false">Abroad!F63</f>
        <v>18.3181096835664</v>
      </c>
      <c r="E192" s="107" t="n">
        <f aca="false">SUM(B192:D192)</f>
        <v>1226.58900340788</v>
      </c>
      <c r="F192" s="122" t="n">
        <f aca="false">Economy!O63*IF(A192=1862,$E$38,IF(OR(AND(A192&gt;=1861,A192&lt;=1865),AND(A192&gt;=1870,A192&lt;=1871)),$E$37,$E$26))</f>
        <v>798.665538712083</v>
      </c>
      <c r="G192" s="122" t="n">
        <f aca="false">'Debt &amp; cash'!Y63*issue_price</f>
        <v>54.1395334364811</v>
      </c>
      <c r="H192" s="122" t="n">
        <f aca="false">Abroad!C63</f>
        <v>106.488738494944</v>
      </c>
      <c r="I192" s="122" t="n">
        <f aca="false">Abroad!D63</f>
        <v>0</v>
      </c>
      <c r="J192" s="122" t="n">
        <f aca="false">'Champion funding'!D63-'Champion funding'!K63+'Champion funding'!Q63+'Champion funding'!R63</f>
        <v>59.9707106716425</v>
      </c>
      <c r="K192" s="107" t="n">
        <f aca="false">SUM(F192:J192)</f>
        <v>1019.26452131515</v>
      </c>
      <c r="L192" s="107" t="n">
        <f aca="false">E192-K192</f>
        <v>207.324482092727</v>
      </c>
      <c r="M192" s="107" t="n">
        <f aca="false">MAX(0,-L192)</f>
        <v>0</v>
      </c>
      <c r="N192" s="122" t="n">
        <f aca="false">'Capital accounts'!L63</f>
        <v>0</v>
      </c>
      <c r="O192" s="122" t="n">
        <f aca="false">'War credit'!E63</f>
        <v>0</v>
      </c>
      <c r="P192" s="124" t="n">
        <f aca="false">'War credit'!AC63</f>
        <v>0</v>
      </c>
      <c r="Q192" s="122" t="str">
        <f aca="false">IF(O192&gt;0,'War credit'!AD63,IF(N192&gt;0,"Project funding unallocated","Capacity is MODEL"))</f>
        <v>Capacity is MODEL</v>
      </c>
      <c r="R192" s="103"/>
      <c r="S192" s="103"/>
    </row>
    <row r="193" customFormat="false" ht="19.5" hidden="false" customHeight="true" outlineLevel="0" collapsed="false">
      <c r="A193" s="111" t="n">
        <v>1904</v>
      </c>
      <c r="B193" s="122" t="n">
        <f aca="false">Economy!O64*$E$25</f>
        <v>1283.66701382724</v>
      </c>
      <c r="C193" s="122" t="n">
        <f aca="false">MAX(0,Abroad!M64-Abroad!N64-Abroad!V64)*$E$27</f>
        <v>42.8873881604501</v>
      </c>
      <c r="D193" s="122" t="n">
        <f aca="false">Abroad!F64</f>
        <v>20.9632285479078</v>
      </c>
      <c r="E193" s="107" t="n">
        <f aca="false">SUM(B193:D193)</f>
        <v>1347.5176305356</v>
      </c>
      <c r="F193" s="122" t="n">
        <f aca="false">Economy!O64*IF(A193=1862,$E$38,IF(OR(AND(A193&gt;=1861,A193&lt;=1865),AND(A193&gt;=1870,A193&lt;=1871)),$E$37,$E$26))</f>
        <v>875.227509427667</v>
      </c>
      <c r="G193" s="122" t="n">
        <f aca="false">'Debt &amp; cash'!Y64*issue_price</f>
        <v>51.77556371913</v>
      </c>
      <c r="H193" s="122" t="n">
        <f aca="false">Abroad!C64</f>
        <v>116.697001257022</v>
      </c>
      <c r="I193" s="122" t="n">
        <f aca="false">Abroad!D64</f>
        <v>0</v>
      </c>
      <c r="J193" s="122" t="n">
        <f aca="false">'Champion funding'!D64-'Champion funding'!K64+'Champion funding'!Q64+'Champion funding'!R64</f>
        <v>65.9487197717675</v>
      </c>
      <c r="K193" s="107" t="n">
        <f aca="false">SUM(F193:J193)</f>
        <v>1109.64879417559</v>
      </c>
      <c r="L193" s="107" t="n">
        <f aca="false">E193-K193</f>
        <v>237.868836360016</v>
      </c>
      <c r="M193" s="107" t="n">
        <f aca="false">MAX(0,-L193)</f>
        <v>0</v>
      </c>
      <c r="N193" s="122" t="n">
        <f aca="false">'Capital accounts'!L64</f>
        <v>0</v>
      </c>
      <c r="O193" s="122" t="n">
        <f aca="false">'War credit'!E64</f>
        <v>0</v>
      </c>
      <c r="P193" s="124" t="n">
        <f aca="false">'War credit'!AC64</f>
        <v>0</v>
      </c>
      <c r="Q193" s="122" t="str">
        <f aca="false">IF(O193&gt;0,'War credit'!AD64,IF(N193&gt;0,"Project funding unallocated","Capacity is MODEL"))</f>
        <v>Capacity is MODEL</v>
      </c>
      <c r="R193" s="103"/>
      <c r="S193" s="103"/>
    </row>
    <row r="194" customFormat="false" ht="19.5" hidden="false" customHeight="true" outlineLevel="0" collapsed="false">
      <c r="A194" s="111" t="n">
        <v>1905</v>
      </c>
      <c r="B194" s="122" t="n">
        <f aca="false">Economy!O65*$E$25</f>
        <v>1402.65737100861</v>
      </c>
      <c r="C194" s="122" t="n">
        <f aca="false">MAX(0,Abroad!M65-Abroad!N65-Abroad!V65)*$E$27</f>
        <v>49.435118653998</v>
      </c>
      <c r="D194" s="122" t="n">
        <f aca="false">Abroad!F65</f>
        <v>23.8352417291812</v>
      </c>
      <c r="E194" s="107" t="n">
        <f aca="false">SUM(B194:D194)</f>
        <v>1475.92773139179</v>
      </c>
      <c r="F194" s="122" t="n">
        <f aca="false">Economy!O65*IF(A194=1862,$E$38,IF(OR(AND(A194&gt;=1861,A194&lt;=1865),AND(A194&gt;=1870,A194&lt;=1871)),$E$37,$E$26))</f>
        <v>956.35729841496</v>
      </c>
      <c r="G194" s="122" t="n">
        <f aca="false">'Debt &amp; cash'!Y65*issue_price</f>
        <v>55.7659659658266</v>
      </c>
      <c r="H194" s="122" t="n">
        <f aca="false">Abroad!C65</f>
        <v>127.514306455328</v>
      </c>
      <c r="I194" s="122" t="n">
        <f aca="false">Abroad!D65</f>
        <v>0</v>
      </c>
      <c r="J194" s="122" t="n">
        <f aca="false">'Champion funding'!D65-'Champion funding'!K65+'Champion funding'!Q65+'Champion funding'!R65</f>
        <v>71.7945486721036</v>
      </c>
      <c r="K194" s="107" t="n">
        <f aca="false">SUM(F194:J194)</f>
        <v>1211.43211950822</v>
      </c>
      <c r="L194" s="107" t="n">
        <f aca="false">E194-K194</f>
        <v>264.495611883569</v>
      </c>
      <c r="M194" s="107" t="n">
        <f aca="false">MAX(0,-L194)</f>
        <v>0</v>
      </c>
      <c r="N194" s="122" t="n">
        <f aca="false">'Capital accounts'!L65</f>
        <v>0</v>
      </c>
      <c r="O194" s="122" t="n">
        <f aca="false">'War credit'!E65</f>
        <v>0</v>
      </c>
      <c r="P194" s="124" t="n">
        <f aca="false">'War credit'!AC65</f>
        <v>0</v>
      </c>
      <c r="Q194" s="122" t="str">
        <f aca="false">IF(O194&gt;0,'War credit'!AD65,IF(N194&gt;0,"Project funding unallocated","Capacity is MODEL"))</f>
        <v>Capacity is MODEL</v>
      </c>
      <c r="R194" s="103"/>
      <c r="S194" s="103"/>
    </row>
    <row r="195" customFormat="false" ht="19.5" hidden="false" customHeight="true" outlineLevel="0" collapsed="false">
      <c r="A195" s="111" t="n">
        <v>1906</v>
      </c>
      <c r="B195" s="122" t="n">
        <f aca="false">Economy!O66*$E$25</f>
        <v>1552.91344144531</v>
      </c>
      <c r="C195" s="122" t="n">
        <f aca="false">MAX(0,Abroad!M66-Abroad!N66-Abroad!V66)*$E$27</f>
        <v>55.8438322128328</v>
      </c>
      <c r="D195" s="122" t="n">
        <f aca="false">Abroad!F66</f>
        <v>26.9456136709656</v>
      </c>
      <c r="E195" s="107" t="n">
        <f aca="false">SUM(B195:D195)</f>
        <v>1635.70288732911</v>
      </c>
      <c r="F195" s="122" t="n">
        <f aca="false">Economy!O66*IF(A195=1862,$E$38,IF(OR(AND(A195&gt;=1861,A195&lt;=1865),AND(A195&gt;=1870,A195&lt;=1871)),$E$37,$E$26))</f>
        <v>1058.80461916726</v>
      </c>
      <c r="G195" s="122" t="n">
        <f aca="false">'Debt &amp; cash'!Y66*issue_price</f>
        <v>72.3400245150294</v>
      </c>
      <c r="H195" s="122" t="n">
        <f aca="false">Abroad!C66</f>
        <v>141.173949222301</v>
      </c>
      <c r="I195" s="122" t="n">
        <f aca="false">Abroad!D66</f>
        <v>0</v>
      </c>
      <c r="J195" s="122" t="n">
        <f aca="false">'Champion funding'!D66-'Champion funding'!K66+'Champion funding'!Q66+'Champion funding'!R66</f>
        <v>77.0327865714386</v>
      </c>
      <c r="K195" s="107" t="n">
        <f aca="false">SUM(F195:J195)</f>
        <v>1349.35137947602</v>
      </c>
      <c r="L195" s="107" t="n">
        <f aca="false">E195-K195</f>
        <v>286.351507853082</v>
      </c>
      <c r="M195" s="107" t="n">
        <f aca="false">MAX(0,-L195)</f>
        <v>0</v>
      </c>
      <c r="N195" s="122" t="n">
        <f aca="false">'Capital accounts'!L66</f>
        <v>0</v>
      </c>
      <c r="O195" s="122" t="n">
        <f aca="false">'War credit'!E66</f>
        <v>0</v>
      </c>
      <c r="P195" s="124" t="n">
        <f aca="false">'War credit'!AC66</f>
        <v>0</v>
      </c>
      <c r="Q195" s="122" t="str">
        <f aca="false">IF(O195&gt;0,'War credit'!AD66,IF(N195&gt;0,"Project funding unallocated","Capacity is MODEL"))</f>
        <v>Capacity is MODEL</v>
      </c>
      <c r="R195" s="103"/>
      <c r="S195" s="103"/>
    </row>
    <row r="196" customFormat="false" ht="19.5" hidden="false" customHeight="true" outlineLevel="0" collapsed="false">
      <c r="A196" s="111" t="n">
        <v>1907</v>
      </c>
      <c r="B196" s="122" t="n">
        <f aca="false">Economy!O67*$E$25</f>
        <v>1691.54961806775</v>
      </c>
      <c r="C196" s="122" t="n">
        <f aca="false">MAX(0,Abroad!M67-Abroad!N67-Abroad!V67)*$E$27</f>
        <v>62.7648022217191</v>
      </c>
      <c r="D196" s="122" t="n">
        <f aca="false">Abroad!F67</f>
        <v>30.3724637375057</v>
      </c>
      <c r="E196" s="107" t="n">
        <f aca="false">SUM(B196:D196)</f>
        <v>1784.68688402697</v>
      </c>
      <c r="F196" s="122" t="n">
        <f aca="false">Economy!O67*IF(A196=1862,$E$38,IF(OR(AND(A196&gt;=1861,A196&lt;=1865),AND(A196&gt;=1870,A196&lt;=1871)),$E$37,$E$26))</f>
        <v>1153.32928504619</v>
      </c>
      <c r="G196" s="122" t="n">
        <f aca="false">'Debt &amp; cash'!Y67*issue_price</f>
        <v>73.6298897250155</v>
      </c>
      <c r="H196" s="122" t="n">
        <f aca="false">Abroad!C67</f>
        <v>153.777238006159</v>
      </c>
      <c r="I196" s="122" t="n">
        <f aca="false">Abroad!D67</f>
        <v>0</v>
      </c>
      <c r="J196" s="122" t="n">
        <f aca="false">'Champion funding'!D67-'Champion funding'!K67+'Champion funding'!Q67+'Champion funding'!R67</f>
        <v>83.0471998784023</v>
      </c>
      <c r="K196" s="107" t="n">
        <f aca="false">SUM(F196:J196)</f>
        <v>1463.78361265577</v>
      </c>
      <c r="L196" s="107" t="n">
        <f aca="false">E196-K196</f>
        <v>320.903271371204</v>
      </c>
      <c r="M196" s="107" t="n">
        <f aca="false">MAX(0,-L196)</f>
        <v>0</v>
      </c>
      <c r="N196" s="122" t="n">
        <f aca="false">'Capital accounts'!L67</f>
        <v>0</v>
      </c>
      <c r="O196" s="122" t="n">
        <f aca="false">'War credit'!E67</f>
        <v>0</v>
      </c>
      <c r="P196" s="124" t="n">
        <f aca="false">'War credit'!AC67</f>
        <v>0</v>
      </c>
      <c r="Q196" s="122" t="str">
        <f aca="false">IF(O196&gt;0,'War credit'!AD67,IF(N196&gt;0,"Project funding unallocated","Capacity is MODEL"))</f>
        <v>Capacity is MODEL</v>
      </c>
      <c r="R196" s="103"/>
      <c r="S196" s="103"/>
    </row>
    <row r="197" customFormat="false" ht="19.5" hidden="false" customHeight="true" outlineLevel="0" collapsed="false">
      <c r="A197" s="111" t="n">
        <v>1908</v>
      </c>
      <c r="B197" s="122" t="n">
        <f aca="false">Economy!O68*$E$25</f>
        <v>1793.16315737839</v>
      </c>
      <c r="C197" s="122" t="n">
        <f aca="false">MAX(0,Abroad!M68-Abroad!N68-Abroad!V68)*$E$27</f>
        <v>69.6587794650098</v>
      </c>
      <c r="D197" s="122" t="n">
        <f aca="false">Abroad!F68</f>
        <v>34.0746069655653</v>
      </c>
      <c r="E197" s="107" t="n">
        <f aca="false">SUM(B197:D197)</f>
        <v>1896.89654380896</v>
      </c>
      <c r="F197" s="122" t="n">
        <f aca="false">Economy!O68*IF(A197=1862,$E$38,IF(OR(AND(A197&gt;=1861,A197&lt;=1865),AND(A197&gt;=1870,A197&lt;=1871)),$E$37,$E$26))</f>
        <v>1222.61124366708</v>
      </c>
      <c r="G197" s="122" t="n">
        <f aca="false">'Debt &amp; cash'!Y68*issue_price</f>
        <v>68.1260051258925</v>
      </c>
      <c r="H197" s="122" t="n">
        <f aca="false">Abroad!C68</f>
        <v>163.014832488944</v>
      </c>
      <c r="I197" s="122" t="n">
        <f aca="false">Abroad!D68</f>
        <v>0</v>
      </c>
      <c r="J197" s="122" t="n">
        <f aca="false">'Champion funding'!D68-'Champion funding'!K68+'Champion funding'!Q68+'Champion funding'!R68</f>
        <v>88.7963659465481</v>
      </c>
      <c r="K197" s="107" t="n">
        <f aca="false">SUM(F197:J197)</f>
        <v>1542.54844722847</v>
      </c>
      <c r="L197" s="107" t="n">
        <f aca="false">E197-K197</f>
        <v>354.348096580495</v>
      </c>
      <c r="M197" s="107" t="n">
        <f aca="false">MAX(0,-L197)</f>
        <v>0</v>
      </c>
      <c r="N197" s="122" t="n">
        <f aca="false">'Capital accounts'!L68</f>
        <v>0</v>
      </c>
      <c r="O197" s="122" t="n">
        <f aca="false">'War credit'!E68</f>
        <v>0</v>
      </c>
      <c r="P197" s="124" t="n">
        <f aca="false">'War credit'!AC68</f>
        <v>0</v>
      </c>
      <c r="Q197" s="122" t="str">
        <f aca="false">IF(O197&gt;0,'War credit'!AD68,IF(N197&gt;0,"Project funding unallocated","Capacity is MODEL"))</f>
        <v>Capacity is MODEL</v>
      </c>
      <c r="R197" s="103"/>
      <c r="S197" s="103"/>
    </row>
    <row r="198" customFormat="false" ht="19.5" hidden="false" customHeight="true" outlineLevel="0" collapsed="false">
      <c r="A198" s="111" t="n">
        <v>1909</v>
      </c>
      <c r="B198" s="122" t="n">
        <f aca="false">Economy!O69*$E$25</f>
        <v>2066.9218291438</v>
      </c>
      <c r="C198" s="122" t="n">
        <f aca="false">MAX(0,Abroad!M69-Abroad!N69-Abroad!V69)*$E$27</f>
        <v>76.9118711116005</v>
      </c>
      <c r="D198" s="122" t="n">
        <f aca="false">Abroad!F69</f>
        <v>37.9428137312667</v>
      </c>
      <c r="E198" s="107" t="n">
        <f aca="false">SUM(B198:D198)</f>
        <v>2181.77651398667</v>
      </c>
      <c r="F198" s="122" t="n">
        <f aca="false">Economy!O69*IF(A198=1862,$E$38,IF(OR(AND(A198&gt;=1861,A198&lt;=1865),AND(A198&gt;=1870,A198&lt;=1871)),$E$37,$E$26))</f>
        <v>1409.26488350714</v>
      </c>
      <c r="G198" s="122" t="n">
        <f aca="false">'Debt &amp; cash'!Y69*issue_price</f>
        <v>107.585738110482</v>
      </c>
      <c r="H198" s="122" t="n">
        <f aca="false">Abroad!C69</f>
        <v>187.901984467618</v>
      </c>
      <c r="I198" s="122" t="n">
        <f aca="false">Abroad!D69</f>
        <v>0</v>
      </c>
      <c r="J198" s="122" t="n">
        <f aca="false">'Champion funding'!D69-'Champion funding'!K69+'Champion funding'!Q69+'Champion funding'!R69</f>
        <v>94.2898319159662</v>
      </c>
      <c r="K198" s="107" t="n">
        <f aca="false">SUM(F198:J198)</f>
        <v>1799.0424380012</v>
      </c>
      <c r="L198" s="107" t="n">
        <f aca="false">E198-K198</f>
        <v>382.734075985464</v>
      </c>
      <c r="M198" s="107" t="n">
        <f aca="false">MAX(0,-L198)</f>
        <v>0</v>
      </c>
      <c r="N198" s="122" t="n">
        <f aca="false">'Capital accounts'!L69</f>
        <v>0</v>
      </c>
      <c r="O198" s="122" t="n">
        <f aca="false">'War credit'!E69</f>
        <v>0</v>
      </c>
      <c r="P198" s="124" t="n">
        <f aca="false">'War credit'!AC69</f>
        <v>0</v>
      </c>
      <c r="Q198" s="122" t="str">
        <f aca="false">IF(O198&gt;0,'War credit'!AD69,IF(N198&gt;0,"Project funding unallocated","Capacity is MODEL"))</f>
        <v>Capacity is MODEL</v>
      </c>
      <c r="R198" s="103"/>
      <c r="S198" s="103"/>
    </row>
    <row r="199" customFormat="false" ht="19.5" hidden="false" customHeight="true" outlineLevel="0" collapsed="false">
      <c r="A199" s="111" t="n">
        <v>1910</v>
      </c>
      <c r="B199" s="122" t="n">
        <f aca="false">Economy!O70*$E$25</f>
        <v>2263.64847377884</v>
      </c>
      <c r="C199" s="122" t="n">
        <f aca="false">MAX(0,Abroad!M70-Abroad!N70-Abroad!V70)*$E$27</f>
        <v>84.8217191407575</v>
      </c>
      <c r="D199" s="122" t="n">
        <f aca="false">Abroad!F70</f>
        <v>42.4415888533572</v>
      </c>
      <c r="E199" s="107" t="n">
        <f aca="false">SUM(B199:D199)</f>
        <v>2390.91178177296</v>
      </c>
      <c r="F199" s="122" t="n">
        <f aca="false">Economy!O70*IF(A199=1862,$E$38,IF(OR(AND(A199&gt;=1861,A199&lt;=1865),AND(A199&gt;=1870,A199&lt;=1871)),$E$37,$E$26))</f>
        <v>1543.39668666739</v>
      </c>
      <c r="G199" s="122" t="n">
        <f aca="false">'Debt &amp; cash'!Y70*issue_price</f>
        <v>96.7805677416376</v>
      </c>
      <c r="H199" s="122" t="n">
        <f aca="false">Abroad!C70</f>
        <v>205.786224888986</v>
      </c>
      <c r="I199" s="122" t="n">
        <f aca="false">Abroad!D70</f>
        <v>0</v>
      </c>
      <c r="J199" s="122" t="n">
        <f aca="false">'Champion funding'!D70-'Champion funding'!K70+'Champion funding'!Q70+'Champion funding'!R70</f>
        <v>100.047433685597</v>
      </c>
      <c r="K199" s="107" t="n">
        <f aca="false">SUM(F199:J199)</f>
        <v>1946.01091298361</v>
      </c>
      <c r="L199" s="107" t="n">
        <f aca="false">E199-K199</f>
        <v>444.900868789344</v>
      </c>
      <c r="M199" s="107" t="n">
        <f aca="false">MAX(0,-L199)</f>
        <v>0</v>
      </c>
      <c r="N199" s="122" t="n">
        <f aca="false">'Capital accounts'!L70</f>
        <v>0</v>
      </c>
      <c r="O199" s="122" t="n">
        <f aca="false">'War credit'!E70</f>
        <v>0</v>
      </c>
      <c r="P199" s="124" t="n">
        <f aca="false">'War credit'!AC70</f>
        <v>0</v>
      </c>
      <c r="Q199" s="122" t="str">
        <f aca="false">IF(O199&gt;0,'War credit'!AD70,IF(N199&gt;0,"Project funding unallocated","Capacity is MODEL"))</f>
        <v>Capacity is MODEL</v>
      </c>
      <c r="R199" s="103"/>
      <c r="S199" s="103"/>
    </row>
    <row r="200" customFormat="false" ht="19.5" hidden="false" customHeight="true" outlineLevel="0" collapsed="false">
      <c r="A200" s="111" t="n">
        <v>1911</v>
      </c>
      <c r="B200" s="122" t="n">
        <f aca="false">Economy!O71*$E$25</f>
        <v>2467.13132103669</v>
      </c>
      <c r="C200" s="122" t="n">
        <f aca="false">MAX(0,Abroad!M71-Abroad!N71-Abroad!V71)*$E$27</f>
        <v>94.2927840052046</v>
      </c>
      <c r="D200" s="122" t="n">
        <f aca="false">Abroad!F71</f>
        <v>47.341927934426</v>
      </c>
      <c r="E200" s="107" t="n">
        <f aca="false">SUM(B200:D200)</f>
        <v>2608.76603297633</v>
      </c>
      <c r="F200" s="122" t="n">
        <f aca="false">Economy!O71*IF(A200=1862,$E$38,IF(OR(AND(A200&gt;=1861,A200&lt;=1865),AND(A200&gt;=1870,A200&lt;=1871)),$E$37,$E$26))</f>
        <v>1682.13499161593</v>
      </c>
      <c r="G200" s="122" t="n">
        <f aca="false">'Debt &amp; cash'!Y71*issue_price</f>
        <v>100.904624492965</v>
      </c>
      <c r="H200" s="122" t="n">
        <f aca="false">Abroad!C71</f>
        <v>224.28466554879</v>
      </c>
      <c r="I200" s="122" t="n">
        <f aca="false">Abroad!D71</f>
        <v>0</v>
      </c>
      <c r="J200" s="122" t="n">
        <f aca="false">'Champion funding'!D71-'Champion funding'!K71+'Champion funding'!Q71+'Champion funding'!R71</f>
        <v>106.354977023541</v>
      </c>
      <c r="K200" s="107" t="n">
        <f aca="false">SUM(F200:J200)</f>
        <v>2113.67925868122</v>
      </c>
      <c r="L200" s="107" t="n">
        <f aca="false">E200-K200</f>
        <v>495.0867742951</v>
      </c>
      <c r="M200" s="107" t="n">
        <f aca="false">MAX(0,-L200)</f>
        <v>0</v>
      </c>
      <c r="N200" s="122" t="n">
        <f aca="false">'Capital accounts'!L71</f>
        <v>0</v>
      </c>
      <c r="O200" s="122" t="n">
        <f aca="false">'War credit'!E71</f>
        <v>0</v>
      </c>
      <c r="P200" s="124" t="n">
        <f aca="false">'War credit'!AC71</f>
        <v>0</v>
      </c>
      <c r="Q200" s="122" t="str">
        <f aca="false">IF(O200&gt;0,'War credit'!AD71,IF(N200&gt;0,"Project funding unallocated","Capacity is MODEL"))</f>
        <v>Capacity is MODEL</v>
      </c>
      <c r="R200" s="103"/>
      <c r="S200" s="103"/>
    </row>
    <row r="201" customFormat="false" ht="19.5" hidden="false" customHeight="true" outlineLevel="0" collapsed="false">
      <c r="A201" s="111" t="n">
        <v>1912</v>
      </c>
      <c r="B201" s="122" t="n">
        <f aca="false">Economy!O72*$E$25</f>
        <v>2690.8239854759</v>
      </c>
      <c r="C201" s="122" t="n">
        <f aca="false">MAX(0,Abroad!M72-Abroad!N72-Abroad!V72)*$E$27</f>
        <v>103.446077720072</v>
      </c>
      <c r="D201" s="122" t="n">
        <f aca="false">Abroad!F72</f>
        <v>52.650210062857</v>
      </c>
      <c r="E201" s="107" t="n">
        <f aca="false">SUM(B201:D201)</f>
        <v>2846.92027325882</v>
      </c>
      <c r="F201" s="122" t="n">
        <f aca="false">Economy!O72*IF(A201=1862,$E$38,IF(OR(AND(A201&gt;=1861,A201&lt;=1865),AND(A201&gt;=1870,A201&lt;=1871)),$E$37,$E$26))</f>
        <v>1834.65271736993</v>
      </c>
      <c r="G201" s="122" t="n">
        <f aca="false">'Debt &amp; cash'!Y72*issue_price</f>
        <v>109.625619682972</v>
      </c>
      <c r="H201" s="122" t="n">
        <f aca="false">Abroad!C72</f>
        <v>244.620362315991</v>
      </c>
      <c r="I201" s="122" t="n">
        <f aca="false">Abroad!D72</f>
        <v>0</v>
      </c>
      <c r="J201" s="122" t="n">
        <f aca="false">'Champion funding'!D72-'Champion funding'!K72+'Champion funding'!Q72+'Champion funding'!R72</f>
        <v>114.187060261835</v>
      </c>
      <c r="K201" s="107" t="n">
        <f aca="false">SUM(F201:J201)</f>
        <v>2303.08575963073</v>
      </c>
      <c r="L201" s="107" t="n">
        <f aca="false">E201-K201</f>
        <v>543.834513628098</v>
      </c>
      <c r="M201" s="107" t="n">
        <f aca="false">MAX(0,-L201)</f>
        <v>0</v>
      </c>
      <c r="N201" s="122" t="n">
        <f aca="false">'Capital accounts'!L72</f>
        <v>0</v>
      </c>
      <c r="O201" s="122" t="n">
        <f aca="false">'War credit'!E72</f>
        <v>0</v>
      </c>
      <c r="P201" s="124" t="n">
        <f aca="false">'War credit'!AC72</f>
        <v>0</v>
      </c>
      <c r="Q201" s="122" t="str">
        <f aca="false">IF(O201&gt;0,'War credit'!AD72,IF(N201&gt;0,"Project funding unallocated","Capacity is MODEL"))</f>
        <v>Capacity is MODEL</v>
      </c>
      <c r="R201" s="103"/>
      <c r="S201" s="103"/>
    </row>
    <row r="202" customFormat="false" ht="19.5" hidden="false" customHeight="true" outlineLevel="0" collapsed="false">
      <c r="A202" s="111" t="n">
        <v>1913</v>
      </c>
      <c r="B202" s="122" t="n">
        <f aca="false">Economy!O73*$E$25</f>
        <v>2929.11875796133</v>
      </c>
      <c r="C202" s="122" t="n">
        <f aca="false">MAX(0,Abroad!M73-Abroad!N73-Abroad!V73)*$E$27</f>
        <v>113.673170975315</v>
      </c>
      <c r="D202" s="122" t="n">
        <f aca="false">Abroad!F73</f>
        <v>58.409314630451</v>
      </c>
      <c r="E202" s="107" t="n">
        <f aca="false">SUM(B202:D202)</f>
        <v>3101.20124356709</v>
      </c>
      <c r="F202" s="122" t="n">
        <f aca="false">Economy!O73*IF(A202=1862,$E$38,IF(OR(AND(A202&gt;=1861,A202&lt;=1865),AND(A202&gt;=1870,A202&lt;=1871)),$E$37,$E$26))</f>
        <v>1997.12642588272</v>
      </c>
      <c r="G202" s="122" t="n">
        <f aca="false">'Debt &amp; cash'!Y73*issue_price</f>
        <v>116.491877215479</v>
      </c>
      <c r="H202" s="122" t="n">
        <f aca="false">Abroad!C73</f>
        <v>266.28352345103</v>
      </c>
      <c r="I202" s="122" t="n">
        <f aca="false">Abroad!D73</f>
        <v>0</v>
      </c>
      <c r="J202" s="122" t="n">
        <f aca="false">'Champion funding'!D73-'Champion funding'!K73+'Champion funding'!Q73+'Champion funding'!R73</f>
        <v>121.646939699733</v>
      </c>
      <c r="K202" s="107" t="n">
        <f aca="false">SUM(F202:J202)</f>
        <v>2501.54876624897</v>
      </c>
      <c r="L202" s="107" t="n">
        <f aca="false">E202-K202</f>
        <v>599.652477318129</v>
      </c>
      <c r="M202" s="107" t="n">
        <f aca="false">MAX(0,-L202)</f>
        <v>0</v>
      </c>
      <c r="N202" s="122" t="n">
        <f aca="false">'Capital accounts'!L73</f>
        <v>0</v>
      </c>
      <c r="O202" s="122" t="n">
        <f aca="false">'War credit'!E73</f>
        <v>0</v>
      </c>
      <c r="P202" s="124" t="n">
        <f aca="false">'War credit'!AC73</f>
        <v>0</v>
      </c>
      <c r="Q202" s="122" t="str">
        <f aca="false">IF(O202&gt;0,'War credit'!AD73,IF(N202&gt;0,"Project funding unallocated","Capacity is MODEL"))</f>
        <v>Capacity is MODEL</v>
      </c>
      <c r="R202" s="103"/>
      <c r="S202" s="103"/>
    </row>
    <row r="203" customFormat="false" ht="19.5" hidden="false" customHeight="true" outlineLevel="0" collapsed="false">
      <c r="A203" s="111" t="n">
        <v>1914</v>
      </c>
      <c r="B203" s="122" t="n">
        <f aca="false">Economy!O74*$E$25</f>
        <v>3052.55740947794</v>
      </c>
      <c r="C203" s="122" t="n">
        <f aca="false">MAX(0,Abroad!M74-Abroad!N74-Abroad!V74)*$E$27</f>
        <v>129.888947401761</v>
      </c>
      <c r="D203" s="122" t="n">
        <f aca="false">Abroad!F74</f>
        <v>64.6455408950684</v>
      </c>
      <c r="E203" s="107" t="n">
        <f aca="false">SUM(B203:D203)</f>
        <v>3247.09189777477</v>
      </c>
      <c r="F203" s="122" t="n">
        <f aca="false">Economy!O74*IF(A203=1862,$E$38,IF(OR(AND(A203&gt;=1861,A203&lt;=1865),AND(A203&gt;=1870,A203&lt;=1871)),$E$37,$E$26))</f>
        <v>2081.28914282587</v>
      </c>
      <c r="G203" s="122" t="n">
        <f aca="false">'Debt &amp; cash'!Y74*issue_price</f>
        <v>59.2531171195356</v>
      </c>
      <c r="H203" s="122" t="n">
        <f aca="false">Abroad!C74</f>
        <v>138.752609521724</v>
      </c>
      <c r="I203" s="122" t="n">
        <f aca="false">Abroad!D74</f>
        <v>340</v>
      </c>
      <c r="J203" s="122" t="n">
        <f aca="false">'Champion funding'!D74-'Champion funding'!K74+'Champion funding'!Q74+'Champion funding'!R74</f>
        <v>176.026766901472</v>
      </c>
      <c r="K203" s="107" t="n">
        <f aca="false">SUM(F203:J203)</f>
        <v>2795.3216363686</v>
      </c>
      <c r="L203" s="107" t="n">
        <f aca="false">E203-K203</f>
        <v>451.770261406169</v>
      </c>
      <c r="M203" s="107" t="n">
        <f aca="false">MAX(0,-L203)</f>
        <v>0</v>
      </c>
      <c r="N203" s="122" t="n">
        <f aca="false">'Capital accounts'!L74</f>
        <v>0</v>
      </c>
      <c r="O203" s="122" t="n">
        <f aca="false">'War credit'!E74</f>
        <v>0</v>
      </c>
      <c r="P203" s="124" t="n">
        <f aca="false">'War credit'!AC74</f>
        <v>0</v>
      </c>
      <c r="Q203" s="122" t="str">
        <f aca="false">IF(O203&gt;0,'War credit'!AD74,IF(N203&gt;0,"Project funding unallocated","Capacity is MODEL"))</f>
        <v>Capacity is MODEL</v>
      </c>
      <c r="R203" s="103"/>
      <c r="S203" s="103"/>
    </row>
    <row r="204" customFormat="false" ht="19.5" hidden="false" customHeight="true" outlineLevel="0" collapsed="false">
      <c r="A204" s="111" t="n">
        <v>1915</v>
      </c>
      <c r="B204" s="122" t="n">
        <f aca="false">Economy!O75*$E$25</f>
        <v>3415.80686668768</v>
      </c>
      <c r="C204" s="122" t="n">
        <f aca="false">MAX(0,Abroad!M75-Abroad!N75-Abroad!V75)*$E$27</f>
        <v>151.191122508338</v>
      </c>
      <c r="D204" s="122" t="n">
        <f aca="false">Abroad!F75</f>
        <v>66.868752953868</v>
      </c>
      <c r="E204" s="107" t="n">
        <f aca="false">SUM(B204:D204)</f>
        <v>3633.86674214989</v>
      </c>
      <c r="F204" s="122" t="n">
        <f aca="false">Economy!O75*IF(A204=1862,$E$38,IF(OR(AND(A204&gt;=1861,A204&lt;=1865),AND(A204&gt;=1870,A204&lt;=1871)),$E$37,$E$26))</f>
        <v>2328.95922728705</v>
      </c>
      <c r="G204" s="122" t="n">
        <f aca="false">'Debt &amp; cash'!Y75*issue_price</f>
        <v>125.55631701798</v>
      </c>
      <c r="H204" s="122" t="n">
        <f aca="false">Abroad!C75</f>
        <v>155.263948485804</v>
      </c>
      <c r="I204" s="122" t="n">
        <f aca="false">Abroad!D75</f>
        <v>381.44</v>
      </c>
      <c r="J204" s="122" t="n">
        <f aca="false">'Champion funding'!D75-'Champion funding'!K75+'Champion funding'!Q75+'Champion funding'!R75</f>
        <v>178.876180408928</v>
      </c>
      <c r="K204" s="107" t="n">
        <f aca="false">SUM(F204:J204)</f>
        <v>3170.09567319976</v>
      </c>
      <c r="L204" s="107" t="n">
        <f aca="false">E204-K204</f>
        <v>463.771068950121</v>
      </c>
      <c r="M204" s="107" t="n">
        <f aca="false">MAX(0,-L204)</f>
        <v>0</v>
      </c>
      <c r="N204" s="122" t="n">
        <f aca="false">'Capital accounts'!L75</f>
        <v>0</v>
      </c>
      <c r="O204" s="122" t="n">
        <f aca="false">'War credit'!E75</f>
        <v>525</v>
      </c>
      <c r="P204" s="124" t="n">
        <f aca="false">'War credit'!AC75</f>
        <v>0</v>
      </c>
      <c r="Q204" s="122" t="str">
        <f aca="false">IF(O204&gt;0,'War credit'!AD75,IF(N204&gt;0,"Project funding unallocated","Capacity is MODEL"))</f>
        <v>MODEL capacity: named subscribers</v>
      </c>
      <c r="R204" s="103"/>
      <c r="S204" s="103"/>
    </row>
    <row r="205" customFormat="false" ht="19.5" hidden="false" customHeight="true" outlineLevel="0" collapsed="false">
      <c r="A205" s="111" t="n">
        <v>1916</v>
      </c>
      <c r="B205" s="122" t="n">
        <f aca="false">Economy!O76*$E$25</f>
        <v>4051.82150071411</v>
      </c>
      <c r="C205" s="122" t="n">
        <f aca="false">MAX(0,Abroad!M76-Abroad!N76-Abroad!V76)*$E$27</f>
        <v>174.810917762637</v>
      </c>
      <c r="D205" s="122" t="n">
        <f aca="false">Abroad!F76</f>
        <v>69.5206088198261</v>
      </c>
      <c r="E205" s="107" t="n">
        <f aca="false">SUM(B205:D205)</f>
        <v>4296.15302729658</v>
      </c>
      <c r="F205" s="122" t="n">
        <f aca="false">Economy!O76*IF(A205=1862,$E$38,IF(OR(AND(A205&gt;=1861,A205&lt;=1865),AND(A205&gt;=1870,A205&lt;=1871)),$E$37,$E$26))</f>
        <v>2762.60556866871</v>
      </c>
      <c r="G205" s="122" t="n">
        <f aca="false">'Debt &amp; cash'!Y76*issue_price</f>
        <v>177.967368582554</v>
      </c>
      <c r="H205" s="122" t="n">
        <f aca="false">Abroad!C76</f>
        <v>184.173704577914</v>
      </c>
      <c r="I205" s="122" t="n">
        <f aca="false">Abroad!D76</f>
        <v>536.44</v>
      </c>
      <c r="J205" s="122" t="n">
        <f aca="false">'Champion funding'!D76-'Champion funding'!K76+'Champion funding'!Q76+'Champion funding'!R76</f>
        <v>187.416633135695</v>
      </c>
      <c r="K205" s="107" t="n">
        <f aca="false">SUM(F205:J205)</f>
        <v>3848.60327496488</v>
      </c>
      <c r="L205" s="107" t="n">
        <f aca="false">E205-K205</f>
        <v>447.549752331699</v>
      </c>
      <c r="M205" s="107" t="n">
        <f aca="false">MAX(0,-L205)</f>
        <v>0</v>
      </c>
      <c r="N205" s="122" t="n">
        <f aca="false">'Capital accounts'!L76</f>
        <v>0</v>
      </c>
      <c r="O205" s="122" t="n">
        <f aca="false">'War credit'!E76</f>
        <v>1050</v>
      </c>
      <c r="P205" s="124" t="n">
        <f aca="false">'War credit'!AC76</f>
        <v>0</v>
      </c>
      <c r="Q205" s="122" t="str">
        <f aca="false">IF(O205&gt;0,'War credit'!AD76,IF(N205&gt;0,"Project funding unallocated","Capacity is MODEL"))</f>
        <v>MODEL capacity: named subscribers</v>
      </c>
      <c r="R205" s="103"/>
      <c r="S205" s="103"/>
    </row>
    <row r="206" customFormat="false" ht="19.5" hidden="false" customHeight="true" outlineLevel="0" collapsed="false">
      <c r="A206" s="111" t="n">
        <v>1917</v>
      </c>
      <c r="B206" s="122" t="n">
        <f aca="false">Economy!O77*$E$25</f>
        <v>5096.36229329113</v>
      </c>
      <c r="C206" s="122" t="n">
        <f aca="false">MAX(0,Abroad!M77-Abroad!N77-Abroad!V77)*$E$27</f>
        <v>203.060007050133</v>
      </c>
      <c r="D206" s="122" t="n">
        <f aca="false">Abroad!F77</f>
        <v>72.9602016925688</v>
      </c>
      <c r="E206" s="107" t="n">
        <f aca="false">SUM(B206:D206)</f>
        <v>5372.38250203384</v>
      </c>
      <c r="F206" s="122" t="n">
        <f aca="false">Economy!O77*IF(A206=1862,$E$38,IF(OR(AND(A206&gt;=1861,A206&lt;=1865),AND(A206&gt;=1870,A206&lt;=1871)),$E$37,$E$26))</f>
        <v>3474.7924726985</v>
      </c>
      <c r="G206" s="122" t="n">
        <f aca="false">'Debt &amp; cash'!Y77*issue_price</f>
        <v>274.117910311266</v>
      </c>
      <c r="H206" s="122" t="n">
        <f aca="false">Abroad!C77</f>
        <v>231.652831513233</v>
      </c>
      <c r="I206" s="122" t="n">
        <f aca="false">Abroad!D77</f>
        <v>840</v>
      </c>
      <c r="J206" s="122" t="n">
        <f aca="false">'Champion funding'!D77-'Champion funding'!K77+'Champion funding'!Q77+'Champion funding'!R77</f>
        <v>194.315877706413</v>
      </c>
      <c r="K206" s="107" t="n">
        <f aca="false">SUM(F206:J206)</f>
        <v>5014.87909222941</v>
      </c>
      <c r="L206" s="107" t="n">
        <f aca="false">E206-K206</f>
        <v>357.503409804423</v>
      </c>
      <c r="M206" s="107" t="n">
        <f aca="false">MAX(0,-L206)</f>
        <v>0</v>
      </c>
      <c r="N206" s="122" t="n">
        <f aca="false">'Capital accounts'!L77</f>
        <v>0</v>
      </c>
      <c r="O206" s="122" t="n">
        <f aca="false">'War credit'!E77</f>
        <v>1200</v>
      </c>
      <c r="P206" s="124" t="n">
        <f aca="false">'War credit'!AC77</f>
        <v>0</v>
      </c>
      <c r="Q206" s="122" t="str">
        <f aca="false">IF(O206&gt;0,'War credit'!AD77,IF(N206&gt;0,"Project funding unallocated","Capacity is MODEL"))</f>
        <v>MODEL capacity: named subscribers</v>
      </c>
      <c r="R206" s="103"/>
      <c r="S206" s="103"/>
    </row>
    <row r="207" customFormat="false" ht="19.5" hidden="false" customHeight="true" outlineLevel="0" collapsed="false">
      <c r="A207" s="111" t="n">
        <v>1918</v>
      </c>
      <c r="B207" s="122" t="n">
        <f aca="false">Economy!O78*$E$25</f>
        <v>6130.78023858569</v>
      </c>
      <c r="C207" s="122" t="n">
        <f aca="false">MAX(0,Abroad!M78-Abroad!N78-Abroad!V78)*$E$27</f>
        <v>243.944448168132</v>
      </c>
      <c r="D207" s="122" t="n">
        <f aca="false">Abroad!F78</f>
        <v>77.7209805871887</v>
      </c>
      <c r="E207" s="107" t="n">
        <f aca="false">SUM(B207:D207)</f>
        <v>6452.44566734102</v>
      </c>
      <c r="F207" s="122" t="n">
        <f aca="false">Economy!O78*IF(A207=1862,$E$38,IF(OR(AND(A207&gt;=1861,A207&lt;=1865),AND(A207&gt;=1870,A207&lt;=1871)),$E$37,$E$26))</f>
        <v>4180.07743539934</v>
      </c>
      <c r="G207" s="122" t="n">
        <f aca="false">'Debt &amp; cash'!Y78*issue_price</f>
        <v>295.288652520388</v>
      </c>
      <c r="H207" s="122" t="n">
        <f aca="false">Abroad!C78</f>
        <v>278.671829026622</v>
      </c>
      <c r="I207" s="122" t="n">
        <f aca="false">Abroad!D78</f>
        <v>752.12</v>
      </c>
      <c r="J207" s="122" t="n">
        <f aca="false">'Champion funding'!D78-'Champion funding'!K78+'Champion funding'!Q78+'Champion funding'!R78</f>
        <v>223.269691585116</v>
      </c>
      <c r="K207" s="107" t="n">
        <f aca="false">SUM(F207:J207)</f>
        <v>5729.42760853146</v>
      </c>
      <c r="L207" s="107" t="n">
        <f aca="false">E207-K207</f>
        <v>723.018058809552</v>
      </c>
      <c r="M207" s="107" t="n">
        <f aca="false">MAX(0,-L207)</f>
        <v>0</v>
      </c>
      <c r="N207" s="122" t="n">
        <f aca="false">'Capital accounts'!L78</f>
        <v>0</v>
      </c>
      <c r="O207" s="122" t="n">
        <f aca="false">'War credit'!E78</f>
        <v>1175</v>
      </c>
      <c r="P207" s="124" t="n">
        <f aca="false">'War credit'!AC78</f>
        <v>0</v>
      </c>
      <c r="Q207" s="122" t="str">
        <f aca="false">IF(O207&gt;0,'War credit'!AD78,IF(N207&gt;0,"Project funding unallocated","Capacity is MODEL"))</f>
        <v>MODEL capacity: named subscribers</v>
      </c>
      <c r="R207" s="103"/>
      <c r="S207" s="103"/>
    </row>
    <row r="208" customFormat="false" ht="19.5" hidden="false" customHeight="true" outlineLevel="0" collapsed="false">
      <c r="A208" s="111" t="n">
        <v>1919</v>
      </c>
      <c r="B208" s="122" t="n">
        <f aca="false">Economy!O79*$E$25</f>
        <v>6965.44011821737</v>
      </c>
      <c r="C208" s="122" t="n">
        <f aca="false">MAX(0,Abroad!M79-Abroad!N79-Abroad!V79)*$E$27</f>
        <v>278.240238662757</v>
      </c>
      <c r="D208" s="122" t="n">
        <f aca="false">Abroad!F79</f>
        <v>83.7495060403717</v>
      </c>
      <c r="E208" s="107" t="n">
        <f aca="false">SUM(B208:D208)</f>
        <v>7327.4298629205</v>
      </c>
      <c r="F208" s="122" t="n">
        <f aca="false">Economy!O79*IF(A208=1862,$E$38,IF(OR(AND(A208&gt;=1861,A208&lt;=1865),AND(A208&gt;=1870,A208&lt;=1871)),$E$37,$E$26))</f>
        <v>4749.16371696639</v>
      </c>
      <c r="G208" s="122" t="n">
        <f aca="false">'Debt &amp; cash'!Y79*issue_price</f>
        <v>362.966921157137</v>
      </c>
      <c r="H208" s="122" t="n">
        <f aca="false">Abroad!C79</f>
        <v>1108.13820062549</v>
      </c>
      <c r="I208" s="122" t="n">
        <f aca="false">Abroad!D79</f>
        <v>0</v>
      </c>
      <c r="J208" s="122" t="n">
        <f aca="false">'Champion funding'!D79-'Champion funding'!K79+'Champion funding'!Q79+'Champion funding'!R79</f>
        <v>232.780470477763</v>
      </c>
      <c r="K208" s="107" t="n">
        <f aca="false">SUM(F208:J208)</f>
        <v>6453.04930922678</v>
      </c>
      <c r="L208" s="107" t="n">
        <f aca="false">E208-K208</f>
        <v>874.380553693719</v>
      </c>
      <c r="M208" s="107" t="n">
        <f aca="false">MAX(0,-L208)</f>
        <v>0</v>
      </c>
      <c r="N208" s="122" t="n">
        <f aca="false">'Capital accounts'!L79</f>
        <v>0</v>
      </c>
      <c r="O208" s="122" t="n">
        <f aca="false">'War credit'!E79</f>
        <v>0</v>
      </c>
      <c r="P208" s="124" t="n">
        <f aca="false">'War credit'!AC79</f>
        <v>0</v>
      </c>
      <c r="Q208" s="122" t="str">
        <f aca="false">IF(O208&gt;0,'War credit'!AD79,IF(N208&gt;0,"Project funding unallocated","Capacity is MODEL"))</f>
        <v>Capacity is MODEL</v>
      </c>
      <c r="R208" s="103"/>
      <c r="S208" s="103"/>
    </row>
    <row r="209" customFormat="false" ht="19.5" hidden="false" customHeight="true" outlineLevel="0" collapsed="false">
      <c r="A209" s="111" t="n">
        <v>1920</v>
      </c>
      <c r="B209" s="122" t="n">
        <f aca="false">Economy!O80*$E$25</f>
        <v>8159.09795791597</v>
      </c>
      <c r="C209" s="122" t="n">
        <f aca="false">MAX(0,Abroad!M80-Abroad!N80-Abroad!V80)*$E$27</f>
        <v>325.749343028555</v>
      </c>
      <c r="D209" s="122" t="n">
        <f aca="false">Abroad!F80</f>
        <v>114.481166877925</v>
      </c>
      <c r="E209" s="107" t="n">
        <f aca="false">SUM(B209:D209)</f>
        <v>8599.32846782245</v>
      </c>
      <c r="F209" s="122" t="n">
        <f aca="false">Economy!O80*IF(A209=1862,$E$38,IF(OR(AND(A209&gt;=1861,A209&lt;=1865),AND(A209&gt;=1870,A209&lt;=1871)),$E$37,$E$26))</f>
        <v>5563.0213349427</v>
      </c>
      <c r="G209" s="122" t="n">
        <f aca="false">'Debt &amp; cash'!Y80*issue_price</f>
        <v>506.124911762942</v>
      </c>
      <c r="H209" s="122" t="n">
        <f aca="false">Abroad!C80</f>
        <v>1298.03831148663</v>
      </c>
      <c r="I209" s="122" t="n">
        <f aca="false">Abroad!D80</f>
        <v>0</v>
      </c>
      <c r="J209" s="122" t="n">
        <f aca="false">'Champion funding'!D80-'Champion funding'!K80+'Champion funding'!Q80+'Champion funding'!R80</f>
        <v>252.354269278765</v>
      </c>
      <c r="K209" s="107" t="n">
        <f aca="false">SUM(F209:J209)</f>
        <v>7619.53882747104</v>
      </c>
      <c r="L209" s="107" t="n">
        <f aca="false">E209-K209</f>
        <v>979.789640351405</v>
      </c>
      <c r="M209" s="107" t="n">
        <f aca="false">MAX(0,-L209)</f>
        <v>0</v>
      </c>
      <c r="N209" s="122" t="n">
        <f aca="false">'Capital accounts'!L80</f>
        <v>0</v>
      </c>
      <c r="O209" s="122" t="n">
        <f aca="false">'War credit'!E80</f>
        <v>0</v>
      </c>
      <c r="P209" s="124" t="n">
        <f aca="false">'War credit'!AC80</f>
        <v>0</v>
      </c>
      <c r="Q209" s="122" t="str">
        <f aca="false">IF(O209&gt;0,'War credit'!AD80,IF(N209&gt;0,"Project funding unallocated","Capacity is MODEL"))</f>
        <v>Capacity is MODEL</v>
      </c>
      <c r="R209" s="103"/>
      <c r="S209" s="103"/>
    </row>
    <row r="210" customFormat="false" ht="19.5" hidden="false" customHeight="true" outlineLevel="0" collapsed="false">
      <c r="A210" s="111" t="n">
        <v>1921</v>
      </c>
      <c r="B210" s="122" t="n">
        <f aca="false">Economy!O81*$E$25</f>
        <v>6668.80528892122</v>
      </c>
      <c r="C210" s="122" t="n">
        <f aca="false">MAX(0,Abroad!M81-Abroad!N81-Abroad!V81)*$E$27</f>
        <v>373.943302422845</v>
      </c>
      <c r="D210" s="122" t="n">
        <f aca="false">Abroad!F81</f>
        <v>149.987881216186</v>
      </c>
      <c r="E210" s="107" t="n">
        <f aca="false">SUM(B210:D210)</f>
        <v>7192.73647256025</v>
      </c>
      <c r="F210" s="122" t="n">
        <f aca="false">Economy!O81*IF(A210=1862,$E$38,IF(OR(AND(A210&gt;=1861,A210&lt;=1865),AND(A210&gt;=1870,A210&lt;=1871)),$E$37,$E$26))</f>
        <v>4546.91269699174</v>
      </c>
      <c r="G210" s="122" t="n">
        <f aca="false">'Debt &amp; cash'!Y81*issue_price</f>
        <v>0</v>
      </c>
      <c r="H210" s="122" t="n">
        <f aca="false">Abroad!C81</f>
        <v>1060.94629596474</v>
      </c>
      <c r="I210" s="122" t="n">
        <f aca="false">Abroad!D81</f>
        <v>0</v>
      </c>
      <c r="J210" s="122" t="n">
        <f aca="false">'Champion funding'!D81-'Champion funding'!K81+'Champion funding'!Q81+'Champion funding'!R81</f>
        <v>254.636364131218</v>
      </c>
      <c r="K210" s="107" t="n">
        <f aca="false">SUM(F210:J210)</f>
        <v>5862.4953570877</v>
      </c>
      <c r="L210" s="107" t="n">
        <f aca="false">E210-K210</f>
        <v>1330.24111547255</v>
      </c>
      <c r="M210" s="107" t="n">
        <f aca="false">MAX(0,-L210)</f>
        <v>0</v>
      </c>
      <c r="N210" s="122" t="n">
        <f aca="false">'Capital accounts'!L81</f>
        <v>0</v>
      </c>
      <c r="O210" s="122" t="n">
        <f aca="false">'War credit'!E81</f>
        <v>0</v>
      </c>
      <c r="P210" s="124" t="n">
        <f aca="false">'War credit'!AC81</f>
        <v>0</v>
      </c>
      <c r="Q210" s="122" t="str">
        <f aca="false">IF(O210&gt;0,'War credit'!AD81,IF(N210&gt;0,"Project funding unallocated","Capacity is MODEL"))</f>
        <v>Capacity is MODEL</v>
      </c>
      <c r="R210" s="103"/>
      <c r="S210" s="103"/>
    </row>
    <row r="211" customFormat="false" ht="19.5" hidden="false" customHeight="true" outlineLevel="0" collapsed="false">
      <c r="A211" s="111" t="n">
        <v>1922</v>
      </c>
      <c r="B211" s="122" t="n">
        <f aca="false">Economy!O82*$E$25</f>
        <v>6918.60219001761</v>
      </c>
      <c r="C211" s="122" t="n">
        <f aca="false">MAX(0,Abroad!M82-Abroad!N82-Abroad!V82)*$E$27</f>
        <v>414.555918783656</v>
      </c>
      <c r="D211" s="122" t="n">
        <f aca="false">Abroad!F82</f>
        <v>177.316633658643</v>
      </c>
      <c r="E211" s="107" t="n">
        <f aca="false">SUM(B211:D211)</f>
        <v>7510.47474245991</v>
      </c>
      <c r="F211" s="122" t="n">
        <f aca="false">Economy!O82*IF(A211=1862,$E$38,IF(OR(AND(A211&gt;=1861,A211&lt;=1865),AND(A211&gt;=1870,A211&lt;=1871)),$E$37,$E$26))</f>
        <v>4717.2287659211</v>
      </c>
      <c r="G211" s="122" t="n">
        <f aca="false">'Debt &amp; cash'!Y82*issue_price</f>
        <v>129.409098485821</v>
      </c>
      <c r="H211" s="122" t="n">
        <f aca="false">Abroad!C82</f>
        <v>1100.68671204826</v>
      </c>
      <c r="I211" s="122" t="n">
        <f aca="false">Abroad!D82</f>
        <v>0</v>
      </c>
      <c r="J211" s="122" t="n">
        <f aca="false">'Champion funding'!D82-'Champion funding'!K82+'Champion funding'!Q82+'Champion funding'!R82</f>
        <v>288.303527800562</v>
      </c>
      <c r="K211" s="107" t="n">
        <f aca="false">SUM(F211:J211)</f>
        <v>6235.62810425574</v>
      </c>
      <c r="L211" s="107" t="n">
        <f aca="false">E211-K211</f>
        <v>1274.84663820417</v>
      </c>
      <c r="M211" s="107" t="n">
        <f aca="false">MAX(0,-L211)</f>
        <v>0</v>
      </c>
      <c r="N211" s="122" t="n">
        <f aca="false">'Capital accounts'!L82</f>
        <v>0</v>
      </c>
      <c r="O211" s="122" t="n">
        <f aca="false">'War credit'!E82</f>
        <v>0</v>
      </c>
      <c r="P211" s="124" t="n">
        <f aca="false">'War credit'!AC82</f>
        <v>0</v>
      </c>
      <c r="Q211" s="122" t="str">
        <f aca="false">IF(O211&gt;0,'War credit'!AD82,IF(N211&gt;0,"Project funding unallocated","Capacity is MODEL"))</f>
        <v>Capacity is MODEL</v>
      </c>
      <c r="R211" s="103"/>
      <c r="S211" s="103"/>
    </row>
    <row r="212" customFormat="false" ht="19.5" hidden="false" customHeight="true" outlineLevel="0" collapsed="false">
      <c r="A212" s="111" t="n">
        <v>1923</v>
      </c>
      <c r="B212" s="122" t="n">
        <f aca="false">Economy!O83*$E$25</f>
        <v>7827.79852669451</v>
      </c>
      <c r="C212" s="122" t="n">
        <f aca="false">MAX(0,Abroad!M83-Abroad!N83-Abroad!V83)*$E$27</f>
        <v>437.543154553281</v>
      </c>
      <c r="D212" s="122" t="n">
        <f aca="false">Abroad!F83</f>
        <v>245.145736010331</v>
      </c>
      <c r="E212" s="107" t="n">
        <f aca="false">SUM(B212:D212)</f>
        <v>8510.48741725812</v>
      </c>
      <c r="F212" s="122" t="n">
        <f aca="false">Economy!O83*IF(A212=1862,$E$38,IF(OR(AND(A212&gt;=1861,A212&lt;=1865),AND(A212&gt;=1870,A212&lt;=1871)),$E$37,$E$26))</f>
        <v>5337.13535910989</v>
      </c>
      <c r="G212" s="122" t="n">
        <f aca="false">'Debt &amp; cash'!Y83*issue_price</f>
        <v>395.812031069251</v>
      </c>
      <c r="H212" s="122" t="n">
        <f aca="false">Abroad!C83</f>
        <v>1245.33158379231</v>
      </c>
      <c r="I212" s="122" t="n">
        <f aca="false">Abroad!D83</f>
        <v>0</v>
      </c>
      <c r="J212" s="122" t="n">
        <f aca="false">'Champion funding'!D83-'Champion funding'!K83+'Champion funding'!Q83+'Champion funding'!R83</f>
        <v>322.413208859718</v>
      </c>
      <c r="K212" s="107" t="n">
        <f aca="false">SUM(F212:J212)</f>
        <v>7300.69218283117</v>
      </c>
      <c r="L212" s="107" t="n">
        <f aca="false">E212-K212</f>
        <v>1209.79523442695</v>
      </c>
      <c r="M212" s="107" t="n">
        <f aca="false">MAX(0,-L212)</f>
        <v>0</v>
      </c>
      <c r="N212" s="122" t="n">
        <f aca="false">'Capital accounts'!L83</f>
        <v>0</v>
      </c>
      <c r="O212" s="122" t="n">
        <f aca="false">'War credit'!E83</f>
        <v>0</v>
      </c>
      <c r="P212" s="124" t="n">
        <f aca="false">'War credit'!AC83</f>
        <v>0</v>
      </c>
      <c r="Q212" s="122" t="str">
        <f aca="false">IF(O212&gt;0,'War credit'!AD83,IF(N212&gt;0,"Project funding unallocated","Capacity is MODEL"))</f>
        <v>Capacity is MODEL</v>
      </c>
      <c r="R212" s="103"/>
      <c r="S212" s="103"/>
    </row>
    <row r="213" customFormat="false" ht="19.5" hidden="false" customHeight="true" outlineLevel="0" collapsed="false">
      <c r="A213" s="111" t="n">
        <v>1924</v>
      </c>
      <c r="B213" s="122" t="n">
        <f aca="false">Economy!O84*$E$25</f>
        <v>8370.60973204505</v>
      </c>
      <c r="C213" s="122" t="n">
        <f aca="false">MAX(0,Abroad!M84-Abroad!N84-Abroad!V84)*$E$27</f>
        <v>481.229867671311</v>
      </c>
      <c r="D213" s="122" t="n">
        <f aca="false">Abroad!F84</f>
        <v>275.713103443791</v>
      </c>
      <c r="E213" s="107" t="n">
        <f aca="false">SUM(B213:D213)</f>
        <v>9127.55270316016</v>
      </c>
      <c r="F213" s="122" t="n">
        <f aca="false">Economy!O84*IF(A213=1862,$E$38,IF(OR(AND(A213&gt;=1861,A213&lt;=1865),AND(A213&gt;=1870,A213&lt;=1871)),$E$37,$E$26))</f>
        <v>5707.23390821254</v>
      </c>
      <c r="G213" s="122" t="n">
        <f aca="false">'Debt &amp; cash'!Y84*issue_price</f>
        <v>350.081587857478</v>
      </c>
      <c r="H213" s="122" t="n">
        <f aca="false">Abroad!C84</f>
        <v>1331.68791191626</v>
      </c>
      <c r="I213" s="122" t="n">
        <f aca="false">Abroad!D84</f>
        <v>0</v>
      </c>
      <c r="J213" s="122" t="n">
        <f aca="false">'Champion funding'!D84-'Champion funding'!K84+'Champion funding'!Q84+'Champion funding'!R84</f>
        <v>351.32746000025</v>
      </c>
      <c r="K213" s="107" t="n">
        <f aca="false">SUM(F213:J213)</f>
        <v>7740.33086798652</v>
      </c>
      <c r="L213" s="107" t="n">
        <f aca="false">E213-K213</f>
        <v>1387.22183517363</v>
      </c>
      <c r="M213" s="107" t="n">
        <f aca="false">MAX(0,-L213)</f>
        <v>0</v>
      </c>
      <c r="N213" s="122" t="n">
        <f aca="false">'Capital accounts'!L84</f>
        <v>0</v>
      </c>
      <c r="O213" s="122" t="n">
        <f aca="false">'War credit'!E84</f>
        <v>0</v>
      </c>
      <c r="P213" s="124" t="n">
        <f aca="false">'War credit'!AC84</f>
        <v>0</v>
      </c>
      <c r="Q213" s="122" t="str">
        <f aca="false">IF(O213&gt;0,'War credit'!AD84,IF(N213&gt;0,"Project funding unallocated","Capacity is MODEL"))</f>
        <v>Capacity is MODEL</v>
      </c>
      <c r="R213" s="103"/>
      <c r="S213" s="103"/>
    </row>
    <row r="214" customFormat="false" ht="19.5" hidden="false" customHeight="true" outlineLevel="0" collapsed="false">
      <c r="A214" s="111" t="n">
        <v>1925</v>
      </c>
      <c r="B214" s="122" t="n">
        <f aca="false">Economy!O85*$E$25</f>
        <v>9056.0493583612</v>
      </c>
      <c r="C214" s="122" t="n">
        <f aca="false">MAX(0,Abroad!M85-Abroad!N85-Abroad!V85)*$E$27</f>
        <v>526.868376823262</v>
      </c>
      <c r="D214" s="122" t="n">
        <f aca="false">Abroad!F85</f>
        <v>307.945151025965</v>
      </c>
      <c r="E214" s="107" t="n">
        <f aca="false">SUM(B214:D214)</f>
        <v>9890.86288621043</v>
      </c>
      <c r="F214" s="122" t="n">
        <f aca="false">Economy!O85*IF(A214=1862,$E$38,IF(OR(AND(A214&gt;=1861,A214&lt;=1865),AND(A214&gt;=1870,A214&lt;=1871)),$E$37,$E$26))</f>
        <v>6174.57910797355</v>
      </c>
      <c r="G214" s="122" t="n">
        <f aca="false">'Debt &amp; cash'!Y85*issue_price</f>
        <v>396.353579566382</v>
      </c>
      <c r="H214" s="122" t="n">
        <f aca="false">Abroad!C85</f>
        <v>1440.73512519383</v>
      </c>
      <c r="I214" s="122" t="n">
        <f aca="false">Abroad!D85</f>
        <v>0</v>
      </c>
      <c r="J214" s="122" t="n">
        <f aca="false">'Champion funding'!D85-'Champion funding'!K85+'Champion funding'!Q85+'Champion funding'!R85</f>
        <v>376.227971526</v>
      </c>
      <c r="K214" s="107" t="n">
        <f aca="false">SUM(F214:J214)</f>
        <v>8387.89578425976</v>
      </c>
      <c r="L214" s="107" t="n">
        <f aca="false">E214-K214</f>
        <v>1502.96710195067</v>
      </c>
      <c r="M214" s="107" t="n">
        <f aca="false">MAX(0,-L214)</f>
        <v>0</v>
      </c>
      <c r="N214" s="122" t="n">
        <f aca="false">'Capital accounts'!L85</f>
        <v>0</v>
      </c>
      <c r="O214" s="122" t="n">
        <f aca="false">'War credit'!E85</f>
        <v>0</v>
      </c>
      <c r="P214" s="124" t="n">
        <f aca="false">'War credit'!AC85</f>
        <v>0</v>
      </c>
      <c r="Q214" s="122" t="str">
        <f aca="false">IF(O214&gt;0,'War credit'!AD85,IF(N214&gt;0,"Project funding unallocated","Capacity is MODEL"))</f>
        <v>Capacity is MODEL</v>
      </c>
      <c r="R214" s="103"/>
      <c r="S214" s="103"/>
    </row>
    <row r="215" customFormat="false" ht="19.5" hidden="false" customHeight="true" outlineLevel="0" collapsed="false">
      <c r="A215" s="111" t="n">
        <v>1926</v>
      </c>
      <c r="B215" s="122" t="n">
        <f aca="false">Economy!O86*$E$25</f>
        <v>9455.36378911467</v>
      </c>
      <c r="C215" s="122" t="n">
        <f aca="false">MAX(0,Abroad!M86-Abroad!N86-Abroad!V86)*$E$27</f>
        <v>582.793167659155</v>
      </c>
      <c r="D215" s="122" t="n">
        <f aca="false">Abroad!F86</f>
        <v>342.472808725753</v>
      </c>
      <c r="E215" s="107" t="n">
        <f aca="false">SUM(B215:D215)</f>
        <v>10380.6297654996</v>
      </c>
      <c r="F215" s="122" t="n">
        <f aca="false">Economy!O86*IF(A215=1862,$E$38,IF(OR(AND(A215&gt;=1861,A215&lt;=1865),AND(A215&gt;=1870,A215&lt;=1871)),$E$37,$E$26))</f>
        <v>6446.83894712364</v>
      </c>
      <c r="G215" s="122" t="n">
        <f aca="false">'Debt &amp; cash'!Y86*issue_price</f>
        <v>357.332241541972</v>
      </c>
      <c r="H215" s="122" t="n">
        <f aca="false">Abroad!C86</f>
        <v>1504.26242099552</v>
      </c>
      <c r="I215" s="122" t="n">
        <f aca="false">Abroad!D86</f>
        <v>0</v>
      </c>
      <c r="J215" s="122" t="n">
        <f aca="false">'Champion funding'!D86-'Champion funding'!K86+'Champion funding'!Q86+'Champion funding'!R86</f>
        <v>404.059131459154</v>
      </c>
      <c r="K215" s="107" t="n">
        <f aca="false">SUM(F215:J215)</f>
        <v>8712.49274112028</v>
      </c>
      <c r="L215" s="107" t="n">
        <f aca="false">E215-K215</f>
        <v>1668.1370243793</v>
      </c>
      <c r="M215" s="107" t="n">
        <f aca="false">MAX(0,-L215)</f>
        <v>0</v>
      </c>
      <c r="N215" s="122" t="n">
        <f aca="false">'Capital accounts'!L86</f>
        <v>0</v>
      </c>
      <c r="O215" s="122" t="n">
        <f aca="false">'War credit'!E86</f>
        <v>0</v>
      </c>
      <c r="P215" s="124" t="n">
        <f aca="false">'War credit'!AC86</f>
        <v>0</v>
      </c>
      <c r="Q215" s="122" t="str">
        <f aca="false">IF(O215&gt;0,'War credit'!AD86,IF(N215&gt;0,"Project funding unallocated","Capacity is MODEL"))</f>
        <v>Capacity is MODEL</v>
      </c>
      <c r="R215" s="103"/>
      <c r="S215" s="103"/>
    </row>
    <row r="216" customFormat="false" ht="19.5" hidden="false" customHeight="true" outlineLevel="0" collapsed="false">
      <c r="A216" s="111" t="n">
        <v>1927</v>
      </c>
      <c r="B216" s="122" t="n">
        <f aca="false">Economy!O87*$E$25</f>
        <v>9810.30775476776</v>
      </c>
      <c r="C216" s="122" t="n">
        <f aca="false">MAX(0,Abroad!M87-Abroad!N87-Abroad!V87)*$E$27</f>
        <v>650.941109069019</v>
      </c>
      <c r="D216" s="122" t="n">
        <f aca="false">Abroad!F87</f>
        <v>377.861752233002</v>
      </c>
      <c r="E216" s="107" t="n">
        <f aca="false">SUM(B216:D216)</f>
        <v>10839.1106160698</v>
      </c>
      <c r="F216" s="122" t="n">
        <f aca="false">Economy!O87*IF(A216=1862,$E$38,IF(OR(AND(A216&gt;=1861,A216&lt;=1865),AND(A216&gt;=1870,A216&lt;=1871)),$E$37,$E$26))</f>
        <v>6688.84619643256</v>
      </c>
      <c r="G216" s="122" t="n">
        <f aca="false">'Debt &amp; cash'!Y87*issue_price</f>
        <v>347.609218659076</v>
      </c>
      <c r="H216" s="122" t="n">
        <f aca="false">Abroad!C87</f>
        <v>1560.7307791676</v>
      </c>
      <c r="I216" s="122" t="n">
        <f aca="false">Abroad!D87</f>
        <v>0</v>
      </c>
      <c r="J216" s="122" t="n">
        <f aca="false">'Champion funding'!D87-'Champion funding'!K87+'Champion funding'!Q87+'Champion funding'!R87</f>
        <v>444.893601137998</v>
      </c>
      <c r="K216" s="107" t="n">
        <f aca="false">SUM(F216:J216)</f>
        <v>9042.07979539723</v>
      </c>
      <c r="L216" s="107" t="n">
        <f aca="false">E216-K216</f>
        <v>1797.03082067255</v>
      </c>
      <c r="M216" s="107" t="n">
        <f aca="false">MAX(0,-L216)</f>
        <v>0</v>
      </c>
      <c r="N216" s="122" t="n">
        <f aca="false">'Capital accounts'!L87</f>
        <v>0</v>
      </c>
      <c r="O216" s="122" t="n">
        <f aca="false">'War credit'!E87</f>
        <v>0</v>
      </c>
      <c r="P216" s="124" t="n">
        <f aca="false">'War credit'!AC87</f>
        <v>0</v>
      </c>
      <c r="Q216" s="122" t="str">
        <f aca="false">IF(O216&gt;0,'War credit'!AD87,IF(N216&gt;0,"Project funding unallocated","Capacity is MODEL"))</f>
        <v>Capacity is MODEL</v>
      </c>
      <c r="R216" s="103"/>
      <c r="S216" s="103"/>
    </row>
    <row r="217" customFormat="false" ht="19.5" hidden="false" customHeight="true" outlineLevel="0" collapsed="false">
      <c r="A217" s="111" t="n">
        <v>1928</v>
      </c>
      <c r="B217" s="122" t="n">
        <f aca="false">Economy!O88*$E$25</f>
        <v>10528.520077535</v>
      </c>
      <c r="C217" s="122" t="n">
        <f aca="false">MAX(0,Abroad!M88-Abroad!N88-Abroad!V88)*$E$27</f>
        <v>705.370973557056</v>
      </c>
      <c r="D217" s="122" t="n">
        <f aca="false">Abroad!F88</f>
        <v>403.93728940761</v>
      </c>
      <c r="E217" s="107" t="n">
        <f aca="false">SUM(B217:D217)</f>
        <v>11637.8283404997</v>
      </c>
      <c r="F217" s="122" t="n">
        <f aca="false">Economy!O88*IF(A217=1862,$E$38,IF(OR(AND(A217&gt;=1861,A217&lt;=1865),AND(A217&gt;=1870,A217&lt;=1871)),$E$37,$E$26))</f>
        <v>7178.53641650113</v>
      </c>
      <c r="G217" s="122" t="n">
        <f aca="false">'Debt &amp; cash'!Y88*issue_price</f>
        <v>488.143120169708</v>
      </c>
      <c r="H217" s="122" t="n">
        <f aca="false">Abroad!C88</f>
        <v>1674.99183051693</v>
      </c>
      <c r="I217" s="122" t="n">
        <f aca="false">Abroad!D88</f>
        <v>0</v>
      </c>
      <c r="J217" s="122" t="n">
        <f aca="false">'Champion funding'!D88-'Champion funding'!K88+'Champion funding'!Q88+'Champion funding'!R88</f>
        <v>486.83521943338</v>
      </c>
      <c r="K217" s="107" t="n">
        <f aca="false">SUM(F217:J217)</f>
        <v>9828.50658662115</v>
      </c>
      <c r="L217" s="107" t="n">
        <f aca="false">E217-K217</f>
        <v>1809.32175387851</v>
      </c>
      <c r="M217" s="107" t="n">
        <f aca="false">MAX(0,-L217)</f>
        <v>0</v>
      </c>
      <c r="N217" s="122" t="n">
        <f aca="false">'Capital accounts'!L88</f>
        <v>0</v>
      </c>
      <c r="O217" s="122" t="n">
        <f aca="false">'War credit'!E88</f>
        <v>0</v>
      </c>
      <c r="P217" s="124" t="n">
        <f aca="false">'War credit'!AC88</f>
        <v>0</v>
      </c>
      <c r="Q217" s="122" t="str">
        <f aca="false">IF(O217&gt;0,'War credit'!AD88,IF(N217&gt;0,"Project funding unallocated","Capacity is MODEL"))</f>
        <v>Capacity is MODEL</v>
      </c>
      <c r="R217" s="103"/>
      <c r="S217" s="103"/>
    </row>
    <row r="218" customFormat="false" ht="19.5" hidden="false" customHeight="true" outlineLevel="0" collapsed="false">
      <c r="A218" s="111" t="n">
        <v>1929</v>
      </c>
      <c r="B218" s="122" t="n">
        <f aca="false">Economy!O89*$E$25</f>
        <v>11171.892324776</v>
      </c>
      <c r="C218" s="122" t="n">
        <f aca="false">MAX(0,Abroad!M89-Abroad!N89-Abroad!V89)*$E$27</f>
        <v>769.771521394519</v>
      </c>
      <c r="D218" s="122" t="n">
        <f aca="false">Abroad!F89</f>
        <v>508.835354243301</v>
      </c>
      <c r="E218" s="107" t="n">
        <f aca="false">SUM(B218:D218)</f>
        <v>12450.4992004138</v>
      </c>
      <c r="F218" s="122" t="n">
        <f aca="false">Economy!O89*IF(A218=1862,$E$38,IF(OR(AND(A218&gt;=1861,A218&lt;=1865),AND(A218&gt;=1870,A218&lt;=1871)),$E$37,$E$26))</f>
        <v>7617.19931234725</v>
      </c>
      <c r="G218" s="122" t="n">
        <f aca="false">'Debt &amp; cash'!Y89*issue_price</f>
        <v>505.295535961026</v>
      </c>
      <c r="H218" s="122" t="n">
        <f aca="false">Abroad!C89</f>
        <v>1777.34650621436</v>
      </c>
      <c r="I218" s="122" t="n">
        <f aca="false">Abroad!D89</f>
        <v>0</v>
      </c>
      <c r="J218" s="122" t="n">
        <f aca="false">'Champion funding'!D89-'Champion funding'!K89+'Champion funding'!Q89+'Champion funding'!R89</f>
        <v>527.131236942282</v>
      </c>
      <c r="K218" s="107" t="n">
        <f aca="false">SUM(F218:J218)</f>
        <v>10426.9725914649</v>
      </c>
      <c r="L218" s="107" t="n">
        <f aca="false">E218-K218</f>
        <v>2023.52660894887</v>
      </c>
      <c r="M218" s="107" t="n">
        <f aca="false">MAX(0,-L218)</f>
        <v>0</v>
      </c>
      <c r="N218" s="122" t="n">
        <f aca="false">'Capital accounts'!L89</f>
        <v>0</v>
      </c>
      <c r="O218" s="122" t="n">
        <f aca="false">'War credit'!E89</f>
        <v>0</v>
      </c>
      <c r="P218" s="124" t="n">
        <f aca="false">'War credit'!AC89</f>
        <v>0</v>
      </c>
      <c r="Q218" s="122" t="str">
        <f aca="false">IF(O218&gt;0,'War credit'!AD89,IF(N218&gt;0,"Project funding unallocated","Capacity is MODEL"))</f>
        <v>Capacity is MODEL</v>
      </c>
      <c r="R218" s="103"/>
      <c r="S218" s="103"/>
    </row>
    <row r="219" customFormat="false" ht="19.5" hidden="false" customHeight="true" outlineLevel="0" collapsed="false">
      <c r="A219" s="111" t="n">
        <v>1930</v>
      </c>
      <c r="B219" s="122" t="n">
        <f aca="false">Economy!O90*$E$25</f>
        <v>10474.9069163021</v>
      </c>
      <c r="C219" s="122" t="n">
        <f aca="false">MAX(0,Abroad!M90-Abroad!N90-Abroad!V90)*$E$27</f>
        <v>756.118099549888</v>
      </c>
      <c r="D219" s="122" t="n">
        <f aca="false">Abroad!F90</f>
        <v>549.388105516523</v>
      </c>
      <c r="E219" s="107" t="n">
        <f aca="false">SUM(B219:D219)</f>
        <v>11780.4131213685</v>
      </c>
      <c r="F219" s="122" t="n">
        <f aca="false">Economy!O90*IF(A219=1862,$E$38,IF(OR(AND(A219&gt;=1861,A219&lt;=1865),AND(A219&gt;=1870,A219&lt;=1871)),$E$37,$E$26))</f>
        <v>7141.98198838778</v>
      </c>
      <c r="G219" s="122" t="n">
        <f aca="false">'Debt &amp; cash'!Y90*issue_price</f>
        <v>160.519325163285</v>
      </c>
      <c r="H219" s="122" t="n">
        <f aca="false">Abroad!C90</f>
        <v>238.066066279593</v>
      </c>
      <c r="I219" s="122" t="n">
        <f aca="false">Abroad!D90</f>
        <v>0</v>
      </c>
      <c r="J219" s="122" t="n">
        <f aca="false">'Champion funding'!D90-'Champion funding'!K90+'Champion funding'!Q90+'Champion funding'!R90</f>
        <v>41.0092831544336</v>
      </c>
      <c r="K219" s="107" t="n">
        <f aca="false">SUM(F219:J219)</f>
        <v>7581.57666298509</v>
      </c>
      <c r="L219" s="107" t="n">
        <f aca="false">E219-K219</f>
        <v>4198.8364583834</v>
      </c>
      <c r="M219" s="107" t="n">
        <f aca="false">MAX(0,-L219)</f>
        <v>0</v>
      </c>
      <c r="N219" s="122" t="n">
        <f aca="false">'Capital accounts'!L90</f>
        <v>0</v>
      </c>
      <c r="O219" s="122" t="n">
        <f aca="false">'War credit'!E90</f>
        <v>0</v>
      </c>
      <c r="P219" s="124" t="n">
        <f aca="false">'War credit'!AC90</f>
        <v>0</v>
      </c>
      <c r="Q219" s="122" t="str">
        <f aca="false">IF(O219&gt;0,'War credit'!AD90,IF(N219&gt;0,"Project funding unallocated","Capacity is MODEL"))</f>
        <v>Capacity is MODEL</v>
      </c>
      <c r="R219" s="103"/>
      <c r="S219" s="103"/>
    </row>
    <row r="220" customFormat="false" ht="19.5" hidden="false" customHeight="true" outlineLevel="0" collapsed="false">
      <c r="A220" s="111" t="n">
        <v>1931</v>
      </c>
      <c r="B220" s="122" t="n">
        <f aca="false">Economy!O91*$E$25</f>
        <v>9449.89186112524</v>
      </c>
      <c r="C220" s="122" t="n">
        <f aca="false">MAX(0,Abroad!M91-Abroad!N91-Abroad!V91)*$E$27</f>
        <v>506.278545692321</v>
      </c>
      <c r="D220" s="122" t="n">
        <f aca="false">Abroad!F91</f>
        <v>507.267470650776</v>
      </c>
      <c r="E220" s="107" t="n">
        <f aca="false">SUM(B220:D220)</f>
        <v>10463.4378774683</v>
      </c>
      <c r="F220" s="122" t="n">
        <f aca="false">Economy!O91*IF(A220=1862,$E$38,IF(OR(AND(A220&gt;=1861,A220&lt;=1865),AND(A220&gt;=1870,A220&lt;=1871)),$E$37,$E$26))</f>
        <v>6443.10808713084</v>
      </c>
      <c r="G220" s="122" t="n">
        <f aca="false">'Debt &amp; cash'!Y91*issue_price</f>
        <v>0</v>
      </c>
      <c r="H220" s="122" t="n">
        <f aca="false">Abroad!C91</f>
        <v>214.770269571028</v>
      </c>
      <c r="I220" s="122" t="n">
        <f aca="false">Abroad!D91</f>
        <v>0</v>
      </c>
      <c r="J220" s="122" t="n">
        <f aca="false">'Champion funding'!D91-'Champion funding'!K91+'Champion funding'!Q91+'Champion funding'!R91</f>
        <v>39.8335303726918</v>
      </c>
      <c r="K220" s="107" t="n">
        <f aca="false">SUM(F220:J220)</f>
        <v>6697.71188707456</v>
      </c>
      <c r="L220" s="107" t="n">
        <f aca="false">E220-K220</f>
        <v>3765.72599039377</v>
      </c>
      <c r="M220" s="107" t="n">
        <f aca="false">MAX(0,-L220)</f>
        <v>0</v>
      </c>
      <c r="N220" s="122" t="n">
        <f aca="false">'Capital accounts'!L91</f>
        <v>0</v>
      </c>
      <c r="O220" s="122" t="n">
        <f aca="false">'War credit'!E91</f>
        <v>0</v>
      </c>
      <c r="P220" s="124" t="n">
        <f aca="false">'War credit'!AC91</f>
        <v>0</v>
      </c>
      <c r="Q220" s="122" t="str">
        <f aca="false">IF(O220&gt;0,'War credit'!AD91,IF(N220&gt;0,"Project funding unallocated","Capacity is MODEL"))</f>
        <v>Capacity is MODEL</v>
      </c>
      <c r="R220" s="103"/>
      <c r="S220" s="103"/>
    </row>
    <row r="221" customFormat="false" ht="19.5" hidden="false" customHeight="true" outlineLevel="0" collapsed="false">
      <c r="A221" s="111" t="n">
        <v>1932</v>
      </c>
      <c r="B221" s="122" t="n">
        <f aca="false">Economy!O92*$E$25</f>
        <v>8688.97334598423</v>
      </c>
      <c r="C221" s="122" t="n">
        <f aca="false">MAX(0,Abroad!M92-Abroad!N92-Abroad!V92)*$E$27</f>
        <v>455.537302559263</v>
      </c>
      <c r="D221" s="122" t="n">
        <f aca="false">Abroad!F92</f>
        <v>482.83922731452</v>
      </c>
      <c r="E221" s="107" t="n">
        <f aca="false">SUM(B221:D221)</f>
        <v>9627.34987585802</v>
      </c>
      <c r="F221" s="122" t="n">
        <f aca="false">Economy!O92*IF(A221=1862,$E$38,IF(OR(AND(A221&gt;=1861,A221&lt;=1865),AND(A221&gt;=1870,A221&lt;=1871)),$E$37,$E$26))</f>
        <v>5924.30000862561</v>
      </c>
      <c r="G221" s="122" t="n">
        <f aca="false">'Debt &amp; cash'!Y92*issue_price</f>
        <v>0</v>
      </c>
      <c r="H221" s="122" t="n">
        <f aca="false">Abroad!C92</f>
        <v>197.476666954187</v>
      </c>
      <c r="I221" s="122" t="n">
        <f aca="false">Abroad!D92</f>
        <v>0</v>
      </c>
      <c r="J221" s="122" t="n">
        <f aca="false">'Champion funding'!D92-'Champion funding'!K92+'Champion funding'!Q92+'Champion funding'!R92</f>
        <v>38.6919596601444</v>
      </c>
      <c r="K221" s="107" t="n">
        <f aca="false">SUM(F221:J221)</f>
        <v>6160.46863523994</v>
      </c>
      <c r="L221" s="107" t="n">
        <f aca="false">E221-K221</f>
        <v>3466.88124061807</v>
      </c>
      <c r="M221" s="107" t="n">
        <f aca="false">MAX(0,-L221)</f>
        <v>0</v>
      </c>
      <c r="N221" s="122" t="n">
        <f aca="false">'Capital accounts'!L92</f>
        <v>0</v>
      </c>
      <c r="O221" s="122" t="n">
        <f aca="false">'War credit'!E92</f>
        <v>0</v>
      </c>
      <c r="P221" s="124" t="n">
        <f aca="false">'War credit'!AC92</f>
        <v>0</v>
      </c>
      <c r="Q221" s="122" t="str">
        <f aca="false">IF(O221&gt;0,'War credit'!AD92,IF(N221&gt;0,"Project funding unallocated","Capacity is MODEL"))</f>
        <v>Capacity is MODEL</v>
      </c>
      <c r="R221" s="103"/>
      <c r="S221" s="103"/>
    </row>
    <row r="222" customFormat="false" ht="19.5" hidden="false" customHeight="true" outlineLevel="0" collapsed="false">
      <c r="A222" s="100"/>
      <c r="B222" s="103"/>
      <c r="C222" s="103"/>
      <c r="D222" s="103"/>
      <c r="E222" s="103"/>
      <c r="F222" s="103"/>
      <c r="G222" s="103"/>
      <c r="H222" s="103"/>
      <c r="I222" s="103"/>
      <c r="J222" s="103"/>
      <c r="K222" s="103"/>
      <c r="L222" s="103"/>
      <c r="M222" s="103"/>
      <c r="N222" s="103"/>
      <c r="O222" s="103"/>
      <c r="P222" s="103"/>
      <c r="Q222" s="103"/>
      <c r="R222" s="103"/>
      <c r="S222" s="103"/>
    </row>
    <row r="223" customFormat="false" ht="19.5" hidden="false" customHeight="true" outlineLevel="0" collapsed="false">
      <c r="A223" s="100"/>
      <c r="B223" s="103"/>
      <c r="C223" s="103"/>
      <c r="D223" s="103"/>
      <c r="E223" s="103"/>
      <c r="F223" s="103"/>
      <c r="G223" s="103"/>
      <c r="H223" s="103"/>
      <c r="I223" s="103"/>
      <c r="J223" s="103"/>
      <c r="K223" s="103"/>
      <c r="L223" s="103"/>
      <c r="M223" s="103"/>
      <c r="N223" s="103"/>
      <c r="O223" s="103"/>
      <c r="P223" s="103"/>
      <c r="Q223" s="103"/>
      <c r="R223" s="103"/>
      <c r="S223" s="103"/>
    </row>
    <row r="224" customFormat="false" ht="19.5" hidden="false" customHeight="true" outlineLevel="0" collapsed="false">
      <c r="A224" s="100"/>
      <c r="B224" s="103"/>
      <c r="C224" s="103"/>
      <c r="D224" s="103"/>
      <c r="E224" s="103"/>
      <c r="F224" s="103"/>
      <c r="G224" s="103"/>
      <c r="H224" s="103"/>
      <c r="I224" s="103"/>
      <c r="J224" s="103"/>
      <c r="K224" s="103"/>
      <c r="L224" s="103"/>
      <c r="M224" s="103"/>
      <c r="N224" s="103"/>
      <c r="O224" s="103"/>
      <c r="P224" s="103"/>
      <c r="Q224" s="103"/>
      <c r="R224" s="103"/>
      <c r="S224" s="103"/>
    </row>
    <row r="225" customFormat="false" ht="19.5" hidden="false" customHeight="true" outlineLevel="0" collapsed="false">
      <c r="A225" s="100" t="s">
        <v>2277</v>
      </c>
      <c r="B225" s="103"/>
      <c r="C225" s="103"/>
      <c r="D225" s="103"/>
      <c r="E225" s="103"/>
      <c r="F225" s="103"/>
      <c r="G225" s="103"/>
      <c r="H225" s="103"/>
      <c r="I225" s="103"/>
      <c r="J225" s="103"/>
      <c r="K225" s="103"/>
      <c r="L225" s="103"/>
      <c r="M225" s="103"/>
      <c r="N225" s="103"/>
      <c r="O225" s="103"/>
      <c r="P225" s="103"/>
      <c r="Q225" s="103"/>
      <c r="R225" s="103"/>
      <c r="S225" s="103"/>
    </row>
    <row r="226" customFormat="false" ht="19.5" hidden="false" customHeight="true" outlineLevel="0" collapsed="false">
      <c r="A226" s="100" t="s">
        <v>2278</v>
      </c>
      <c r="B226" s="103"/>
      <c r="C226" s="103"/>
      <c r="D226" s="103"/>
      <c r="E226" s="103"/>
      <c r="F226" s="103"/>
      <c r="G226" s="103"/>
      <c r="H226" s="103"/>
      <c r="I226" s="103"/>
      <c r="J226" s="103"/>
      <c r="K226" s="103"/>
      <c r="L226" s="103"/>
      <c r="M226" s="103"/>
      <c r="N226" s="103"/>
      <c r="O226" s="103"/>
      <c r="P226" s="103"/>
      <c r="Q226" s="103"/>
      <c r="R226" s="103"/>
      <c r="S226" s="103"/>
    </row>
    <row r="227" customFormat="false" ht="19.5" hidden="false" customHeight="true" outlineLevel="0" collapsed="false">
      <c r="A227" s="100" t="s">
        <v>2279</v>
      </c>
      <c r="B227" s="103"/>
      <c r="C227" s="103"/>
      <c r="D227" s="103"/>
      <c r="E227" s="103"/>
      <c r="F227" s="103"/>
      <c r="G227" s="103"/>
      <c r="H227" s="103"/>
      <c r="I227" s="103"/>
      <c r="J227" s="103"/>
      <c r="K227" s="103"/>
      <c r="L227" s="103"/>
      <c r="M227" s="103"/>
      <c r="N227" s="103"/>
      <c r="O227" s="103"/>
      <c r="P227" s="103"/>
      <c r="Q227" s="103"/>
      <c r="R227" s="103"/>
      <c r="S227" s="103"/>
    </row>
    <row r="228" customFormat="false" ht="19.5" hidden="false" customHeight="true" outlineLevel="0" collapsed="false">
      <c r="A228" s="100" t="s">
        <v>2280</v>
      </c>
      <c r="B228" s="103"/>
      <c r="C228" s="103"/>
      <c r="D228" s="103"/>
      <c r="E228" s="103"/>
      <c r="F228" s="103"/>
      <c r="G228" s="103"/>
      <c r="H228" s="103"/>
      <c r="I228" s="103"/>
      <c r="J228" s="103"/>
      <c r="K228" s="103"/>
      <c r="L228" s="103"/>
      <c r="M228" s="103"/>
      <c r="N228" s="103"/>
      <c r="O228" s="103"/>
      <c r="P228" s="103"/>
      <c r="Q228" s="103"/>
      <c r="R228" s="103"/>
      <c r="S228" s="103"/>
    </row>
  </sheetData>
  <conditionalFormatting sqref="P40:P126">
    <cfRule type="cellIs" priority="2" operator="greaterThan" aboveAverage="0" equalAverage="0" bottom="0" percent="0" rank="0" text="" dxfId="10">
      <formula>0.001</formula>
    </cfRule>
    <cfRule type="cellIs" priority="3" operator="lessThan" aboveAverage="0" equalAverage="0" bottom="0" percent="0" rank="0" text="" dxfId="11">
      <formula>-0.001</formula>
    </cfRule>
  </conditionalFormatting>
  <conditionalFormatting sqref="M135:M221">
    <cfRule type="cellIs" priority="4" operator="greaterThan" aboveAverage="0" equalAverage="0" bottom="0" percent="0" rank="0" text="" dxfId="1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99" t="s">
        <v>2281</v>
      </c>
      <c r="B1" s="100"/>
      <c r="C1" s="100"/>
      <c r="D1" s="100"/>
      <c r="E1" s="100"/>
      <c r="F1" s="100"/>
      <c r="G1" s="100"/>
      <c r="H1" s="100"/>
      <c r="I1" s="100"/>
      <c r="J1" s="100"/>
      <c r="K1" s="100"/>
      <c r="L1" s="100"/>
      <c r="M1" s="100"/>
      <c r="N1" s="100"/>
      <c r="O1" s="100"/>
      <c r="P1" s="100"/>
      <c r="Q1" s="100"/>
      <c r="R1" s="100"/>
      <c r="S1" s="100"/>
      <c r="T1" s="100"/>
      <c r="U1" s="100"/>
      <c r="V1" s="100"/>
      <c r="W1" s="100"/>
      <c r="X1" s="100"/>
      <c r="Y1" s="100"/>
      <c r="Z1" s="100"/>
      <c r="AA1" s="100"/>
      <c r="AB1" s="100"/>
      <c r="AC1" s="100"/>
      <c r="AD1" s="100"/>
    </row>
    <row r="2" customFormat="false" ht="19.5" hidden="false" customHeight="true" outlineLevel="0" collapsed="false">
      <c r="A2" s="101" t="s">
        <v>2282</v>
      </c>
      <c r="B2" s="100"/>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row>
    <row r="3" customFormat="false" ht="19.5" hidden="false" customHeight="true" outlineLevel="0" collapsed="false">
      <c r="A3" s="100" t="s">
        <v>2039</v>
      </c>
      <c r="B3" s="100"/>
      <c r="C3" s="100"/>
      <c r="D3" s="100"/>
      <c r="E3" s="119" t="str">
        <f aca="false">Levers!F4</f>
        <v>Story case</v>
      </c>
      <c r="F3" s="100"/>
      <c r="G3" s="100"/>
      <c r="H3" s="100"/>
      <c r="I3" s="100"/>
      <c r="J3" s="100"/>
      <c r="K3" s="100"/>
      <c r="L3" s="100"/>
      <c r="M3" s="100"/>
      <c r="N3" s="100"/>
      <c r="O3" s="100"/>
      <c r="P3" s="100"/>
      <c r="Q3" s="100"/>
      <c r="R3" s="100"/>
      <c r="S3" s="100"/>
      <c r="T3" s="100"/>
      <c r="U3" s="100"/>
      <c r="V3" s="100"/>
      <c r="W3" s="100"/>
      <c r="X3" s="100"/>
      <c r="Y3" s="100"/>
      <c r="Z3" s="100"/>
      <c r="AA3" s="100"/>
      <c r="AB3" s="100"/>
      <c r="AC3" s="100"/>
      <c r="AD3" s="100"/>
    </row>
    <row r="4" customFormat="false" ht="19.5" hidden="false" customHeight="true" outlineLevel="0" collapsed="false">
      <c r="A4" s="100"/>
      <c r="B4" s="100"/>
      <c r="C4" s="100"/>
      <c r="D4" s="100"/>
      <c r="E4" s="100"/>
      <c r="F4" s="100"/>
      <c r="G4" s="100"/>
      <c r="H4" s="100"/>
      <c r="I4" s="100"/>
      <c r="J4" s="100"/>
      <c r="K4" s="100"/>
      <c r="L4" s="100"/>
      <c r="M4" s="100"/>
      <c r="N4" s="100"/>
      <c r="O4" s="100"/>
      <c r="P4" s="100"/>
      <c r="Q4" s="100"/>
      <c r="R4" s="100"/>
      <c r="S4" s="100"/>
      <c r="T4" s="100"/>
      <c r="U4" s="100"/>
      <c r="V4" s="100"/>
      <c r="W4" s="100"/>
      <c r="X4" s="100"/>
      <c r="Y4" s="100"/>
      <c r="Z4" s="100"/>
      <c r="AA4" s="100"/>
      <c r="AB4" s="100"/>
      <c r="AC4" s="100"/>
      <c r="AD4" s="100"/>
    </row>
    <row r="5" customFormat="false" ht="57.75" hidden="false" customHeight="true" outlineLevel="0" collapsed="false">
      <c r="A5" s="76" t="s">
        <v>103</v>
      </c>
      <c r="B5" s="113" t="s">
        <v>2283</v>
      </c>
      <c r="C5" s="113" t="s">
        <v>2284</v>
      </c>
      <c r="D5" s="113" t="s">
        <v>2285</v>
      </c>
      <c r="E5" s="113" t="s">
        <v>2286</v>
      </c>
      <c r="F5" s="113" t="s">
        <v>2162</v>
      </c>
      <c r="G5" s="113" t="s">
        <v>2287</v>
      </c>
      <c r="H5" s="113" t="s">
        <v>2288</v>
      </c>
      <c r="I5" s="113" t="s">
        <v>2289</v>
      </c>
      <c r="J5" s="113" t="s">
        <v>2290</v>
      </c>
      <c r="K5" s="113" t="s">
        <v>2291</v>
      </c>
      <c r="L5" s="113" t="s">
        <v>2292</v>
      </c>
      <c r="M5" s="113" t="s">
        <v>2293</v>
      </c>
      <c r="N5" s="113" t="s">
        <v>2294</v>
      </c>
      <c r="O5" s="113" t="s">
        <v>2295</v>
      </c>
      <c r="P5" s="113" t="s">
        <v>2158</v>
      </c>
      <c r="Q5" s="113" t="s">
        <v>2296</v>
      </c>
      <c r="R5" s="113" t="s">
        <v>2297</v>
      </c>
      <c r="S5" s="113" t="s">
        <v>2298</v>
      </c>
      <c r="T5" s="113" t="s">
        <v>2299</v>
      </c>
      <c r="U5" s="113" t="s">
        <v>2159</v>
      </c>
      <c r="V5" s="113" t="s">
        <v>2300</v>
      </c>
      <c r="W5" s="113" t="s">
        <v>2301</v>
      </c>
      <c r="X5" s="113" t="s">
        <v>2302</v>
      </c>
      <c r="Y5" s="113" t="s">
        <v>2303</v>
      </c>
      <c r="Z5" s="113" t="s">
        <v>2304</v>
      </c>
      <c r="AA5" s="113" t="s">
        <v>2305</v>
      </c>
      <c r="AB5" s="113" t="s">
        <v>2306</v>
      </c>
      <c r="AC5" s="113" t="s">
        <v>2307</v>
      </c>
      <c r="AD5" s="113" t="s">
        <v>2308</v>
      </c>
    </row>
    <row r="6" customFormat="false" ht="19.5" hidden="false" customHeight="true" outlineLevel="0" collapsed="false">
      <c r="A6" s="111" t="n">
        <v>1846</v>
      </c>
      <c r="B6" s="107" t="n">
        <f aca="false">IF(AND(A6&gt;=1914,A6&lt;=1918),entente_total*CHOOSE(A6-1913,0.05,0.1333,0.2333,0.3,0.2834),0)</f>
        <v>0</v>
      </c>
      <c r="C6" s="122" t="n">
        <f aca="false">IF(AND(A6&gt;=1914,A6&lt;=1918),Loans!L6,0)</f>
        <v>0</v>
      </c>
      <c r="D6" s="122" t="n">
        <f aca="false">Abroad!D6</f>
        <v>0</v>
      </c>
      <c r="E6" s="107" t="n">
        <f aca="false">B6*(1-entente_public-entente_private)</f>
        <v>0</v>
      </c>
      <c r="F6" s="123" t="n">
        <f aca="false">B6-SUM(C6:E6)</f>
        <v>0</v>
      </c>
      <c r="G6" s="107" t="n">
        <f aca="false">B6*uw_fee</f>
        <v>0</v>
      </c>
      <c r="H6" s="107" t="n">
        <f aca="false">B6-G6</f>
        <v>0</v>
      </c>
      <c r="I6" s="122" t="n">
        <f aca="false">H6*'Sources &amp; uses'!$E$31</f>
        <v>0</v>
      </c>
      <c r="J6" s="107" t="n">
        <f aca="false">H6-I6</f>
        <v>0</v>
      </c>
      <c r="K6" s="123" t="n">
        <f aca="false">B6-G6-I6-J6</f>
        <v>0</v>
      </c>
      <c r="L6" s="107" t="n">
        <f aca="false">0</f>
        <v>0</v>
      </c>
      <c r="M6" s="122" t="n">
        <f aca="false">L6*Paths!AA6</f>
        <v>0</v>
      </c>
      <c r="N6" s="107" t="n">
        <f aca="false">IF(A6=1918,(L6+C6)*russia_writeoff,0)</f>
        <v>0</v>
      </c>
      <c r="O6" s="107" t="n">
        <f aca="false">L6+C6-M6-N6</f>
        <v>0</v>
      </c>
      <c r="P6" s="122" t="n">
        <f aca="false">L6*Paths!Z6*Paths!AB6</f>
        <v>0</v>
      </c>
      <c r="Q6" s="107" t="n">
        <f aca="false">0</f>
        <v>0</v>
      </c>
      <c r="R6" s="122" t="n">
        <f aca="false">Q6*Paths!AA6</f>
        <v>0</v>
      </c>
      <c r="S6" s="107" t="n">
        <f aca="false">IF(A6=1918,(Q6+D6)*russia_writeoff,0)</f>
        <v>0</v>
      </c>
      <c r="T6" s="107" t="n">
        <f aca="false">Q6+D6-R6-S6</f>
        <v>0</v>
      </c>
      <c r="U6" s="122" t="n">
        <f aca="false">Q6*Paths!Z6*Paths!AB6</f>
        <v>0</v>
      </c>
      <c r="V6" s="107" t="n">
        <f aca="false">0</f>
        <v>0</v>
      </c>
      <c r="W6" s="122" t="n">
        <f aca="false">V6*Paths!AA6</f>
        <v>0</v>
      </c>
      <c r="X6" s="107" t="n">
        <f aca="false">IF(A6=1918,(V6+E6)*russia_writeoff,0)</f>
        <v>0</v>
      </c>
      <c r="Y6" s="107" t="n">
        <f aca="false">V6+E6-W6-X6</f>
        <v>0</v>
      </c>
      <c r="Z6" s="122" t="n">
        <f aca="false">V6*Paths!Z6*Paths!AB6</f>
        <v>0</v>
      </c>
      <c r="AA6" s="107" t="n">
        <f aca="false">O6+T6+Y6</f>
        <v>0</v>
      </c>
      <c r="AB6" s="107" t="n">
        <f aca="false">P6+U6+Z6</f>
        <v>0</v>
      </c>
      <c r="AC6" s="124" t="n">
        <f aca="false">IF(E6=0,0,IF(ISNUMBER('Sources &amp; uses'!$E$29),MAX(0,E6-'Sources &amp; uses'!$E$29),"n.a."))</f>
        <v>0</v>
      </c>
      <c r="AD6" s="122" t="str">
        <f aca="false">IF(E6=0,"No new subscription",IF(ISNUMBER('Sources &amp; uses'!$E$29),"MODEL capacity tested","Unverified"))</f>
        <v>No new subscription</v>
      </c>
    </row>
    <row r="7" customFormat="false" ht="19.5" hidden="false" customHeight="true" outlineLevel="0" collapsed="false">
      <c r="A7" s="111" t="n">
        <v>1847</v>
      </c>
      <c r="B7" s="107" t="n">
        <f aca="false">IF(AND(A7&gt;=1914,A7&lt;=1918),entente_total*CHOOSE(A7-1913,0.05,0.1333,0.2333,0.3,0.2834),0)</f>
        <v>0</v>
      </c>
      <c r="C7" s="122" t="n">
        <f aca="false">IF(AND(A7&gt;=1914,A7&lt;=1918),Loans!L7,0)</f>
        <v>0</v>
      </c>
      <c r="D7" s="122" t="n">
        <f aca="false">Abroad!D7</f>
        <v>0</v>
      </c>
      <c r="E7" s="107" t="n">
        <f aca="false">B7*(1-entente_public-entente_private)</f>
        <v>0</v>
      </c>
      <c r="F7" s="123" t="n">
        <f aca="false">B7-SUM(C7:E7)</f>
        <v>0</v>
      </c>
      <c r="G7" s="107" t="n">
        <f aca="false">B7*uw_fee</f>
        <v>0</v>
      </c>
      <c r="H7" s="107" t="n">
        <f aca="false">B7-G7</f>
        <v>0</v>
      </c>
      <c r="I7" s="122" t="n">
        <f aca="false">H7*'Sources &amp; uses'!$E$31</f>
        <v>0</v>
      </c>
      <c r="J7" s="107" t="n">
        <f aca="false">H7-I7</f>
        <v>0</v>
      </c>
      <c r="K7" s="123" t="n">
        <f aca="false">B7-G7-I7-J7</f>
        <v>0</v>
      </c>
      <c r="L7" s="107" t="n">
        <f aca="false">O6</f>
        <v>0</v>
      </c>
      <c r="M7" s="122" t="n">
        <f aca="false">L7*Paths!AA7</f>
        <v>0</v>
      </c>
      <c r="N7" s="107" t="n">
        <f aca="false">IF(A7=1918,(L7+C7)*russia_writeoff,0)</f>
        <v>0</v>
      </c>
      <c r="O7" s="107" t="n">
        <f aca="false">L7+C7-M7-N7</f>
        <v>0</v>
      </c>
      <c r="P7" s="122" t="n">
        <f aca="false">L7*Paths!Z7*Paths!AB7</f>
        <v>0</v>
      </c>
      <c r="Q7" s="107" t="n">
        <f aca="false">T6</f>
        <v>0</v>
      </c>
      <c r="R7" s="122" t="n">
        <f aca="false">Q7*Paths!AA7</f>
        <v>0</v>
      </c>
      <c r="S7" s="107" t="n">
        <f aca="false">IF(A7=1918,(Q7+D7)*russia_writeoff,0)</f>
        <v>0</v>
      </c>
      <c r="T7" s="107" t="n">
        <f aca="false">Q7+D7-R7-S7</f>
        <v>0</v>
      </c>
      <c r="U7" s="122" t="n">
        <f aca="false">Q7*Paths!Z7*Paths!AB7</f>
        <v>0</v>
      </c>
      <c r="V7" s="107" t="n">
        <f aca="false">Y6</f>
        <v>0</v>
      </c>
      <c r="W7" s="122" t="n">
        <f aca="false">V7*Paths!AA7</f>
        <v>0</v>
      </c>
      <c r="X7" s="107" t="n">
        <f aca="false">IF(A7=1918,(V7+E7)*russia_writeoff,0)</f>
        <v>0</v>
      </c>
      <c r="Y7" s="107" t="n">
        <f aca="false">V7+E7-W7-X7</f>
        <v>0</v>
      </c>
      <c r="Z7" s="122" t="n">
        <f aca="false">V7*Paths!Z7*Paths!AB7</f>
        <v>0</v>
      </c>
      <c r="AA7" s="107" t="n">
        <f aca="false">O7+T7+Y7</f>
        <v>0</v>
      </c>
      <c r="AB7" s="107" t="n">
        <f aca="false">P7+U7+Z7</f>
        <v>0</v>
      </c>
      <c r="AC7" s="124" t="n">
        <f aca="false">IF(E7=0,0,IF(ISNUMBER('Sources &amp; uses'!$E$29),MAX(0,E7-'Sources &amp; uses'!$E$29),"n.a."))</f>
        <v>0</v>
      </c>
      <c r="AD7" s="122" t="str">
        <f aca="false">IF(E7=0,"No new subscription",IF(ISNUMBER('Sources &amp; uses'!$E$29),"MODEL capacity tested","Unverified"))</f>
        <v>No new subscription</v>
      </c>
    </row>
    <row r="8" customFormat="false" ht="19.5" hidden="false" customHeight="true" outlineLevel="0" collapsed="false">
      <c r="A8" s="111" t="n">
        <v>1848</v>
      </c>
      <c r="B8" s="107" t="n">
        <f aca="false">IF(AND(A8&gt;=1914,A8&lt;=1918),entente_total*CHOOSE(A8-1913,0.05,0.1333,0.2333,0.3,0.2834),0)</f>
        <v>0</v>
      </c>
      <c r="C8" s="122" t="n">
        <f aca="false">IF(AND(A8&gt;=1914,A8&lt;=1918),Loans!L8,0)</f>
        <v>0</v>
      </c>
      <c r="D8" s="122" t="n">
        <f aca="false">Abroad!D8</f>
        <v>0</v>
      </c>
      <c r="E8" s="107" t="n">
        <f aca="false">B8*(1-entente_public-entente_private)</f>
        <v>0</v>
      </c>
      <c r="F8" s="123" t="n">
        <f aca="false">B8-SUM(C8:E8)</f>
        <v>0</v>
      </c>
      <c r="G8" s="107" t="n">
        <f aca="false">B8*uw_fee</f>
        <v>0</v>
      </c>
      <c r="H8" s="107" t="n">
        <f aca="false">B8-G8</f>
        <v>0</v>
      </c>
      <c r="I8" s="122" t="n">
        <f aca="false">H8*'Sources &amp; uses'!$E$31</f>
        <v>0</v>
      </c>
      <c r="J8" s="107" t="n">
        <f aca="false">H8-I8</f>
        <v>0</v>
      </c>
      <c r="K8" s="123" t="n">
        <f aca="false">B8-G8-I8-J8</f>
        <v>0</v>
      </c>
      <c r="L8" s="107" t="n">
        <f aca="false">O7</f>
        <v>0</v>
      </c>
      <c r="M8" s="122" t="n">
        <f aca="false">L8*Paths!AA8</f>
        <v>0</v>
      </c>
      <c r="N8" s="107" t="n">
        <f aca="false">IF(A8=1918,(L8+C8)*russia_writeoff,0)</f>
        <v>0</v>
      </c>
      <c r="O8" s="107" t="n">
        <f aca="false">L8+C8-M8-N8</f>
        <v>0</v>
      </c>
      <c r="P8" s="122" t="n">
        <f aca="false">L8*Paths!Z8*Paths!AB8</f>
        <v>0</v>
      </c>
      <c r="Q8" s="107" t="n">
        <f aca="false">T7</f>
        <v>0</v>
      </c>
      <c r="R8" s="122" t="n">
        <f aca="false">Q8*Paths!AA8</f>
        <v>0</v>
      </c>
      <c r="S8" s="107" t="n">
        <f aca="false">IF(A8=1918,(Q8+D8)*russia_writeoff,0)</f>
        <v>0</v>
      </c>
      <c r="T8" s="107" t="n">
        <f aca="false">Q8+D8-R8-S8</f>
        <v>0</v>
      </c>
      <c r="U8" s="122" t="n">
        <f aca="false">Q8*Paths!Z8*Paths!AB8</f>
        <v>0</v>
      </c>
      <c r="V8" s="107" t="n">
        <f aca="false">Y7</f>
        <v>0</v>
      </c>
      <c r="W8" s="122" t="n">
        <f aca="false">V8*Paths!AA8</f>
        <v>0</v>
      </c>
      <c r="X8" s="107" t="n">
        <f aca="false">IF(A8=1918,(V8+E8)*russia_writeoff,0)</f>
        <v>0</v>
      </c>
      <c r="Y8" s="107" t="n">
        <f aca="false">V8+E8-W8-X8</f>
        <v>0</v>
      </c>
      <c r="Z8" s="122" t="n">
        <f aca="false">V8*Paths!Z8*Paths!AB8</f>
        <v>0</v>
      </c>
      <c r="AA8" s="107" t="n">
        <f aca="false">O8+T8+Y8</f>
        <v>0</v>
      </c>
      <c r="AB8" s="107" t="n">
        <f aca="false">P8+U8+Z8</f>
        <v>0</v>
      </c>
      <c r="AC8" s="124" t="n">
        <f aca="false">IF(E8=0,0,IF(ISNUMBER('Sources &amp; uses'!$E$29),MAX(0,E8-'Sources &amp; uses'!$E$29),"n.a."))</f>
        <v>0</v>
      </c>
      <c r="AD8" s="122" t="str">
        <f aca="false">IF(E8=0,"No new subscription",IF(ISNUMBER('Sources &amp; uses'!$E$29),"MODEL capacity tested","Unverified"))</f>
        <v>No new subscription</v>
      </c>
    </row>
    <row r="9" customFormat="false" ht="19.5" hidden="false" customHeight="true" outlineLevel="0" collapsed="false">
      <c r="A9" s="111" t="n">
        <v>1849</v>
      </c>
      <c r="B9" s="107" t="n">
        <f aca="false">IF(AND(A9&gt;=1914,A9&lt;=1918),entente_total*CHOOSE(A9-1913,0.05,0.1333,0.2333,0.3,0.2834),0)</f>
        <v>0</v>
      </c>
      <c r="C9" s="122" t="n">
        <f aca="false">IF(AND(A9&gt;=1914,A9&lt;=1918),Loans!L9,0)</f>
        <v>0</v>
      </c>
      <c r="D9" s="122" t="n">
        <f aca="false">Abroad!D9</f>
        <v>0</v>
      </c>
      <c r="E9" s="107" t="n">
        <f aca="false">B9*(1-entente_public-entente_private)</f>
        <v>0</v>
      </c>
      <c r="F9" s="123" t="n">
        <f aca="false">B9-SUM(C9:E9)</f>
        <v>0</v>
      </c>
      <c r="G9" s="107" t="n">
        <f aca="false">B9*uw_fee</f>
        <v>0</v>
      </c>
      <c r="H9" s="107" t="n">
        <f aca="false">B9-G9</f>
        <v>0</v>
      </c>
      <c r="I9" s="122" t="n">
        <f aca="false">H9*'Sources &amp; uses'!$E$31</f>
        <v>0</v>
      </c>
      <c r="J9" s="107" t="n">
        <f aca="false">H9-I9</f>
        <v>0</v>
      </c>
      <c r="K9" s="123" t="n">
        <f aca="false">B9-G9-I9-J9</f>
        <v>0</v>
      </c>
      <c r="L9" s="107" t="n">
        <f aca="false">O8</f>
        <v>0</v>
      </c>
      <c r="M9" s="122" t="n">
        <f aca="false">L9*Paths!AA9</f>
        <v>0</v>
      </c>
      <c r="N9" s="107" t="n">
        <f aca="false">IF(A9=1918,(L9+C9)*russia_writeoff,0)</f>
        <v>0</v>
      </c>
      <c r="O9" s="107" t="n">
        <f aca="false">L9+C9-M9-N9</f>
        <v>0</v>
      </c>
      <c r="P9" s="122" t="n">
        <f aca="false">L9*Paths!Z9*Paths!AB9</f>
        <v>0</v>
      </c>
      <c r="Q9" s="107" t="n">
        <f aca="false">T8</f>
        <v>0</v>
      </c>
      <c r="R9" s="122" t="n">
        <f aca="false">Q9*Paths!AA9</f>
        <v>0</v>
      </c>
      <c r="S9" s="107" t="n">
        <f aca="false">IF(A9=1918,(Q9+D9)*russia_writeoff,0)</f>
        <v>0</v>
      </c>
      <c r="T9" s="107" t="n">
        <f aca="false">Q9+D9-R9-S9</f>
        <v>0</v>
      </c>
      <c r="U9" s="122" t="n">
        <f aca="false">Q9*Paths!Z9*Paths!AB9</f>
        <v>0</v>
      </c>
      <c r="V9" s="107" t="n">
        <f aca="false">Y8</f>
        <v>0</v>
      </c>
      <c r="W9" s="122" t="n">
        <f aca="false">V9*Paths!AA9</f>
        <v>0</v>
      </c>
      <c r="X9" s="107" t="n">
        <f aca="false">IF(A9=1918,(V9+E9)*russia_writeoff,0)</f>
        <v>0</v>
      </c>
      <c r="Y9" s="107" t="n">
        <f aca="false">V9+E9-W9-X9</f>
        <v>0</v>
      </c>
      <c r="Z9" s="122" t="n">
        <f aca="false">V9*Paths!Z9*Paths!AB9</f>
        <v>0</v>
      </c>
      <c r="AA9" s="107" t="n">
        <f aca="false">O9+T9+Y9</f>
        <v>0</v>
      </c>
      <c r="AB9" s="107" t="n">
        <f aca="false">P9+U9+Z9</f>
        <v>0</v>
      </c>
      <c r="AC9" s="124" t="n">
        <f aca="false">IF(E9=0,0,IF(ISNUMBER('Sources &amp; uses'!$E$29),MAX(0,E9-'Sources &amp; uses'!$E$29),"n.a."))</f>
        <v>0</v>
      </c>
      <c r="AD9" s="122" t="str">
        <f aca="false">IF(E9=0,"No new subscription",IF(ISNUMBER('Sources &amp; uses'!$E$29),"MODEL capacity tested","Unverified"))</f>
        <v>No new subscription</v>
      </c>
    </row>
    <row r="10" customFormat="false" ht="19.5" hidden="false" customHeight="true" outlineLevel="0" collapsed="false">
      <c r="A10" s="111" t="n">
        <v>1850</v>
      </c>
      <c r="B10" s="107" t="n">
        <f aca="false">IF(AND(A10&gt;=1914,A10&lt;=1918),entente_total*CHOOSE(A10-1913,0.05,0.1333,0.2333,0.3,0.2834),0)</f>
        <v>0</v>
      </c>
      <c r="C10" s="122" t="n">
        <f aca="false">IF(AND(A10&gt;=1914,A10&lt;=1918),Loans!L10,0)</f>
        <v>0</v>
      </c>
      <c r="D10" s="122" t="n">
        <f aca="false">Abroad!D10</f>
        <v>0</v>
      </c>
      <c r="E10" s="107" t="n">
        <f aca="false">B10*(1-entente_public-entente_private)</f>
        <v>0</v>
      </c>
      <c r="F10" s="123" t="n">
        <f aca="false">B10-SUM(C10:E10)</f>
        <v>0</v>
      </c>
      <c r="G10" s="107" t="n">
        <f aca="false">B10*uw_fee</f>
        <v>0</v>
      </c>
      <c r="H10" s="107" t="n">
        <f aca="false">B10-G10</f>
        <v>0</v>
      </c>
      <c r="I10" s="122" t="n">
        <f aca="false">H10*'Sources &amp; uses'!$E$31</f>
        <v>0</v>
      </c>
      <c r="J10" s="107" t="n">
        <f aca="false">H10-I10</f>
        <v>0</v>
      </c>
      <c r="K10" s="123" t="n">
        <f aca="false">B10-G10-I10-J10</f>
        <v>0</v>
      </c>
      <c r="L10" s="107" t="n">
        <f aca="false">O9</f>
        <v>0</v>
      </c>
      <c r="M10" s="122" t="n">
        <f aca="false">L10*Paths!AA10</f>
        <v>0</v>
      </c>
      <c r="N10" s="107" t="n">
        <f aca="false">IF(A10=1918,(L10+C10)*russia_writeoff,0)</f>
        <v>0</v>
      </c>
      <c r="O10" s="107" t="n">
        <f aca="false">L10+C10-M10-N10</f>
        <v>0</v>
      </c>
      <c r="P10" s="122" t="n">
        <f aca="false">L10*Paths!Z10*Paths!AB10</f>
        <v>0</v>
      </c>
      <c r="Q10" s="107" t="n">
        <f aca="false">T9</f>
        <v>0</v>
      </c>
      <c r="R10" s="122" t="n">
        <f aca="false">Q10*Paths!AA10</f>
        <v>0</v>
      </c>
      <c r="S10" s="107" t="n">
        <f aca="false">IF(A10=1918,(Q10+D10)*russia_writeoff,0)</f>
        <v>0</v>
      </c>
      <c r="T10" s="107" t="n">
        <f aca="false">Q10+D10-R10-S10</f>
        <v>0</v>
      </c>
      <c r="U10" s="122" t="n">
        <f aca="false">Q10*Paths!Z10*Paths!AB10</f>
        <v>0</v>
      </c>
      <c r="V10" s="107" t="n">
        <f aca="false">Y9</f>
        <v>0</v>
      </c>
      <c r="W10" s="122" t="n">
        <f aca="false">V10*Paths!AA10</f>
        <v>0</v>
      </c>
      <c r="X10" s="107" t="n">
        <f aca="false">IF(A10=1918,(V10+E10)*russia_writeoff,0)</f>
        <v>0</v>
      </c>
      <c r="Y10" s="107" t="n">
        <f aca="false">V10+E10-W10-X10</f>
        <v>0</v>
      </c>
      <c r="Z10" s="122" t="n">
        <f aca="false">V10*Paths!Z10*Paths!AB10</f>
        <v>0</v>
      </c>
      <c r="AA10" s="107" t="n">
        <f aca="false">O10+T10+Y10</f>
        <v>0</v>
      </c>
      <c r="AB10" s="107" t="n">
        <f aca="false">P10+U10+Z10</f>
        <v>0</v>
      </c>
      <c r="AC10" s="124" t="n">
        <f aca="false">IF(E10=0,0,IF(ISNUMBER('Sources &amp; uses'!$E$29),MAX(0,E10-'Sources &amp; uses'!$E$29),"n.a."))</f>
        <v>0</v>
      </c>
      <c r="AD10" s="122" t="str">
        <f aca="false">IF(E10=0,"No new subscription",IF(ISNUMBER('Sources &amp; uses'!$E$29),"MODEL capacity tested","Unverified"))</f>
        <v>No new subscription</v>
      </c>
    </row>
    <row r="11" customFormat="false" ht="19.5" hidden="false" customHeight="true" outlineLevel="0" collapsed="false">
      <c r="A11" s="111" t="n">
        <v>1851</v>
      </c>
      <c r="B11" s="107" t="n">
        <f aca="false">IF(AND(A11&gt;=1914,A11&lt;=1918),entente_total*CHOOSE(A11-1913,0.05,0.1333,0.2333,0.3,0.2834),0)</f>
        <v>0</v>
      </c>
      <c r="C11" s="122" t="n">
        <f aca="false">IF(AND(A11&gt;=1914,A11&lt;=1918),Loans!L11,0)</f>
        <v>0</v>
      </c>
      <c r="D11" s="122" t="n">
        <f aca="false">Abroad!D11</f>
        <v>0</v>
      </c>
      <c r="E11" s="107" t="n">
        <f aca="false">B11*(1-entente_public-entente_private)</f>
        <v>0</v>
      </c>
      <c r="F11" s="123" t="n">
        <f aca="false">B11-SUM(C11:E11)</f>
        <v>0</v>
      </c>
      <c r="G11" s="107" t="n">
        <f aca="false">B11*uw_fee</f>
        <v>0</v>
      </c>
      <c r="H11" s="107" t="n">
        <f aca="false">B11-G11</f>
        <v>0</v>
      </c>
      <c r="I11" s="122" t="n">
        <f aca="false">H11*'Sources &amp; uses'!$E$31</f>
        <v>0</v>
      </c>
      <c r="J11" s="107" t="n">
        <f aca="false">H11-I11</f>
        <v>0</v>
      </c>
      <c r="K11" s="123" t="n">
        <f aca="false">B11-G11-I11-J11</f>
        <v>0</v>
      </c>
      <c r="L11" s="107" t="n">
        <f aca="false">O10</f>
        <v>0</v>
      </c>
      <c r="M11" s="122" t="n">
        <f aca="false">L11*Paths!AA11</f>
        <v>0</v>
      </c>
      <c r="N11" s="107" t="n">
        <f aca="false">IF(A11=1918,(L11+C11)*russia_writeoff,0)</f>
        <v>0</v>
      </c>
      <c r="O11" s="107" t="n">
        <f aca="false">L11+C11-M11-N11</f>
        <v>0</v>
      </c>
      <c r="P11" s="122" t="n">
        <f aca="false">L11*Paths!Z11*Paths!AB11</f>
        <v>0</v>
      </c>
      <c r="Q11" s="107" t="n">
        <f aca="false">T10</f>
        <v>0</v>
      </c>
      <c r="R11" s="122" t="n">
        <f aca="false">Q11*Paths!AA11</f>
        <v>0</v>
      </c>
      <c r="S11" s="107" t="n">
        <f aca="false">IF(A11=1918,(Q11+D11)*russia_writeoff,0)</f>
        <v>0</v>
      </c>
      <c r="T11" s="107" t="n">
        <f aca="false">Q11+D11-R11-S11</f>
        <v>0</v>
      </c>
      <c r="U11" s="122" t="n">
        <f aca="false">Q11*Paths!Z11*Paths!AB11</f>
        <v>0</v>
      </c>
      <c r="V11" s="107" t="n">
        <f aca="false">Y10</f>
        <v>0</v>
      </c>
      <c r="W11" s="122" t="n">
        <f aca="false">V11*Paths!AA11</f>
        <v>0</v>
      </c>
      <c r="X11" s="107" t="n">
        <f aca="false">IF(A11=1918,(V11+E11)*russia_writeoff,0)</f>
        <v>0</v>
      </c>
      <c r="Y11" s="107" t="n">
        <f aca="false">V11+E11-W11-X11</f>
        <v>0</v>
      </c>
      <c r="Z11" s="122" t="n">
        <f aca="false">V11*Paths!Z11*Paths!AB11</f>
        <v>0</v>
      </c>
      <c r="AA11" s="107" t="n">
        <f aca="false">O11+T11+Y11</f>
        <v>0</v>
      </c>
      <c r="AB11" s="107" t="n">
        <f aca="false">P11+U11+Z11</f>
        <v>0</v>
      </c>
      <c r="AC11" s="124" t="n">
        <f aca="false">IF(E11=0,0,IF(ISNUMBER('Sources &amp; uses'!$E$29),MAX(0,E11-'Sources &amp; uses'!$E$29),"n.a."))</f>
        <v>0</v>
      </c>
      <c r="AD11" s="122" t="str">
        <f aca="false">IF(E11=0,"No new subscription",IF(ISNUMBER('Sources &amp; uses'!$E$29),"MODEL capacity tested","Unverified"))</f>
        <v>No new subscription</v>
      </c>
    </row>
    <row r="12" customFormat="false" ht="19.5" hidden="false" customHeight="true" outlineLevel="0" collapsed="false">
      <c r="A12" s="111" t="n">
        <v>1852</v>
      </c>
      <c r="B12" s="107" t="n">
        <f aca="false">IF(AND(A12&gt;=1914,A12&lt;=1918),entente_total*CHOOSE(A12-1913,0.05,0.1333,0.2333,0.3,0.2834),0)</f>
        <v>0</v>
      </c>
      <c r="C12" s="122" t="n">
        <f aca="false">IF(AND(A12&gt;=1914,A12&lt;=1918),Loans!L12,0)</f>
        <v>0</v>
      </c>
      <c r="D12" s="122" t="n">
        <f aca="false">Abroad!D12</f>
        <v>0</v>
      </c>
      <c r="E12" s="107" t="n">
        <f aca="false">B12*(1-entente_public-entente_private)</f>
        <v>0</v>
      </c>
      <c r="F12" s="123" t="n">
        <f aca="false">B12-SUM(C12:E12)</f>
        <v>0</v>
      </c>
      <c r="G12" s="107" t="n">
        <f aca="false">B12*uw_fee</f>
        <v>0</v>
      </c>
      <c r="H12" s="107" t="n">
        <f aca="false">B12-G12</f>
        <v>0</v>
      </c>
      <c r="I12" s="122" t="n">
        <f aca="false">H12*'Sources &amp; uses'!$E$31</f>
        <v>0</v>
      </c>
      <c r="J12" s="107" t="n">
        <f aca="false">H12-I12</f>
        <v>0</v>
      </c>
      <c r="K12" s="123" t="n">
        <f aca="false">B12-G12-I12-J12</f>
        <v>0</v>
      </c>
      <c r="L12" s="107" t="n">
        <f aca="false">O11</f>
        <v>0</v>
      </c>
      <c r="M12" s="122" t="n">
        <f aca="false">L12*Paths!AA12</f>
        <v>0</v>
      </c>
      <c r="N12" s="107" t="n">
        <f aca="false">IF(A12=1918,(L12+C12)*russia_writeoff,0)</f>
        <v>0</v>
      </c>
      <c r="O12" s="107" t="n">
        <f aca="false">L12+C12-M12-N12</f>
        <v>0</v>
      </c>
      <c r="P12" s="122" t="n">
        <f aca="false">L12*Paths!Z12*Paths!AB12</f>
        <v>0</v>
      </c>
      <c r="Q12" s="107" t="n">
        <f aca="false">T11</f>
        <v>0</v>
      </c>
      <c r="R12" s="122" t="n">
        <f aca="false">Q12*Paths!AA12</f>
        <v>0</v>
      </c>
      <c r="S12" s="107" t="n">
        <f aca="false">IF(A12=1918,(Q12+D12)*russia_writeoff,0)</f>
        <v>0</v>
      </c>
      <c r="T12" s="107" t="n">
        <f aca="false">Q12+D12-R12-S12</f>
        <v>0</v>
      </c>
      <c r="U12" s="122" t="n">
        <f aca="false">Q12*Paths!Z12*Paths!AB12</f>
        <v>0</v>
      </c>
      <c r="V12" s="107" t="n">
        <f aca="false">Y11</f>
        <v>0</v>
      </c>
      <c r="W12" s="122" t="n">
        <f aca="false">V12*Paths!AA12</f>
        <v>0</v>
      </c>
      <c r="X12" s="107" t="n">
        <f aca="false">IF(A12=1918,(V12+E12)*russia_writeoff,0)</f>
        <v>0</v>
      </c>
      <c r="Y12" s="107" t="n">
        <f aca="false">V12+E12-W12-X12</f>
        <v>0</v>
      </c>
      <c r="Z12" s="122" t="n">
        <f aca="false">V12*Paths!Z12*Paths!AB12</f>
        <v>0</v>
      </c>
      <c r="AA12" s="107" t="n">
        <f aca="false">O12+T12+Y12</f>
        <v>0</v>
      </c>
      <c r="AB12" s="107" t="n">
        <f aca="false">P12+U12+Z12</f>
        <v>0</v>
      </c>
      <c r="AC12" s="124" t="n">
        <f aca="false">IF(E12=0,0,IF(ISNUMBER('Sources &amp; uses'!$E$29),MAX(0,E12-'Sources &amp; uses'!$E$29),"n.a."))</f>
        <v>0</v>
      </c>
      <c r="AD12" s="122" t="str">
        <f aca="false">IF(E12=0,"No new subscription",IF(ISNUMBER('Sources &amp; uses'!$E$29),"MODEL capacity tested","Unverified"))</f>
        <v>No new subscription</v>
      </c>
    </row>
    <row r="13" customFormat="false" ht="19.5" hidden="false" customHeight="true" outlineLevel="0" collapsed="false">
      <c r="A13" s="111" t="n">
        <v>1853</v>
      </c>
      <c r="B13" s="107" t="n">
        <f aca="false">IF(AND(A13&gt;=1914,A13&lt;=1918),entente_total*CHOOSE(A13-1913,0.05,0.1333,0.2333,0.3,0.2834),0)</f>
        <v>0</v>
      </c>
      <c r="C13" s="122" t="n">
        <f aca="false">IF(AND(A13&gt;=1914,A13&lt;=1918),Loans!L13,0)</f>
        <v>0</v>
      </c>
      <c r="D13" s="122" t="n">
        <f aca="false">Abroad!D13</f>
        <v>0</v>
      </c>
      <c r="E13" s="107" t="n">
        <f aca="false">B13*(1-entente_public-entente_private)</f>
        <v>0</v>
      </c>
      <c r="F13" s="123" t="n">
        <f aca="false">B13-SUM(C13:E13)</f>
        <v>0</v>
      </c>
      <c r="G13" s="107" t="n">
        <f aca="false">B13*uw_fee</f>
        <v>0</v>
      </c>
      <c r="H13" s="107" t="n">
        <f aca="false">B13-G13</f>
        <v>0</v>
      </c>
      <c r="I13" s="122" t="n">
        <f aca="false">H13*'Sources &amp; uses'!$E$31</f>
        <v>0</v>
      </c>
      <c r="J13" s="107" t="n">
        <f aca="false">H13-I13</f>
        <v>0</v>
      </c>
      <c r="K13" s="123" t="n">
        <f aca="false">B13-G13-I13-J13</f>
        <v>0</v>
      </c>
      <c r="L13" s="107" t="n">
        <f aca="false">O12</f>
        <v>0</v>
      </c>
      <c r="M13" s="122" t="n">
        <f aca="false">L13*Paths!AA13</f>
        <v>0</v>
      </c>
      <c r="N13" s="107" t="n">
        <f aca="false">IF(A13=1918,(L13+C13)*russia_writeoff,0)</f>
        <v>0</v>
      </c>
      <c r="O13" s="107" t="n">
        <f aca="false">L13+C13-M13-N13</f>
        <v>0</v>
      </c>
      <c r="P13" s="122" t="n">
        <f aca="false">L13*Paths!Z13*Paths!AB13</f>
        <v>0</v>
      </c>
      <c r="Q13" s="107" t="n">
        <f aca="false">T12</f>
        <v>0</v>
      </c>
      <c r="R13" s="122" t="n">
        <f aca="false">Q13*Paths!AA13</f>
        <v>0</v>
      </c>
      <c r="S13" s="107" t="n">
        <f aca="false">IF(A13=1918,(Q13+D13)*russia_writeoff,0)</f>
        <v>0</v>
      </c>
      <c r="T13" s="107" t="n">
        <f aca="false">Q13+D13-R13-S13</f>
        <v>0</v>
      </c>
      <c r="U13" s="122" t="n">
        <f aca="false">Q13*Paths!Z13*Paths!AB13</f>
        <v>0</v>
      </c>
      <c r="V13" s="107" t="n">
        <f aca="false">Y12</f>
        <v>0</v>
      </c>
      <c r="W13" s="122" t="n">
        <f aca="false">V13*Paths!AA13</f>
        <v>0</v>
      </c>
      <c r="X13" s="107" t="n">
        <f aca="false">IF(A13=1918,(V13+E13)*russia_writeoff,0)</f>
        <v>0</v>
      </c>
      <c r="Y13" s="107" t="n">
        <f aca="false">V13+E13-W13-X13</f>
        <v>0</v>
      </c>
      <c r="Z13" s="122" t="n">
        <f aca="false">V13*Paths!Z13*Paths!AB13</f>
        <v>0</v>
      </c>
      <c r="AA13" s="107" t="n">
        <f aca="false">O13+T13+Y13</f>
        <v>0</v>
      </c>
      <c r="AB13" s="107" t="n">
        <f aca="false">P13+U13+Z13</f>
        <v>0</v>
      </c>
      <c r="AC13" s="124" t="n">
        <f aca="false">IF(E13=0,0,IF(ISNUMBER('Sources &amp; uses'!$E$29),MAX(0,E13-'Sources &amp; uses'!$E$29),"n.a."))</f>
        <v>0</v>
      </c>
      <c r="AD13" s="122" t="str">
        <f aca="false">IF(E13=0,"No new subscription",IF(ISNUMBER('Sources &amp; uses'!$E$29),"MODEL capacity tested","Unverified"))</f>
        <v>No new subscription</v>
      </c>
    </row>
    <row r="14" customFormat="false" ht="19.5" hidden="false" customHeight="true" outlineLevel="0" collapsed="false">
      <c r="A14" s="111" t="n">
        <v>1854</v>
      </c>
      <c r="B14" s="107" t="n">
        <f aca="false">IF(AND(A14&gt;=1914,A14&lt;=1918),entente_total*CHOOSE(A14-1913,0.05,0.1333,0.2333,0.3,0.2834),0)</f>
        <v>0</v>
      </c>
      <c r="C14" s="122" t="n">
        <f aca="false">IF(AND(A14&gt;=1914,A14&lt;=1918),Loans!L14,0)</f>
        <v>0</v>
      </c>
      <c r="D14" s="122" t="n">
        <f aca="false">Abroad!D14</f>
        <v>0</v>
      </c>
      <c r="E14" s="107" t="n">
        <f aca="false">B14*(1-entente_public-entente_private)</f>
        <v>0</v>
      </c>
      <c r="F14" s="123" t="n">
        <f aca="false">B14-SUM(C14:E14)</f>
        <v>0</v>
      </c>
      <c r="G14" s="107" t="n">
        <f aca="false">B14*uw_fee</f>
        <v>0</v>
      </c>
      <c r="H14" s="107" t="n">
        <f aca="false">B14-G14</f>
        <v>0</v>
      </c>
      <c r="I14" s="122" t="n">
        <f aca="false">H14*'Sources &amp; uses'!$E$31</f>
        <v>0</v>
      </c>
      <c r="J14" s="107" t="n">
        <f aca="false">H14-I14</f>
        <v>0</v>
      </c>
      <c r="K14" s="123" t="n">
        <f aca="false">B14-G14-I14-J14</f>
        <v>0</v>
      </c>
      <c r="L14" s="107" t="n">
        <f aca="false">O13</f>
        <v>0</v>
      </c>
      <c r="M14" s="122" t="n">
        <f aca="false">L14*Paths!AA14</f>
        <v>0</v>
      </c>
      <c r="N14" s="107" t="n">
        <f aca="false">IF(A14=1918,(L14+C14)*russia_writeoff,0)</f>
        <v>0</v>
      </c>
      <c r="O14" s="107" t="n">
        <f aca="false">L14+C14-M14-N14</f>
        <v>0</v>
      </c>
      <c r="P14" s="122" t="n">
        <f aca="false">L14*Paths!Z14*Paths!AB14</f>
        <v>0</v>
      </c>
      <c r="Q14" s="107" t="n">
        <f aca="false">T13</f>
        <v>0</v>
      </c>
      <c r="R14" s="122" t="n">
        <f aca="false">Q14*Paths!AA14</f>
        <v>0</v>
      </c>
      <c r="S14" s="107" t="n">
        <f aca="false">IF(A14=1918,(Q14+D14)*russia_writeoff,0)</f>
        <v>0</v>
      </c>
      <c r="T14" s="107" t="n">
        <f aca="false">Q14+D14-R14-S14</f>
        <v>0</v>
      </c>
      <c r="U14" s="122" t="n">
        <f aca="false">Q14*Paths!Z14*Paths!AB14</f>
        <v>0</v>
      </c>
      <c r="V14" s="107" t="n">
        <f aca="false">Y13</f>
        <v>0</v>
      </c>
      <c r="W14" s="122" t="n">
        <f aca="false">V14*Paths!AA14</f>
        <v>0</v>
      </c>
      <c r="X14" s="107" t="n">
        <f aca="false">IF(A14=1918,(V14+E14)*russia_writeoff,0)</f>
        <v>0</v>
      </c>
      <c r="Y14" s="107" t="n">
        <f aca="false">V14+E14-W14-X14</f>
        <v>0</v>
      </c>
      <c r="Z14" s="122" t="n">
        <f aca="false">V14*Paths!Z14*Paths!AB14</f>
        <v>0</v>
      </c>
      <c r="AA14" s="107" t="n">
        <f aca="false">O14+T14+Y14</f>
        <v>0</v>
      </c>
      <c r="AB14" s="107" t="n">
        <f aca="false">P14+U14+Z14</f>
        <v>0</v>
      </c>
      <c r="AC14" s="124" t="n">
        <f aca="false">IF(E14=0,0,IF(ISNUMBER('Sources &amp; uses'!$E$29),MAX(0,E14-'Sources &amp; uses'!$E$29),"n.a."))</f>
        <v>0</v>
      </c>
      <c r="AD14" s="122" t="str">
        <f aca="false">IF(E14=0,"No new subscription",IF(ISNUMBER('Sources &amp; uses'!$E$29),"MODEL capacity tested","Unverified"))</f>
        <v>No new subscription</v>
      </c>
    </row>
    <row r="15" customFormat="false" ht="19.5" hidden="false" customHeight="true" outlineLevel="0" collapsed="false">
      <c r="A15" s="111" t="n">
        <v>1855</v>
      </c>
      <c r="B15" s="107" t="n">
        <f aca="false">IF(AND(A15&gt;=1914,A15&lt;=1918),entente_total*CHOOSE(A15-1913,0.05,0.1333,0.2333,0.3,0.2834),0)</f>
        <v>0</v>
      </c>
      <c r="C15" s="122" t="n">
        <f aca="false">IF(AND(A15&gt;=1914,A15&lt;=1918),Loans!L15,0)</f>
        <v>0</v>
      </c>
      <c r="D15" s="122" t="n">
        <f aca="false">Abroad!D15</f>
        <v>0</v>
      </c>
      <c r="E15" s="107" t="n">
        <f aca="false">B15*(1-entente_public-entente_private)</f>
        <v>0</v>
      </c>
      <c r="F15" s="123" t="n">
        <f aca="false">B15-SUM(C15:E15)</f>
        <v>0</v>
      </c>
      <c r="G15" s="107" t="n">
        <f aca="false">B15*uw_fee</f>
        <v>0</v>
      </c>
      <c r="H15" s="107" t="n">
        <f aca="false">B15-G15</f>
        <v>0</v>
      </c>
      <c r="I15" s="122" t="n">
        <f aca="false">H15*'Sources &amp; uses'!$E$31</f>
        <v>0</v>
      </c>
      <c r="J15" s="107" t="n">
        <f aca="false">H15-I15</f>
        <v>0</v>
      </c>
      <c r="K15" s="123" t="n">
        <f aca="false">B15-G15-I15-J15</f>
        <v>0</v>
      </c>
      <c r="L15" s="107" t="n">
        <f aca="false">O14</f>
        <v>0</v>
      </c>
      <c r="M15" s="122" t="n">
        <f aca="false">L15*Paths!AA15</f>
        <v>0</v>
      </c>
      <c r="N15" s="107" t="n">
        <f aca="false">IF(A15=1918,(L15+C15)*russia_writeoff,0)</f>
        <v>0</v>
      </c>
      <c r="O15" s="107" t="n">
        <f aca="false">L15+C15-M15-N15</f>
        <v>0</v>
      </c>
      <c r="P15" s="122" t="n">
        <f aca="false">L15*Paths!Z15*Paths!AB15</f>
        <v>0</v>
      </c>
      <c r="Q15" s="107" t="n">
        <f aca="false">T14</f>
        <v>0</v>
      </c>
      <c r="R15" s="122" t="n">
        <f aca="false">Q15*Paths!AA15</f>
        <v>0</v>
      </c>
      <c r="S15" s="107" t="n">
        <f aca="false">IF(A15=1918,(Q15+D15)*russia_writeoff,0)</f>
        <v>0</v>
      </c>
      <c r="T15" s="107" t="n">
        <f aca="false">Q15+D15-R15-S15</f>
        <v>0</v>
      </c>
      <c r="U15" s="122" t="n">
        <f aca="false">Q15*Paths!Z15*Paths!AB15</f>
        <v>0</v>
      </c>
      <c r="V15" s="107" t="n">
        <f aca="false">Y14</f>
        <v>0</v>
      </c>
      <c r="W15" s="122" t="n">
        <f aca="false">V15*Paths!AA15</f>
        <v>0</v>
      </c>
      <c r="X15" s="107" t="n">
        <f aca="false">IF(A15=1918,(V15+E15)*russia_writeoff,0)</f>
        <v>0</v>
      </c>
      <c r="Y15" s="107" t="n">
        <f aca="false">V15+E15-W15-X15</f>
        <v>0</v>
      </c>
      <c r="Z15" s="122" t="n">
        <f aca="false">V15*Paths!Z15*Paths!AB15</f>
        <v>0</v>
      </c>
      <c r="AA15" s="107" t="n">
        <f aca="false">O15+T15+Y15</f>
        <v>0</v>
      </c>
      <c r="AB15" s="107" t="n">
        <f aca="false">P15+U15+Z15</f>
        <v>0</v>
      </c>
      <c r="AC15" s="124" t="n">
        <f aca="false">IF(E15=0,0,IF(ISNUMBER('Sources &amp; uses'!$E$29),MAX(0,E15-'Sources &amp; uses'!$E$29),"n.a."))</f>
        <v>0</v>
      </c>
      <c r="AD15" s="122" t="str">
        <f aca="false">IF(E15=0,"No new subscription",IF(ISNUMBER('Sources &amp; uses'!$E$29),"MODEL capacity tested","Unverified"))</f>
        <v>No new subscription</v>
      </c>
    </row>
    <row r="16" customFormat="false" ht="19.5" hidden="false" customHeight="true" outlineLevel="0" collapsed="false">
      <c r="A16" s="111" t="n">
        <v>1856</v>
      </c>
      <c r="B16" s="107" t="n">
        <f aca="false">IF(AND(A16&gt;=1914,A16&lt;=1918),entente_total*CHOOSE(A16-1913,0.05,0.1333,0.2333,0.3,0.2834),0)</f>
        <v>0</v>
      </c>
      <c r="C16" s="122" t="n">
        <f aca="false">IF(AND(A16&gt;=1914,A16&lt;=1918),Loans!L16,0)</f>
        <v>0</v>
      </c>
      <c r="D16" s="122" t="n">
        <f aca="false">Abroad!D16</f>
        <v>0</v>
      </c>
      <c r="E16" s="107" t="n">
        <f aca="false">B16*(1-entente_public-entente_private)</f>
        <v>0</v>
      </c>
      <c r="F16" s="123" t="n">
        <f aca="false">B16-SUM(C16:E16)</f>
        <v>0</v>
      </c>
      <c r="G16" s="107" t="n">
        <f aca="false">B16*uw_fee</f>
        <v>0</v>
      </c>
      <c r="H16" s="107" t="n">
        <f aca="false">B16-G16</f>
        <v>0</v>
      </c>
      <c r="I16" s="122" t="n">
        <f aca="false">H16*'Sources &amp; uses'!$E$31</f>
        <v>0</v>
      </c>
      <c r="J16" s="107" t="n">
        <f aca="false">H16-I16</f>
        <v>0</v>
      </c>
      <c r="K16" s="123" t="n">
        <f aca="false">B16-G16-I16-J16</f>
        <v>0</v>
      </c>
      <c r="L16" s="107" t="n">
        <f aca="false">O15</f>
        <v>0</v>
      </c>
      <c r="M16" s="122" t="n">
        <f aca="false">L16*Paths!AA16</f>
        <v>0</v>
      </c>
      <c r="N16" s="107" t="n">
        <f aca="false">IF(A16=1918,(L16+C16)*russia_writeoff,0)</f>
        <v>0</v>
      </c>
      <c r="O16" s="107" t="n">
        <f aca="false">L16+C16-M16-N16</f>
        <v>0</v>
      </c>
      <c r="P16" s="122" t="n">
        <f aca="false">L16*Paths!Z16*Paths!AB16</f>
        <v>0</v>
      </c>
      <c r="Q16" s="107" t="n">
        <f aca="false">T15</f>
        <v>0</v>
      </c>
      <c r="R16" s="122" t="n">
        <f aca="false">Q16*Paths!AA16</f>
        <v>0</v>
      </c>
      <c r="S16" s="107" t="n">
        <f aca="false">IF(A16=1918,(Q16+D16)*russia_writeoff,0)</f>
        <v>0</v>
      </c>
      <c r="T16" s="107" t="n">
        <f aca="false">Q16+D16-R16-S16</f>
        <v>0</v>
      </c>
      <c r="U16" s="122" t="n">
        <f aca="false">Q16*Paths!Z16*Paths!AB16</f>
        <v>0</v>
      </c>
      <c r="V16" s="107" t="n">
        <f aca="false">Y15</f>
        <v>0</v>
      </c>
      <c r="W16" s="122" t="n">
        <f aca="false">V16*Paths!AA16</f>
        <v>0</v>
      </c>
      <c r="X16" s="107" t="n">
        <f aca="false">IF(A16=1918,(V16+E16)*russia_writeoff,0)</f>
        <v>0</v>
      </c>
      <c r="Y16" s="107" t="n">
        <f aca="false">V16+E16-W16-X16</f>
        <v>0</v>
      </c>
      <c r="Z16" s="122" t="n">
        <f aca="false">V16*Paths!Z16*Paths!AB16</f>
        <v>0</v>
      </c>
      <c r="AA16" s="107" t="n">
        <f aca="false">O16+T16+Y16</f>
        <v>0</v>
      </c>
      <c r="AB16" s="107" t="n">
        <f aca="false">P16+U16+Z16</f>
        <v>0</v>
      </c>
      <c r="AC16" s="124" t="n">
        <f aca="false">IF(E16=0,0,IF(ISNUMBER('Sources &amp; uses'!$E$29),MAX(0,E16-'Sources &amp; uses'!$E$29),"n.a."))</f>
        <v>0</v>
      </c>
      <c r="AD16" s="122" t="str">
        <f aca="false">IF(E16=0,"No new subscription",IF(ISNUMBER('Sources &amp; uses'!$E$29),"MODEL capacity tested","Unverified"))</f>
        <v>No new subscription</v>
      </c>
    </row>
    <row r="17" customFormat="false" ht="19.5" hidden="false" customHeight="true" outlineLevel="0" collapsed="false">
      <c r="A17" s="111" t="n">
        <v>1857</v>
      </c>
      <c r="B17" s="107" t="n">
        <f aca="false">IF(AND(A17&gt;=1914,A17&lt;=1918),entente_total*CHOOSE(A17-1913,0.05,0.1333,0.2333,0.3,0.2834),0)</f>
        <v>0</v>
      </c>
      <c r="C17" s="122" t="n">
        <f aca="false">IF(AND(A17&gt;=1914,A17&lt;=1918),Loans!L17,0)</f>
        <v>0</v>
      </c>
      <c r="D17" s="122" t="n">
        <f aca="false">Abroad!D17</f>
        <v>0</v>
      </c>
      <c r="E17" s="107" t="n">
        <f aca="false">B17*(1-entente_public-entente_private)</f>
        <v>0</v>
      </c>
      <c r="F17" s="123" t="n">
        <f aca="false">B17-SUM(C17:E17)</f>
        <v>0</v>
      </c>
      <c r="G17" s="107" t="n">
        <f aca="false">B17*uw_fee</f>
        <v>0</v>
      </c>
      <c r="H17" s="107" t="n">
        <f aca="false">B17-G17</f>
        <v>0</v>
      </c>
      <c r="I17" s="122" t="n">
        <f aca="false">H17*'Sources &amp; uses'!$E$31</f>
        <v>0</v>
      </c>
      <c r="J17" s="107" t="n">
        <f aca="false">H17-I17</f>
        <v>0</v>
      </c>
      <c r="K17" s="123" t="n">
        <f aca="false">B17-G17-I17-J17</f>
        <v>0</v>
      </c>
      <c r="L17" s="107" t="n">
        <f aca="false">O16</f>
        <v>0</v>
      </c>
      <c r="M17" s="122" t="n">
        <f aca="false">L17*Paths!AA17</f>
        <v>0</v>
      </c>
      <c r="N17" s="107" t="n">
        <f aca="false">IF(A17=1918,(L17+C17)*russia_writeoff,0)</f>
        <v>0</v>
      </c>
      <c r="O17" s="107" t="n">
        <f aca="false">L17+C17-M17-N17</f>
        <v>0</v>
      </c>
      <c r="P17" s="122" t="n">
        <f aca="false">L17*Paths!Z17*Paths!AB17</f>
        <v>0</v>
      </c>
      <c r="Q17" s="107" t="n">
        <f aca="false">T16</f>
        <v>0</v>
      </c>
      <c r="R17" s="122" t="n">
        <f aca="false">Q17*Paths!AA17</f>
        <v>0</v>
      </c>
      <c r="S17" s="107" t="n">
        <f aca="false">IF(A17=1918,(Q17+D17)*russia_writeoff,0)</f>
        <v>0</v>
      </c>
      <c r="T17" s="107" t="n">
        <f aca="false">Q17+D17-R17-S17</f>
        <v>0</v>
      </c>
      <c r="U17" s="122" t="n">
        <f aca="false">Q17*Paths!Z17*Paths!AB17</f>
        <v>0</v>
      </c>
      <c r="V17" s="107" t="n">
        <f aca="false">Y16</f>
        <v>0</v>
      </c>
      <c r="W17" s="122" t="n">
        <f aca="false">V17*Paths!AA17</f>
        <v>0</v>
      </c>
      <c r="X17" s="107" t="n">
        <f aca="false">IF(A17=1918,(V17+E17)*russia_writeoff,0)</f>
        <v>0</v>
      </c>
      <c r="Y17" s="107" t="n">
        <f aca="false">V17+E17-W17-X17</f>
        <v>0</v>
      </c>
      <c r="Z17" s="122" t="n">
        <f aca="false">V17*Paths!Z17*Paths!AB17</f>
        <v>0</v>
      </c>
      <c r="AA17" s="107" t="n">
        <f aca="false">O17+T17+Y17</f>
        <v>0</v>
      </c>
      <c r="AB17" s="107" t="n">
        <f aca="false">P17+U17+Z17</f>
        <v>0</v>
      </c>
      <c r="AC17" s="124" t="n">
        <f aca="false">IF(E17=0,0,IF(ISNUMBER('Sources &amp; uses'!$E$29),MAX(0,E17-'Sources &amp; uses'!$E$29),"n.a."))</f>
        <v>0</v>
      </c>
      <c r="AD17" s="122" t="str">
        <f aca="false">IF(E17=0,"No new subscription",IF(ISNUMBER('Sources &amp; uses'!$E$29),"MODEL capacity tested","Unverified"))</f>
        <v>No new subscription</v>
      </c>
    </row>
    <row r="18" customFormat="false" ht="19.5" hidden="false" customHeight="true" outlineLevel="0" collapsed="false">
      <c r="A18" s="111" t="n">
        <v>1858</v>
      </c>
      <c r="B18" s="107" t="n">
        <f aca="false">IF(AND(A18&gt;=1914,A18&lt;=1918),entente_total*CHOOSE(A18-1913,0.05,0.1333,0.2333,0.3,0.2834),0)</f>
        <v>0</v>
      </c>
      <c r="C18" s="122" t="n">
        <f aca="false">IF(AND(A18&gt;=1914,A18&lt;=1918),Loans!L18,0)</f>
        <v>0</v>
      </c>
      <c r="D18" s="122" t="n">
        <f aca="false">Abroad!D18</f>
        <v>0</v>
      </c>
      <c r="E18" s="107" t="n">
        <f aca="false">B18*(1-entente_public-entente_private)</f>
        <v>0</v>
      </c>
      <c r="F18" s="123" t="n">
        <f aca="false">B18-SUM(C18:E18)</f>
        <v>0</v>
      </c>
      <c r="G18" s="107" t="n">
        <f aca="false">B18*uw_fee</f>
        <v>0</v>
      </c>
      <c r="H18" s="107" t="n">
        <f aca="false">B18-G18</f>
        <v>0</v>
      </c>
      <c r="I18" s="122" t="n">
        <f aca="false">H18*'Sources &amp; uses'!$E$31</f>
        <v>0</v>
      </c>
      <c r="J18" s="107" t="n">
        <f aca="false">H18-I18</f>
        <v>0</v>
      </c>
      <c r="K18" s="123" t="n">
        <f aca="false">B18-G18-I18-J18</f>
        <v>0</v>
      </c>
      <c r="L18" s="107" t="n">
        <f aca="false">O17</f>
        <v>0</v>
      </c>
      <c r="M18" s="122" t="n">
        <f aca="false">L18*Paths!AA18</f>
        <v>0</v>
      </c>
      <c r="N18" s="107" t="n">
        <f aca="false">IF(A18=1918,(L18+C18)*russia_writeoff,0)</f>
        <v>0</v>
      </c>
      <c r="O18" s="107" t="n">
        <f aca="false">L18+C18-M18-N18</f>
        <v>0</v>
      </c>
      <c r="P18" s="122" t="n">
        <f aca="false">L18*Paths!Z18*Paths!AB18</f>
        <v>0</v>
      </c>
      <c r="Q18" s="107" t="n">
        <f aca="false">T17</f>
        <v>0</v>
      </c>
      <c r="R18" s="122" t="n">
        <f aca="false">Q18*Paths!AA18</f>
        <v>0</v>
      </c>
      <c r="S18" s="107" t="n">
        <f aca="false">IF(A18=1918,(Q18+D18)*russia_writeoff,0)</f>
        <v>0</v>
      </c>
      <c r="T18" s="107" t="n">
        <f aca="false">Q18+D18-R18-S18</f>
        <v>0</v>
      </c>
      <c r="U18" s="122" t="n">
        <f aca="false">Q18*Paths!Z18*Paths!AB18</f>
        <v>0</v>
      </c>
      <c r="V18" s="107" t="n">
        <f aca="false">Y17</f>
        <v>0</v>
      </c>
      <c r="W18" s="122" t="n">
        <f aca="false">V18*Paths!AA18</f>
        <v>0</v>
      </c>
      <c r="X18" s="107" t="n">
        <f aca="false">IF(A18=1918,(V18+E18)*russia_writeoff,0)</f>
        <v>0</v>
      </c>
      <c r="Y18" s="107" t="n">
        <f aca="false">V18+E18-W18-X18</f>
        <v>0</v>
      </c>
      <c r="Z18" s="122" t="n">
        <f aca="false">V18*Paths!Z18*Paths!AB18</f>
        <v>0</v>
      </c>
      <c r="AA18" s="107" t="n">
        <f aca="false">O18+T18+Y18</f>
        <v>0</v>
      </c>
      <c r="AB18" s="107" t="n">
        <f aca="false">P18+U18+Z18</f>
        <v>0</v>
      </c>
      <c r="AC18" s="124" t="n">
        <f aca="false">IF(E18=0,0,IF(ISNUMBER('Sources &amp; uses'!$E$29),MAX(0,E18-'Sources &amp; uses'!$E$29),"n.a."))</f>
        <v>0</v>
      </c>
      <c r="AD18" s="122" t="str">
        <f aca="false">IF(E18=0,"No new subscription",IF(ISNUMBER('Sources &amp; uses'!$E$29),"MODEL capacity tested","Unverified"))</f>
        <v>No new subscription</v>
      </c>
    </row>
    <row r="19" customFormat="false" ht="19.5" hidden="false" customHeight="true" outlineLevel="0" collapsed="false">
      <c r="A19" s="111" t="n">
        <v>1859</v>
      </c>
      <c r="B19" s="107" t="n">
        <f aca="false">IF(AND(A19&gt;=1914,A19&lt;=1918),entente_total*CHOOSE(A19-1913,0.05,0.1333,0.2333,0.3,0.2834),0)</f>
        <v>0</v>
      </c>
      <c r="C19" s="122" t="n">
        <f aca="false">IF(AND(A19&gt;=1914,A19&lt;=1918),Loans!L19,0)</f>
        <v>0</v>
      </c>
      <c r="D19" s="122" t="n">
        <f aca="false">Abroad!D19</f>
        <v>0</v>
      </c>
      <c r="E19" s="107" t="n">
        <f aca="false">B19*(1-entente_public-entente_private)</f>
        <v>0</v>
      </c>
      <c r="F19" s="123" t="n">
        <f aca="false">B19-SUM(C19:E19)</f>
        <v>0</v>
      </c>
      <c r="G19" s="107" t="n">
        <f aca="false">B19*uw_fee</f>
        <v>0</v>
      </c>
      <c r="H19" s="107" t="n">
        <f aca="false">B19-G19</f>
        <v>0</v>
      </c>
      <c r="I19" s="122" t="n">
        <f aca="false">H19*'Sources &amp; uses'!$E$31</f>
        <v>0</v>
      </c>
      <c r="J19" s="107" t="n">
        <f aca="false">H19-I19</f>
        <v>0</v>
      </c>
      <c r="K19" s="123" t="n">
        <f aca="false">B19-G19-I19-J19</f>
        <v>0</v>
      </c>
      <c r="L19" s="107" t="n">
        <f aca="false">O18</f>
        <v>0</v>
      </c>
      <c r="M19" s="122" t="n">
        <f aca="false">L19*Paths!AA19</f>
        <v>0</v>
      </c>
      <c r="N19" s="107" t="n">
        <f aca="false">IF(A19=1918,(L19+C19)*russia_writeoff,0)</f>
        <v>0</v>
      </c>
      <c r="O19" s="107" t="n">
        <f aca="false">L19+C19-M19-N19</f>
        <v>0</v>
      </c>
      <c r="P19" s="122" t="n">
        <f aca="false">L19*Paths!Z19*Paths!AB19</f>
        <v>0</v>
      </c>
      <c r="Q19" s="107" t="n">
        <f aca="false">T18</f>
        <v>0</v>
      </c>
      <c r="R19" s="122" t="n">
        <f aca="false">Q19*Paths!AA19</f>
        <v>0</v>
      </c>
      <c r="S19" s="107" t="n">
        <f aca="false">IF(A19=1918,(Q19+D19)*russia_writeoff,0)</f>
        <v>0</v>
      </c>
      <c r="T19" s="107" t="n">
        <f aca="false">Q19+D19-R19-S19</f>
        <v>0</v>
      </c>
      <c r="U19" s="122" t="n">
        <f aca="false">Q19*Paths!Z19*Paths!AB19</f>
        <v>0</v>
      </c>
      <c r="V19" s="107" t="n">
        <f aca="false">Y18</f>
        <v>0</v>
      </c>
      <c r="W19" s="122" t="n">
        <f aca="false">V19*Paths!AA19</f>
        <v>0</v>
      </c>
      <c r="X19" s="107" t="n">
        <f aca="false">IF(A19=1918,(V19+E19)*russia_writeoff,0)</f>
        <v>0</v>
      </c>
      <c r="Y19" s="107" t="n">
        <f aca="false">V19+E19-W19-X19</f>
        <v>0</v>
      </c>
      <c r="Z19" s="122" t="n">
        <f aca="false">V19*Paths!Z19*Paths!AB19</f>
        <v>0</v>
      </c>
      <c r="AA19" s="107" t="n">
        <f aca="false">O19+T19+Y19</f>
        <v>0</v>
      </c>
      <c r="AB19" s="107" t="n">
        <f aca="false">P19+U19+Z19</f>
        <v>0</v>
      </c>
      <c r="AC19" s="124" t="n">
        <f aca="false">IF(E19=0,0,IF(ISNUMBER('Sources &amp; uses'!$E$29),MAX(0,E19-'Sources &amp; uses'!$E$29),"n.a."))</f>
        <v>0</v>
      </c>
      <c r="AD19" s="122" t="str">
        <f aca="false">IF(E19=0,"No new subscription",IF(ISNUMBER('Sources &amp; uses'!$E$29),"MODEL capacity tested","Unverified"))</f>
        <v>No new subscription</v>
      </c>
    </row>
    <row r="20" customFormat="false" ht="19.5" hidden="false" customHeight="true" outlineLevel="0" collapsed="false">
      <c r="A20" s="111" t="n">
        <v>1860</v>
      </c>
      <c r="B20" s="107" t="n">
        <f aca="false">IF(AND(A20&gt;=1914,A20&lt;=1918),entente_total*CHOOSE(A20-1913,0.05,0.1333,0.2333,0.3,0.2834),0)</f>
        <v>0</v>
      </c>
      <c r="C20" s="122" t="n">
        <f aca="false">IF(AND(A20&gt;=1914,A20&lt;=1918),Loans!L20,0)</f>
        <v>0</v>
      </c>
      <c r="D20" s="122" t="n">
        <f aca="false">Abroad!D20</f>
        <v>0</v>
      </c>
      <c r="E20" s="107" t="n">
        <f aca="false">B20*(1-entente_public-entente_private)</f>
        <v>0</v>
      </c>
      <c r="F20" s="123" t="n">
        <f aca="false">B20-SUM(C20:E20)</f>
        <v>0</v>
      </c>
      <c r="G20" s="107" t="n">
        <f aca="false">B20*uw_fee</f>
        <v>0</v>
      </c>
      <c r="H20" s="107" t="n">
        <f aca="false">B20-G20</f>
        <v>0</v>
      </c>
      <c r="I20" s="122" t="n">
        <f aca="false">H20*'Sources &amp; uses'!$E$31</f>
        <v>0</v>
      </c>
      <c r="J20" s="107" t="n">
        <f aca="false">H20-I20</f>
        <v>0</v>
      </c>
      <c r="K20" s="123" t="n">
        <f aca="false">B20-G20-I20-J20</f>
        <v>0</v>
      </c>
      <c r="L20" s="107" t="n">
        <f aca="false">O19</f>
        <v>0</v>
      </c>
      <c r="M20" s="122" t="n">
        <f aca="false">L20*Paths!AA20</f>
        <v>0</v>
      </c>
      <c r="N20" s="107" t="n">
        <f aca="false">IF(A20=1918,(L20+C20)*russia_writeoff,0)</f>
        <v>0</v>
      </c>
      <c r="O20" s="107" t="n">
        <f aca="false">L20+C20-M20-N20</f>
        <v>0</v>
      </c>
      <c r="P20" s="122" t="n">
        <f aca="false">L20*Paths!Z20*Paths!AB20</f>
        <v>0</v>
      </c>
      <c r="Q20" s="107" t="n">
        <f aca="false">T19</f>
        <v>0</v>
      </c>
      <c r="R20" s="122" t="n">
        <f aca="false">Q20*Paths!AA20</f>
        <v>0</v>
      </c>
      <c r="S20" s="107" t="n">
        <f aca="false">IF(A20=1918,(Q20+D20)*russia_writeoff,0)</f>
        <v>0</v>
      </c>
      <c r="T20" s="107" t="n">
        <f aca="false">Q20+D20-R20-S20</f>
        <v>0</v>
      </c>
      <c r="U20" s="122" t="n">
        <f aca="false">Q20*Paths!Z20*Paths!AB20</f>
        <v>0</v>
      </c>
      <c r="V20" s="107" t="n">
        <f aca="false">Y19</f>
        <v>0</v>
      </c>
      <c r="W20" s="122" t="n">
        <f aca="false">V20*Paths!AA20</f>
        <v>0</v>
      </c>
      <c r="X20" s="107" t="n">
        <f aca="false">IF(A20=1918,(V20+E20)*russia_writeoff,0)</f>
        <v>0</v>
      </c>
      <c r="Y20" s="107" t="n">
        <f aca="false">V20+E20-W20-X20</f>
        <v>0</v>
      </c>
      <c r="Z20" s="122" t="n">
        <f aca="false">V20*Paths!Z20*Paths!AB20</f>
        <v>0</v>
      </c>
      <c r="AA20" s="107" t="n">
        <f aca="false">O20+T20+Y20</f>
        <v>0</v>
      </c>
      <c r="AB20" s="107" t="n">
        <f aca="false">P20+U20+Z20</f>
        <v>0</v>
      </c>
      <c r="AC20" s="124" t="n">
        <f aca="false">IF(E20=0,0,IF(ISNUMBER('Sources &amp; uses'!$E$29),MAX(0,E20-'Sources &amp; uses'!$E$29),"n.a."))</f>
        <v>0</v>
      </c>
      <c r="AD20" s="122" t="str">
        <f aca="false">IF(E20=0,"No new subscription",IF(ISNUMBER('Sources &amp; uses'!$E$29),"MODEL capacity tested","Unverified"))</f>
        <v>No new subscription</v>
      </c>
    </row>
    <row r="21" customFormat="false" ht="19.5" hidden="false" customHeight="true" outlineLevel="0" collapsed="false">
      <c r="A21" s="111" t="n">
        <v>1861</v>
      </c>
      <c r="B21" s="107" t="n">
        <f aca="false">IF(AND(A21&gt;=1914,A21&lt;=1918),entente_total*CHOOSE(A21-1913,0.05,0.1333,0.2333,0.3,0.2834),0)</f>
        <v>0</v>
      </c>
      <c r="C21" s="122" t="n">
        <f aca="false">IF(AND(A21&gt;=1914,A21&lt;=1918),Loans!L21,0)</f>
        <v>0</v>
      </c>
      <c r="D21" s="122" t="n">
        <f aca="false">Abroad!D21</f>
        <v>0</v>
      </c>
      <c r="E21" s="107" t="n">
        <f aca="false">B21*(1-entente_public-entente_private)</f>
        <v>0</v>
      </c>
      <c r="F21" s="123" t="n">
        <f aca="false">B21-SUM(C21:E21)</f>
        <v>0</v>
      </c>
      <c r="G21" s="107" t="n">
        <f aca="false">B21*uw_fee</f>
        <v>0</v>
      </c>
      <c r="H21" s="107" t="n">
        <f aca="false">B21-G21</f>
        <v>0</v>
      </c>
      <c r="I21" s="122" t="n">
        <f aca="false">H21*'Sources &amp; uses'!$E$31</f>
        <v>0</v>
      </c>
      <c r="J21" s="107" t="n">
        <f aca="false">H21-I21</f>
        <v>0</v>
      </c>
      <c r="K21" s="123" t="n">
        <f aca="false">B21-G21-I21-J21</f>
        <v>0</v>
      </c>
      <c r="L21" s="107" t="n">
        <f aca="false">O20</f>
        <v>0</v>
      </c>
      <c r="M21" s="122" t="n">
        <f aca="false">L21*Paths!AA21</f>
        <v>0</v>
      </c>
      <c r="N21" s="107" t="n">
        <f aca="false">IF(A21=1918,(L21+C21)*russia_writeoff,0)</f>
        <v>0</v>
      </c>
      <c r="O21" s="107" t="n">
        <f aca="false">L21+C21-M21-N21</f>
        <v>0</v>
      </c>
      <c r="P21" s="122" t="n">
        <f aca="false">L21*Paths!Z21*Paths!AB21</f>
        <v>0</v>
      </c>
      <c r="Q21" s="107" t="n">
        <f aca="false">T20</f>
        <v>0</v>
      </c>
      <c r="R21" s="122" t="n">
        <f aca="false">Q21*Paths!AA21</f>
        <v>0</v>
      </c>
      <c r="S21" s="107" t="n">
        <f aca="false">IF(A21=1918,(Q21+D21)*russia_writeoff,0)</f>
        <v>0</v>
      </c>
      <c r="T21" s="107" t="n">
        <f aca="false">Q21+D21-R21-S21</f>
        <v>0</v>
      </c>
      <c r="U21" s="122" t="n">
        <f aca="false">Q21*Paths!Z21*Paths!AB21</f>
        <v>0</v>
      </c>
      <c r="V21" s="107" t="n">
        <f aca="false">Y20</f>
        <v>0</v>
      </c>
      <c r="W21" s="122" t="n">
        <f aca="false">V21*Paths!AA21</f>
        <v>0</v>
      </c>
      <c r="X21" s="107" t="n">
        <f aca="false">IF(A21=1918,(V21+E21)*russia_writeoff,0)</f>
        <v>0</v>
      </c>
      <c r="Y21" s="107" t="n">
        <f aca="false">V21+E21-W21-X21</f>
        <v>0</v>
      </c>
      <c r="Z21" s="122" t="n">
        <f aca="false">V21*Paths!Z21*Paths!AB21</f>
        <v>0</v>
      </c>
      <c r="AA21" s="107" t="n">
        <f aca="false">O21+T21+Y21</f>
        <v>0</v>
      </c>
      <c r="AB21" s="107" t="n">
        <f aca="false">P21+U21+Z21</f>
        <v>0</v>
      </c>
      <c r="AC21" s="124" t="n">
        <f aca="false">IF(E21=0,0,IF(ISNUMBER('Sources &amp; uses'!$E$29),MAX(0,E21-'Sources &amp; uses'!$E$29),"n.a."))</f>
        <v>0</v>
      </c>
      <c r="AD21" s="122" t="str">
        <f aca="false">IF(E21=0,"No new subscription",IF(ISNUMBER('Sources &amp; uses'!$E$29),"MODEL capacity tested","Unverified"))</f>
        <v>No new subscription</v>
      </c>
    </row>
    <row r="22" customFormat="false" ht="19.5" hidden="false" customHeight="true" outlineLevel="0" collapsed="false">
      <c r="A22" s="111" t="n">
        <v>1862</v>
      </c>
      <c r="B22" s="107" t="n">
        <f aca="false">IF(AND(A22&gt;=1914,A22&lt;=1918),entente_total*CHOOSE(A22-1913,0.05,0.1333,0.2333,0.3,0.2834),0)</f>
        <v>0</v>
      </c>
      <c r="C22" s="122" t="n">
        <f aca="false">IF(AND(A22&gt;=1914,A22&lt;=1918),Loans!L22,0)</f>
        <v>0</v>
      </c>
      <c r="D22" s="122" t="n">
        <f aca="false">Abroad!D22</f>
        <v>0</v>
      </c>
      <c r="E22" s="107" t="n">
        <f aca="false">B22*(1-entente_public-entente_private)</f>
        <v>0</v>
      </c>
      <c r="F22" s="123" t="n">
        <f aca="false">B22-SUM(C22:E22)</f>
        <v>0</v>
      </c>
      <c r="G22" s="107" t="n">
        <f aca="false">B22*uw_fee</f>
        <v>0</v>
      </c>
      <c r="H22" s="107" t="n">
        <f aca="false">B22-G22</f>
        <v>0</v>
      </c>
      <c r="I22" s="122" t="n">
        <f aca="false">H22*'Sources &amp; uses'!$E$31</f>
        <v>0</v>
      </c>
      <c r="J22" s="107" t="n">
        <f aca="false">H22-I22</f>
        <v>0</v>
      </c>
      <c r="K22" s="123" t="n">
        <f aca="false">B22-G22-I22-J22</f>
        <v>0</v>
      </c>
      <c r="L22" s="107" t="n">
        <f aca="false">O21</f>
        <v>0</v>
      </c>
      <c r="M22" s="122" t="n">
        <f aca="false">L22*Paths!AA22</f>
        <v>0</v>
      </c>
      <c r="N22" s="107" t="n">
        <f aca="false">IF(A22=1918,(L22+C22)*russia_writeoff,0)</f>
        <v>0</v>
      </c>
      <c r="O22" s="107" t="n">
        <f aca="false">L22+C22-M22-N22</f>
        <v>0</v>
      </c>
      <c r="P22" s="122" t="n">
        <f aca="false">L22*Paths!Z22*Paths!AB22</f>
        <v>0</v>
      </c>
      <c r="Q22" s="107" t="n">
        <f aca="false">T21</f>
        <v>0</v>
      </c>
      <c r="R22" s="122" t="n">
        <f aca="false">Q22*Paths!AA22</f>
        <v>0</v>
      </c>
      <c r="S22" s="107" t="n">
        <f aca="false">IF(A22=1918,(Q22+D22)*russia_writeoff,0)</f>
        <v>0</v>
      </c>
      <c r="T22" s="107" t="n">
        <f aca="false">Q22+D22-R22-S22</f>
        <v>0</v>
      </c>
      <c r="U22" s="122" t="n">
        <f aca="false">Q22*Paths!Z22*Paths!AB22</f>
        <v>0</v>
      </c>
      <c r="V22" s="107" t="n">
        <f aca="false">Y21</f>
        <v>0</v>
      </c>
      <c r="W22" s="122" t="n">
        <f aca="false">V22*Paths!AA22</f>
        <v>0</v>
      </c>
      <c r="X22" s="107" t="n">
        <f aca="false">IF(A22=1918,(V22+E22)*russia_writeoff,0)</f>
        <v>0</v>
      </c>
      <c r="Y22" s="107" t="n">
        <f aca="false">V22+E22-W22-X22</f>
        <v>0</v>
      </c>
      <c r="Z22" s="122" t="n">
        <f aca="false">V22*Paths!Z22*Paths!AB22</f>
        <v>0</v>
      </c>
      <c r="AA22" s="107" t="n">
        <f aca="false">O22+T22+Y22</f>
        <v>0</v>
      </c>
      <c r="AB22" s="107" t="n">
        <f aca="false">P22+U22+Z22</f>
        <v>0</v>
      </c>
      <c r="AC22" s="124" t="n">
        <f aca="false">IF(E22=0,0,IF(ISNUMBER('Sources &amp; uses'!$E$29),MAX(0,E22-'Sources &amp; uses'!$E$29),"n.a."))</f>
        <v>0</v>
      </c>
      <c r="AD22" s="122" t="str">
        <f aca="false">IF(E22=0,"No new subscription",IF(ISNUMBER('Sources &amp; uses'!$E$29),"MODEL capacity tested","Unverified"))</f>
        <v>No new subscription</v>
      </c>
    </row>
    <row r="23" customFormat="false" ht="19.5" hidden="false" customHeight="true" outlineLevel="0" collapsed="false">
      <c r="A23" s="111" t="n">
        <v>1863</v>
      </c>
      <c r="B23" s="107" t="n">
        <f aca="false">IF(AND(A23&gt;=1914,A23&lt;=1918),entente_total*CHOOSE(A23-1913,0.05,0.1333,0.2333,0.3,0.2834),0)</f>
        <v>0</v>
      </c>
      <c r="C23" s="122" t="n">
        <f aca="false">IF(AND(A23&gt;=1914,A23&lt;=1918),Loans!L23,0)</f>
        <v>0</v>
      </c>
      <c r="D23" s="122" t="n">
        <f aca="false">Abroad!D23</f>
        <v>0</v>
      </c>
      <c r="E23" s="107" t="n">
        <f aca="false">B23*(1-entente_public-entente_private)</f>
        <v>0</v>
      </c>
      <c r="F23" s="123" t="n">
        <f aca="false">B23-SUM(C23:E23)</f>
        <v>0</v>
      </c>
      <c r="G23" s="107" t="n">
        <f aca="false">B23*uw_fee</f>
        <v>0</v>
      </c>
      <c r="H23" s="107" t="n">
        <f aca="false">B23-G23</f>
        <v>0</v>
      </c>
      <c r="I23" s="122" t="n">
        <f aca="false">H23*'Sources &amp; uses'!$E$31</f>
        <v>0</v>
      </c>
      <c r="J23" s="107" t="n">
        <f aca="false">H23-I23</f>
        <v>0</v>
      </c>
      <c r="K23" s="123" t="n">
        <f aca="false">B23-G23-I23-J23</f>
        <v>0</v>
      </c>
      <c r="L23" s="107" t="n">
        <f aca="false">O22</f>
        <v>0</v>
      </c>
      <c r="M23" s="122" t="n">
        <f aca="false">L23*Paths!AA23</f>
        <v>0</v>
      </c>
      <c r="N23" s="107" t="n">
        <f aca="false">IF(A23=1918,(L23+C23)*russia_writeoff,0)</f>
        <v>0</v>
      </c>
      <c r="O23" s="107" t="n">
        <f aca="false">L23+C23-M23-N23</f>
        <v>0</v>
      </c>
      <c r="P23" s="122" t="n">
        <f aca="false">L23*Paths!Z23*Paths!AB23</f>
        <v>0</v>
      </c>
      <c r="Q23" s="107" t="n">
        <f aca="false">T22</f>
        <v>0</v>
      </c>
      <c r="R23" s="122" t="n">
        <f aca="false">Q23*Paths!AA23</f>
        <v>0</v>
      </c>
      <c r="S23" s="107" t="n">
        <f aca="false">IF(A23=1918,(Q23+D23)*russia_writeoff,0)</f>
        <v>0</v>
      </c>
      <c r="T23" s="107" t="n">
        <f aca="false">Q23+D23-R23-S23</f>
        <v>0</v>
      </c>
      <c r="U23" s="122" t="n">
        <f aca="false">Q23*Paths!Z23*Paths!AB23</f>
        <v>0</v>
      </c>
      <c r="V23" s="107" t="n">
        <f aca="false">Y22</f>
        <v>0</v>
      </c>
      <c r="W23" s="122" t="n">
        <f aca="false">V23*Paths!AA23</f>
        <v>0</v>
      </c>
      <c r="X23" s="107" t="n">
        <f aca="false">IF(A23=1918,(V23+E23)*russia_writeoff,0)</f>
        <v>0</v>
      </c>
      <c r="Y23" s="107" t="n">
        <f aca="false">V23+E23-W23-X23</f>
        <v>0</v>
      </c>
      <c r="Z23" s="122" t="n">
        <f aca="false">V23*Paths!Z23*Paths!AB23</f>
        <v>0</v>
      </c>
      <c r="AA23" s="107" t="n">
        <f aca="false">O23+T23+Y23</f>
        <v>0</v>
      </c>
      <c r="AB23" s="107" t="n">
        <f aca="false">P23+U23+Z23</f>
        <v>0</v>
      </c>
      <c r="AC23" s="124" t="n">
        <f aca="false">IF(E23=0,0,IF(ISNUMBER('Sources &amp; uses'!$E$29),MAX(0,E23-'Sources &amp; uses'!$E$29),"n.a."))</f>
        <v>0</v>
      </c>
      <c r="AD23" s="122" t="str">
        <f aca="false">IF(E23=0,"No new subscription",IF(ISNUMBER('Sources &amp; uses'!$E$29),"MODEL capacity tested","Unverified"))</f>
        <v>No new subscription</v>
      </c>
    </row>
    <row r="24" customFormat="false" ht="19.5" hidden="false" customHeight="true" outlineLevel="0" collapsed="false">
      <c r="A24" s="111" t="n">
        <v>1864</v>
      </c>
      <c r="B24" s="107" t="n">
        <f aca="false">IF(AND(A24&gt;=1914,A24&lt;=1918),entente_total*CHOOSE(A24-1913,0.05,0.1333,0.2333,0.3,0.2834),0)</f>
        <v>0</v>
      </c>
      <c r="C24" s="122" t="n">
        <f aca="false">IF(AND(A24&gt;=1914,A24&lt;=1918),Loans!L24,0)</f>
        <v>0</v>
      </c>
      <c r="D24" s="122" t="n">
        <f aca="false">Abroad!D24</f>
        <v>0</v>
      </c>
      <c r="E24" s="107" t="n">
        <f aca="false">B24*(1-entente_public-entente_private)</f>
        <v>0</v>
      </c>
      <c r="F24" s="123" t="n">
        <f aca="false">B24-SUM(C24:E24)</f>
        <v>0</v>
      </c>
      <c r="G24" s="107" t="n">
        <f aca="false">B24*uw_fee</f>
        <v>0</v>
      </c>
      <c r="H24" s="107" t="n">
        <f aca="false">B24-G24</f>
        <v>0</v>
      </c>
      <c r="I24" s="122" t="n">
        <f aca="false">H24*'Sources &amp; uses'!$E$31</f>
        <v>0</v>
      </c>
      <c r="J24" s="107" t="n">
        <f aca="false">H24-I24</f>
        <v>0</v>
      </c>
      <c r="K24" s="123" t="n">
        <f aca="false">B24-G24-I24-J24</f>
        <v>0</v>
      </c>
      <c r="L24" s="107" t="n">
        <f aca="false">O23</f>
        <v>0</v>
      </c>
      <c r="M24" s="122" t="n">
        <f aca="false">L24*Paths!AA24</f>
        <v>0</v>
      </c>
      <c r="N24" s="107" t="n">
        <f aca="false">IF(A24=1918,(L24+C24)*russia_writeoff,0)</f>
        <v>0</v>
      </c>
      <c r="O24" s="107" t="n">
        <f aca="false">L24+C24-M24-N24</f>
        <v>0</v>
      </c>
      <c r="P24" s="122" t="n">
        <f aca="false">L24*Paths!Z24*Paths!AB24</f>
        <v>0</v>
      </c>
      <c r="Q24" s="107" t="n">
        <f aca="false">T23</f>
        <v>0</v>
      </c>
      <c r="R24" s="122" t="n">
        <f aca="false">Q24*Paths!AA24</f>
        <v>0</v>
      </c>
      <c r="S24" s="107" t="n">
        <f aca="false">IF(A24=1918,(Q24+D24)*russia_writeoff,0)</f>
        <v>0</v>
      </c>
      <c r="T24" s="107" t="n">
        <f aca="false">Q24+D24-R24-S24</f>
        <v>0</v>
      </c>
      <c r="U24" s="122" t="n">
        <f aca="false">Q24*Paths!Z24*Paths!AB24</f>
        <v>0</v>
      </c>
      <c r="V24" s="107" t="n">
        <f aca="false">Y23</f>
        <v>0</v>
      </c>
      <c r="W24" s="122" t="n">
        <f aca="false">V24*Paths!AA24</f>
        <v>0</v>
      </c>
      <c r="X24" s="107" t="n">
        <f aca="false">IF(A24=1918,(V24+E24)*russia_writeoff,0)</f>
        <v>0</v>
      </c>
      <c r="Y24" s="107" t="n">
        <f aca="false">V24+E24-W24-X24</f>
        <v>0</v>
      </c>
      <c r="Z24" s="122" t="n">
        <f aca="false">V24*Paths!Z24*Paths!AB24</f>
        <v>0</v>
      </c>
      <c r="AA24" s="107" t="n">
        <f aca="false">O24+T24+Y24</f>
        <v>0</v>
      </c>
      <c r="AB24" s="107" t="n">
        <f aca="false">P24+U24+Z24</f>
        <v>0</v>
      </c>
      <c r="AC24" s="124" t="n">
        <f aca="false">IF(E24=0,0,IF(ISNUMBER('Sources &amp; uses'!$E$29),MAX(0,E24-'Sources &amp; uses'!$E$29),"n.a."))</f>
        <v>0</v>
      </c>
      <c r="AD24" s="122" t="str">
        <f aca="false">IF(E24=0,"No new subscription",IF(ISNUMBER('Sources &amp; uses'!$E$29),"MODEL capacity tested","Unverified"))</f>
        <v>No new subscription</v>
      </c>
    </row>
    <row r="25" customFormat="false" ht="19.5" hidden="false" customHeight="true" outlineLevel="0" collapsed="false">
      <c r="A25" s="111" t="n">
        <v>1865</v>
      </c>
      <c r="B25" s="107" t="n">
        <f aca="false">IF(AND(A25&gt;=1914,A25&lt;=1918),entente_total*CHOOSE(A25-1913,0.05,0.1333,0.2333,0.3,0.2834),0)</f>
        <v>0</v>
      </c>
      <c r="C25" s="122" t="n">
        <f aca="false">IF(AND(A25&gt;=1914,A25&lt;=1918),Loans!L25,0)</f>
        <v>0</v>
      </c>
      <c r="D25" s="122" t="n">
        <f aca="false">Abroad!D25</f>
        <v>0</v>
      </c>
      <c r="E25" s="107" t="n">
        <f aca="false">B25*(1-entente_public-entente_private)</f>
        <v>0</v>
      </c>
      <c r="F25" s="123" t="n">
        <f aca="false">B25-SUM(C25:E25)</f>
        <v>0</v>
      </c>
      <c r="G25" s="107" t="n">
        <f aca="false">B25*uw_fee</f>
        <v>0</v>
      </c>
      <c r="H25" s="107" t="n">
        <f aca="false">B25-G25</f>
        <v>0</v>
      </c>
      <c r="I25" s="122" t="n">
        <f aca="false">H25*'Sources &amp; uses'!$E$31</f>
        <v>0</v>
      </c>
      <c r="J25" s="107" t="n">
        <f aca="false">H25-I25</f>
        <v>0</v>
      </c>
      <c r="K25" s="123" t="n">
        <f aca="false">B25-G25-I25-J25</f>
        <v>0</v>
      </c>
      <c r="L25" s="107" t="n">
        <f aca="false">O24</f>
        <v>0</v>
      </c>
      <c r="M25" s="122" t="n">
        <f aca="false">L25*Paths!AA25</f>
        <v>0</v>
      </c>
      <c r="N25" s="107" t="n">
        <f aca="false">IF(A25=1918,(L25+C25)*russia_writeoff,0)</f>
        <v>0</v>
      </c>
      <c r="O25" s="107" t="n">
        <f aca="false">L25+C25-M25-N25</f>
        <v>0</v>
      </c>
      <c r="P25" s="122" t="n">
        <f aca="false">L25*Paths!Z25*Paths!AB25</f>
        <v>0</v>
      </c>
      <c r="Q25" s="107" t="n">
        <f aca="false">T24</f>
        <v>0</v>
      </c>
      <c r="R25" s="122" t="n">
        <f aca="false">Q25*Paths!AA25</f>
        <v>0</v>
      </c>
      <c r="S25" s="107" t="n">
        <f aca="false">IF(A25=1918,(Q25+D25)*russia_writeoff,0)</f>
        <v>0</v>
      </c>
      <c r="T25" s="107" t="n">
        <f aca="false">Q25+D25-R25-S25</f>
        <v>0</v>
      </c>
      <c r="U25" s="122" t="n">
        <f aca="false">Q25*Paths!Z25*Paths!AB25</f>
        <v>0</v>
      </c>
      <c r="V25" s="107" t="n">
        <f aca="false">Y24</f>
        <v>0</v>
      </c>
      <c r="W25" s="122" t="n">
        <f aca="false">V25*Paths!AA25</f>
        <v>0</v>
      </c>
      <c r="X25" s="107" t="n">
        <f aca="false">IF(A25=1918,(V25+E25)*russia_writeoff,0)</f>
        <v>0</v>
      </c>
      <c r="Y25" s="107" t="n">
        <f aca="false">V25+E25-W25-X25</f>
        <v>0</v>
      </c>
      <c r="Z25" s="122" t="n">
        <f aca="false">V25*Paths!Z25*Paths!AB25</f>
        <v>0</v>
      </c>
      <c r="AA25" s="107" t="n">
        <f aca="false">O25+T25+Y25</f>
        <v>0</v>
      </c>
      <c r="AB25" s="107" t="n">
        <f aca="false">P25+U25+Z25</f>
        <v>0</v>
      </c>
      <c r="AC25" s="124" t="n">
        <f aca="false">IF(E25=0,0,IF(ISNUMBER('Sources &amp; uses'!$E$29),MAX(0,E25-'Sources &amp; uses'!$E$29),"n.a."))</f>
        <v>0</v>
      </c>
      <c r="AD25" s="122" t="str">
        <f aca="false">IF(E25=0,"No new subscription",IF(ISNUMBER('Sources &amp; uses'!$E$29),"MODEL capacity tested","Unverified"))</f>
        <v>No new subscription</v>
      </c>
    </row>
    <row r="26" customFormat="false" ht="19.5" hidden="false" customHeight="true" outlineLevel="0" collapsed="false">
      <c r="A26" s="111" t="n">
        <v>1866</v>
      </c>
      <c r="B26" s="107" t="n">
        <f aca="false">IF(AND(A26&gt;=1914,A26&lt;=1918),entente_total*CHOOSE(A26-1913,0.05,0.1333,0.2333,0.3,0.2834),0)</f>
        <v>0</v>
      </c>
      <c r="C26" s="122" t="n">
        <f aca="false">IF(AND(A26&gt;=1914,A26&lt;=1918),Loans!L26,0)</f>
        <v>0</v>
      </c>
      <c r="D26" s="122" t="n">
        <f aca="false">Abroad!D26</f>
        <v>0</v>
      </c>
      <c r="E26" s="107" t="n">
        <f aca="false">B26*(1-entente_public-entente_private)</f>
        <v>0</v>
      </c>
      <c r="F26" s="123" t="n">
        <f aca="false">B26-SUM(C26:E26)</f>
        <v>0</v>
      </c>
      <c r="G26" s="107" t="n">
        <f aca="false">B26*uw_fee</f>
        <v>0</v>
      </c>
      <c r="H26" s="107" t="n">
        <f aca="false">B26-G26</f>
        <v>0</v>
      </c>
      <c r="I26" s="122" t="n">
        <f aca="false">H26*'Sources &amp; uses'!$E$31</f>
        <v>0</v>
      </c>
      <c r="J26" s="107" t="n">
        <f aca="false">H26-I26</f>
        <v>0</v>
      </c>
      <c r="K26" s="123" t="n">
        <f aca="false">B26-G26-I26-J26</f>
        <v>0</v>
      </c>
      <c r="L26" s="107" t="n">
        <f aca="false">O25</f>
        <v>0</v>
      </c>
      <c r="M26" s="122" t="n">
        <f aca="false">L26*Paths!AA26</f>
        <v>0</v>
      </c>
      <c r="N26" s="107" t="n">
        <f aca="false">IF(A26=1918,(L26+C26)*russia_writeoff,0)</f>
        <v>0</v>
      </c>
      <c r="O26" s="107" t="n">
        <f aca="false">L26+C26-M26-N26</f>
        <v>0</v>
      </c>
      <c r="P26" s="122" t="n">
        <f aca="false">L26*Paths!Z26*Paths!AB26</f>
        <v>0</v>
      </c>
      <c r="Q26" s="107" t="n">
        <f aca="false">T25</f>
        <v>0</v>
      </c>
      <c r="R26" s="122" t="n">
        <f aca="false">Q26*Paths!AA26</f>
        <v>0</v>
      </c>
      <c r="S26" s="107" t="n">
        <f aca="false">IF(A26=1918,(Q26+D26)*russia_writeoff,0)</f>
        <v>0</v>
      </c>
      <c r="T26" s="107" t="n">
        <f aca="false">Q26+D26-R26-S26</f>
        <v>0</v>
      </c>
      <c r="U26" s="122" t="n">
        <f aca="false">Q26*Paths!Z26*Paths!AB26</f>
        <v>0</v>
      </c>
      <c r="V26" s="107" t="n">
        <f aca="false">Y25</f>
        <v>0</v>
      </c>
      <c r="W26" s="122" t="n">
        <f aca="false">V26*Paths!AA26</f>
        <v>0</v>
      </c>
      <c r="X26" s="107" t="n">
        <f aca="false">IF(A26=1918,(V26+E26)*russia_writeoff,0)</f>
        <v>0</v>
      </c>
      <c r="Y26" s="107" t="n">
        <f aca="false">V26+E26-W26-X26</f>
        <v>0</v>
      </c>
      <c r="Z26" s="122" t="n">
        <f aca="false">V26*Paths!Z26*Paths!AB26</f>
        <v>0</v>
      </c>
      <c r="AA26" s="107" t="n">
        <f aca="false">O26+T26+Y26</f>
        <v>0</v>
      </c>
      <c r="AB26" s="107" t="n">
        <f aca="false">P26+U26+Z26</f>
        <v>0</v>
      </c>
      <c r="AC26" s="124" t="n">
        <f aca="false">IF(E26=0,0,IF(ISNUMBER('Sources &amp; uses'!$E$29),MAX(0,E26-'Sources &amp; uses'!$E$29),"n.a."))</f>
        <v>0</v>
      </c>
      <c r="AD26" s="122" t="str">
        <f aca="false">IF(E26=0,"No new subscription",IF(ISNUMBER('Sources &amp; uses'!$E$29),"MODEL capacity tested","Unverified"))</f>
        <v>No new subscription</v>
      </c>
    </row>
    <row r="27" customFormat="false" ht="19.5" hidden="false" customHeight="true" outlineLevel="0" collapsed="false">
      <c r="A27" s="111" t="n">
        <v>1867</v>
      </c>
      <c r="B27" s="107" t="n">
        <f aca="false">IF(AND(A27&gt;=1914,A27&lt;=1918),entente_total*CHOOSE(A27-1913,0.05,0.1333,0.2333,0.3,0.2834),0)</f>
        <v>0</v>
      </c>
      <c r="C27" s="122" t="n">
        <f aca="false">IF(AND(A27&gt;=1914,A27&lt;=1918),Loans!L27,0)</f>
        <v>0</v>
      </c>
      <c r="D27" s="122" t="n">
        <f aca="false">Abroad!D27</f>
        <v>0</v>
      </c>
      <c r="E27" s="107" t="n">
        <f aca="false">B27*(1-entente_public-entente_private)</f>
        <v>0</v>
      </c>
      <c r="F27" s="123" t="n">
        <f aca="false">B27-SUM(C27:E27)</f>
        <v>0</v>
      </c>
      <c r="G27" s="107" t="n">
        <f aca="false">B27*uw_fee</f>
        <v>0</v>
      </c>
      <c r="H27" s="107" t="n">
        <f aca="false">B27-G27</f>
        <v>0</v>
      </c>
      <c r="I27" s="122" t="n">
        <f aca="false">H27*'Sources &amp; uses'!$E$31</f>
        <v>0</v>
      </c>
      <c r="J27" s="107" t="n">
        <f aca="false">H27-I27</f>
        <v>0</v>
      </c>
      <c r="K27" s="123" t="n">
        <f aca="false">B27-G27-I27-J27</f>
        <v>0</v>
      </c>
      <c r="L27" s="107" t="n">
        <f aca="false">O26</f>
        <v>0</v>
      </c>
      <c r="M27" s="122" t="n">
        <f aca="false">L27*Paths!AA27</f>
        <v>0</v>
      </c>
      <c r="N27" s="107" t="n">
        <f aca="false">IF(A27=1918,(L27+C27)*russia_writeoff,0)</f>
        <v>0</v>
      </c>
      <c r="O27" s="107" t="n">
        <f aca="false">L27+C27-M27-N27</f>
        <v>0</v>
      </c>
      <c r="P27" s="122" t="n">
        <f aca="false">L27*Paths!Z27*Paths!AB27</f>
        <v>0</v>
      </c>
      <c r="Q27" s="107" t="n">
        <f aca="false">T26</f>
        <v>0</v>
      </c>
      <c r="R27" s="122" t="n">
        <f aca="false">Q27*Paths!AA27</f>
        <v>0</v>
      </c>
      <c r="S27" s="107" t="n">
        <f aca="false">IF(A27=1918,(Q27+D27)*russia_writeoff,0)</f>
        <v>0</v>
      </c>
      <c r="T27" s="107" t="n">
        <f aca="false">Q27+D27-R27-S27</f>
        <v>0</v>
      </c>
      <c r="U27" s="122" t="n">
        <f aca="false">Q27*Paths!Z27*Paths!AB27</f>
        <v>0</v>
      </c>
      <c r="V27" s="107" t="n">
        <f aca="false">Y26</f>
        <v>0</v>
      </c>
      <c r="W27" s="122" t="n">
        <f aca="false">V27*Paths!AA27</f>
        <v>0</v>
      </c>
      <c r="X27" s="107" t="n">
        <f aca="false">IF(A27=1918,(V27+E27)*russia_writeoff,0)</f>
        <v>0</v>
      </c>
      <c r="Y27" s="107" t="n">
        <f aca="false">V27+E27-W27-X27</f>
        <v>0</v>
      </c>
      <c r="Z27" s="122" t="n">
        <f aca="false">V27*Paths!Z27*Paths!AB27</f>
        <v>0</v>
      </c>
      <c r="AA27" s="107" t="n">
        <f aca="false">O27+T27+Y27</f>
        <v>0</v>
      </c>
      <c r="AB27" s="107" t="n">
        <f aca="false">P27+U27+Z27</f>
        <v>0</v>
      </c>
      <c r="AC27" s="124" t="n">
        <f aca="false">IF(E27=0,0,IF(ISNUMBER('Sources &amp; uses'!$E$29),MAX(0,E27-'Sources &amp; uses'!$E$29),"n.a."))</f>
        <v>0</v>
      </c>
      <c r="AD27" s="122" t="str">
        <f aca="false">IF(E27=0,"No new subscription",IF(ISNUMBER('Sources &amp; uses'!$E$29),"MODEL capacity tested","Unverified"))</f>
        <v>No new subscription</v>
      </c>
    </row>
    <row r="28" customFormat="false" ht="19.5" hidden="false" customHeight="true" outlineLevel="0" collapsed="false">
      <c r="A28" s="111" t="n">
        <v>1868</v>
      </c>
      <c r="B28" s="107" t="n">
        <f aca="false">IF(AND(A28&gt;=1914,A28&lt;=1918),entente_total*CHOOSE(A28-1913,0.05,0.1333,0.2333,0.3,0.2834),0)</f>
        <v>0</v>
      </c>
      <c r="C28" s="122" t="n">
        <f aca="false">IF(AND(A28&gt;=1914,A28&lt;=1918),Loans!L28,0)</f>
        <v>0</v>
      </c>
      <c r="D28" s="122" t="n">
        <f aca="false">Abroad!D28</f>
        <v>0</v>
      </c>
      <c r="E28" s="107" t="n">
        <f aca="false">B28*(1-entente_public-entente_private)</f>
        <v>0</v>
      </c>
      <c r="F28" s="123" t="n">
        <f aca="false">B28-SUM(C28:E28)</f>
        <v>0</v>
      </c>
      <c r="G28" s="107" t="n">
        <f aca="false">B28*uw_fee</f>
        <v>0</v>
      </c>
      <c r="H28" s="107" t="n">
        <f aca="false">B28-G28</f>
        <v>0</v>
      </c>
      <c r="I28" s="122" t="n">
        <f aca="false">H28*'Sources &amp; uses'!$E$31</f>
        <v>0</v>
      </c>
      <c r="J28" s="107" t="n">
        <f aca="false">H28-I28</f>
        <v>0</v>
      </c>
      <c r="K28" s="123" t="n">
        <f aca="false">B28-G28-I28-J28</f>
        <v>0</v>
      </c>
      <c r="L28" s="107" t="n">
        <f aca="false">O27</f>
        <v>0</v>
      </c>
      <c r="M28" s="122" t="n">
        <f aca="false">L28*Paths!AA28</f>
        <v>0</v>
      </c>
      <c r="N28" s="107" t="n">
        <f aca="false">IF(A28=1918,(L28+C28)*russia_writeoff,0)</f>
        <v>0</v>
      </c>
      <c r="O28" s="107" t="n">
        <f aca="false">L28+C28-M28-N28</f>
        <v>0</v>
      </c>
      <c r="P28" s="122" t="n">
        <f aca="false">L28*Paths!Z28*Paths!AB28</f>
        <v>0</v>
      </c>
      <c r="Q28" s="107" t="n">
        <f aca="false">T27</f>
        <v>0</v>
      </c>
      <c r="R28" s="122" t="n">
        <f aca="false">Q28*Paths!AA28</f>
        <v>0</v>
      </c>
      <c r="S28" s="107" t="n">
        <f aca="false">IF(A28=1918,(Q28+D28)*russia_writeoff,0)</f>
        <v>0</v>
      </c>
      <c r="T28" s="107" t="n">
        <f aca="false">Q28+D28-R28-S28</f>
        <v>0</v>
      </c>
      <c r="U28" s="122" t="n">
        <f aca="false">Q28*Paths!Z28*Paths!AB28</f>
        <v>0</v>
      </c>
      <c r="V28" s="107" t="n">
        <f aca="false">Y27</f>
        <v>0</v>
      </c>
      <c r="W28" s="122" t="n">
        <f aca="false">V28*Paths!AA28</f>
        <v>0</v>
      </c>
      <c r="X28" s="107" t="n">
        <f aca="false">IF(A28=1918,(V28+E28)*russia_writeoff,0)</f>
        <v>0</v>
      </c>
      <c r="Y28" s="107" t="n">
        <f aca="false">V28+E28-W28-X28</f>
        <v>0</v>
      </c>
      <c r="Z28" s="122" t="n">
        <f aca="false">V28*Paths!Z28*Paths!AB28</f>
        <v>0</v>
      </c>
      <c r="AA28" s="107" t="n">
        <f aca="false">O28+T28+Y28</f>
        <v>0</v>
      </c>
      <c r="AB28" s="107" t="n">
        <f aca="false">P28+U28+Z28</f>
        <v>0</v>
      </c>
      <c r="AC28" s="124" t="n">
        <f aca="false">IF(E28=0,0,IF(ISNUMBER('Sources &amp; uses'!$E$29),MAX(0,E28-'Sources &amp; uses'!$E$29),"n.a."))</f>
        <v>0</v>
      </c>
      <c r="AD28" s="122" t="str">
        <f aca="false">IF(E28=0,"No new subscription",IF(ISNUMBER('Sources &amp; uses'!$E$29),"MODEL capacity tested","Unverified"))</f>
        <v>No new subscription</v>
      </c>
    </row>
    <row r="29" customFormat="false" ht="19.5" hidden="false" customHeight="true" outlineLevel="0" collapsed="false">
      <c r="A29" s="111" t="n">
        <v>1869</v>
      </c>
      <c r="B29" s="107" t="n">
        <f aca="false">IF(AND(A29&gt;=1914,A29&lt;=1918),entente_total*CHOOSE(A29-1913,0.05,0.1333,0.2333,0.3,0.2834),0)</f>
        <v>0</v>
      </c>
      <c r="C29" s="122" t="n">
        <f aca="false">IF(AND(A29&gt;=1914,A29&lt;=1918),Loans!L29,0)</f>
        <v>0</v>
      </c>
      <c r="D29" s="122" t="n">
        <f aca="false">Abroad!D29</f>
        <v>0</v>
      </c>
      <c r="E29" s="107" t="n">
        <f aca="false">B29*(1-entente_public-entente_private)</f>
        <v>0</v>
      </c>
      <c r="F29" s="123" t="n">
        <f aca="false">B29-SUM(C29:E29)</f>
        <v>0</v>
      </c>
      <c r="G29" s="107" t="n">
        <f aca="false">B29*uw_fee</f>
        <v>0</v>
      </c>
      <c r="H29" s="107" t="n">
        <f aca="false">B29-G29</f>
        <v>0</v>
      </c>
      <c r="I29" s="122" t="n">
        <f aca="false">H29*'Sources &amp; uses'!$E$31</f>
        <v>0</v>
      </c>
      <c r="J29" s="107" t="n">
        <f aca="false">H29-I29</f>
        <v>0</v>
      </c>
      <c r="K29" s="123" t="n">
        <f aca="false">B29-G29-I29-J29</f>
        <v>0</v>
      </c>
      <c r="L29" s="107" t="n">
        <f aca="false">O28</f>
        <v>0</v>
      </c>
      <c r="M29" s="122" t="n">
        <f aca="false">L29*Paths!AA29</f>
        <v>0</v>
      </c>
      <c r="N29" s="107" t="n">
        <f aca="false">IF(A29=1918,(L29+C29)*russia_writeoff,0)</f>
        <v>0</v>
      </c>
      <c r="O29" s="107" t="n">
        <f aca="false">L29+C29-M29-N29</f>
        <v>0</v>
      </c>
      <c r="P29" s="122" t="n">
        <f aca="false">L29*Paths!Z29*Paths!AB29</f>
        <v>0</v>
      </c>
      <c r="Q29" s="107" t="n">
        <f aca="false">T28</f>
        <v>0</v>
      </c>
      <c r="R29" s="122" t="n">
        <f aca="false">Q29*Paths!AA29</f>
        <v>0</v>
      </c>
      <c r="S29" s="107" t="n">
        <f aca="false">IF(A29=1918,(Q29+D29)*russia_writeoff,0)</f>
        <v>0</v>
      </c>
      <c r="T29" s="107" t="n">
        <f aca="false">Q29+D29-R29-S29</f>
        <v>0</v>
      </c>
      <c r="U29" s="122" t="n">
        <f aca="false">Q29*Paths!Z29*Paths!AB29</f>
        <v>0</v>
      </c>
      <c r="V29" s="107" t="n">
        <f aca="false">Y28</f>
        <v>0</v>
      </c>
      <c r="W29" s="122" t="n">
        <f aca="false">V29*Paths!AA29</f>
        <v>0</v>
      </c>
      <c r="X29" s="107" t="n">
        <f aca="false">IF(A29=1918,(V29+E29)*russia_writeoff,0)</f>
        <v>0</v>
      </c>
      <c r="Y29" s="107" t="n">
        <f aca="false">V29+E29-W29-X29</f>
        <v>0</v>
      </c>
      <c r="Z29" s="122" t="n">
        <f aca="false">V29*Paths!Z29*Paths!AB29</f>
        <v>0</v>
      </c>
      <c r="AA29" s="107" t="n">
        <f aca="false">O29+T29+Y29</f>
        <v>0</v>
      </c>
      <c r="AB29" s="107" t="n">
        <f aca="false">P29+U29+Z29</f>
        <v>0</v>
      </c>
      <c r="AC29" s="124" t="n">
        <f aca="false">IF(E29=0,0,IF(ISNUMBER('Sources &amp; uses'!$E$29),MAX(0,E29-'Sources &amp; uses'!$E$29),"n.a."))</f>
        <v>0</v>
      </c>
      <c r="AD29" s="122" t="str">
        <f aca="false">IF(E29=0,"No new subscription",IF(ISNUMBER('Sources &amp; uses'!$E$29),"MODEL capacity tested","Unverified"))</f>
        <v>No new subscription</v>
      </c>
    </row>
    <row r="30" customFormat="false" ht="19.5" hidden="false" customHeight="true" outlineLevel="0" collapsed="false">
      <c r="A30" s="111" t="n">
        <v>1870</v>
      </c>
      <c r="B30" s="107" t="n">
        <f aca="false">IF(AND(A30&gt;=1914,A30&lt;=1918),entente_total*CHOOSE(A30-1913,0.05,0.1333,0.2333,0.3,0.2834),0)</f>
        <v>0</v>
      </c>
      <c r="C30" s="122" t="n">
        <f aca="false">IF(AND(A30&gt;=1914,A30&lt;=1918),Loans!L30,0)</f>
        <v>0</v>
      </c>
      <c r="D30" s="122" t="n">
        <f aca="false">Abroad!D30</f>
        <v>0</v>
      </c>
      <c r="E30" s="107" t="n">
        <f aca="false">B30*(1-entente_public-entente_private)</f>
        <v>0</v>
      </c>
      <c r="F30" s="123" t="n">
        <f aca="false">B30-SUM(C30:E30)</f>
        <v>0</v>
      </c>
      <c r="G30" s="107" t="n">
        <f aca="false">B30*uw_fee</f>
        <v>0</v>
      </c>
      <c r="H30" s="107" t="n">
        <f aca="false">B30-G30</f>
        <v>0</v>
      </c>
      <c r="I30" s="122" t="n">
        <f aca="false">H30*'Sources &amp; uses'!$E$31</f>
        <v>0</v>
      </c>
      <c r="J30" s="107" t="n">
        <f aca="false">H30-I30</f>
        <v>0</v>
      </c>
      <c r="K30" s="123" t="n">
        <f aca="false">B30-G30-I30-J30</f>
        <v>0</v>
      </c>
      <c r="L30" s="107" t="n">
        <f aca="false">O29</f>
        <v>0</v>
      </c>
      <c r="M30" s="122" t="n">
        <f aca="false">L30*Paths!AA30</f>
        <v>0</v>
      </c>
      <c r="N30" s="107" t="n">
        <f aca="false">IF(A30=1918,(L30+C30)*russia_writeoff,0)</f>
        <v>0</v>
      </c>
      <c r="O30" s="107" t="n">
        <f aca="false">L30+C30-M30-N30</f>
        <v>0</v>
      </c>
      <c r="P30" s="122" t="n">
        <f aca="false">L30*Paths!Z30*Paths!AB30</f>
        <v>0</v>
      </c>
      <c r="Q30" s="107" t="n">
        <f aca="false">T29</f>
        <v>0</v>
      </c>
      <c r="R30" s="122" t="n">
        <f aca="false">Q30*Paths!AA30</f>
        <v>0</v>
      </c>
      <c r="S30" s="107" t="n">
        <f aca="false">IF(A30=1918,(Q30+D30)*russia_writeoff,0)</f>
        <v>0</v>
      </c>
      <c r="T30" s="107" t="n">
        <f aca="false">Q30+D30-R30-S30</f>
        <v>0</v>
      </c>
      <c r="U30" s="122" t="n">
        <f aca="false">Q30*Paths!Z30*Paths!AB30</f>
        <v>0</v>
      </c>
      <c r="V30" s="107" t="n">
        <f aca="false">Y29</f>
        <v>0</v>
      </c>
      <c r="W30" s="122" t="n">
        <f aca="false">V30*Paths!AA30</f>
        <v>0</v>
      </c>
      <c r="X30" s="107" t="n">
        <f aca="false">IF(A30=1918,(V30+E30)*russia_writeoff,0)</f>
        <v>0</v>
      </c>
      <c r="Y30" s="107" t="n">
        <f aca="false">V30+E30-W30-X30</f>
        <v>0</v>
      </c>
      <c r="Z30" s="122" t="n">
        <f aca="false">V30*Paths!Z30*Paths!AB30</f>
        <v>0</v>
      </c>
      <c r="AA30" s="107" t="n">
        <f aca="false">O30+T30+Y30</f>
        <v>0</v>
      </c>
      <c r="AB30" s="107" t="n">
        <f aca="false">P30+U30+Z30</f>
        <v>0</v>
      </c>
      <c r="AC30" s="124" t="n">
        <f aca="false">IF(E30=0,0,IF(ISNUMBER('Sources &amp; uses'!$E$29),MAX(0,E30-'Sources &amp; uses'!$E$29),"n.a."))</f>
        <v>0</v>
      </c>
      <c r="AD30" s="122" t="str">
        <f aca="false">IF(E30=0,"No new subscription",IF(ISNUMBER('Sources &amp; uses'!$E$29),"MODEL capacity tested","Unverified"))</f>
        <v>No new subscription</v>
      </c>
    </row>
    <row r="31" customFormat="false" ht="19.5" hidden="false" customHeight="true" outlineLevel="0" collapsed="false">
      <c r="A31" s="111" t="n">
        <v>1871</v>
      </c>
      <c r="B31" s="107" t="n">
        <f aca="false">IF(AND(A31&gt;=1914,A31&lt;=1918),entente_total*CHOOSE(A31-1913,0.05,0.1333,0.2333,0.3,0.2834),0)</f>
        <v>0</v>
      </c>
      <c r="C31" s="122" t="n">
        <f aca="false">IF(AND(A31&gt;=1914,A31&lt;=1918),Loans!L31,0)</f>
        <v>0</v>
      </c>
      <c r="D31" s="122" t="n">
        <f aca="false">Abroad!D31</f>
        <v>0</v>
      </c>
      <c r="E31" s="107" t="n">
        <f aca="false">B31*(1-entente_public-entente_private)</f>
        <v>0</v>
      </c>
      <c r="F31" s="123" t="n">
        <f aca="false">B31-SUM(C31:E31)</f>
        <v>0</v>
      </c>
      <c r="G31" s="107" t="n">
        <f aca="false">B31*uw_fee</f>
        <v>0</v>
      </c>
      <c r="H31" s="107" t="n">
        <f aca="false">B31-G31</f>
        <v>0</v>
      </c>
      <c r="I31" s="122" t="n">
        <f aca="false">H31*'Sources &amp; uses'!$E$31</f>
        <v>0</v>
      </c>
      <c r="J31" s="107" t="n">
        <f aca="false">H31-I31</f>
        <v>0</v>
      </c>
      <c r="K31" s="123" t="n">
        <f aca="false">B31-G31-I31-J31</f>
        <v>0</v>
      </c>
      <c r="L31" s="107" t="n">
        <f aca="false">O30</f>
        <v>0</v>
      </c>
      <c r="M31" s="122" t="n">
        <f aca="false">L31*Paths!AA31</f>
        <v>0</v>
      </c>
      <c r="N31" s="107" t="n">
        <f aca="false">IF(A31=1918,(L31+C31)*russia_writeoff,0)</f>
        <v>0</v>
      </c>
      <c r="O31" s="107" t="n">
        <f aca="false">L31+C31-M31-N31</f>
        <v>0</v>
      </c>
      <c r="P31" s="122" t="n">
        <f aca="false">L31*Paths!Z31*Paths!AB31</f>
        <v>0</v>
      </c>
      <c r="Q31" s="107" t="n">
        <f aca="false">T30</f>
        <v>0</v>
      </c>
      <c r="R31" s="122" t="n">
        <f aca="false">Q31*Paths!AA31</f>
        <v>0</v>
      </c>
      <c r="S31" s="107" t="n">
        <f aca="false">IF(A31=1918,(Q31+D31)*russia_writeoff,0)</f>
        <v>0</v>
      </c>
      <c r="T31" s="107" t="n">
        <f aca="false">Q31+D31-R31-S31</f>
        <v>0</v>
      </c>
      <c r="U31" s="122" t="n">
        <f aca="false">Q31*Paths!Z31*Paths!AB31</f>
        <v>0</v>
      </c>
      <c r="V31" s="107" t="n">
        <f aca="false">Y30</f>
        <v>0</v>
      </c>
      <c r="W31" s="122" t="n">
        <f aca="false">V31*Paths!AA31</f>
        <v>0</v>
      </c>
      <c r="X31" s="107" t="n">
        <f aca="false">IF(A31=1918,(V31+E31)*russia_writeoff,0)</f>
        <v>0</v>
      </c>
      <c r="Y31" s="107" t="n">
        <f aca="false">V31+E31-W31-X31</f>
        <v>0</v>
      </c>
      <c r="Z31" s="122" t="n">
        <f aca="false">V31*Paths!Z31*Paths!AB31</f>
        <v>0</v>
      </c>
      <c r="AA31" s="107" t="n">
        <f aca="false">O31+T31+Y31</f>
        <v>0</v>
      </c>
      <c r="AB31" s="107" t="n">
        <f aca="false">P31+U31+Z31</f>
        <v>0</v>
      </c>
      <c r="AC31" s="124" t="n">
        <f aca="false">IF(E31=0,0,IF(ISNUMBER('Sources &amp; uses'!$E$29),MAX(0,E31-'Sources &amp; uses'!$E$29),"n.a."))</f>
        <v>0</v>
      </c>
      <c r="AD31" s="122" t="str">
        <f aca="false">IF(E31=0,"No new subscription",IF(ISNUMBER('Sources &amp; uses'!$E$29),"MODEL capacity tested","Unverified"))</f>
        <v>No new subscription</v>
      </c>
    </row>
    <row r="32" customFormat="false" ht="19.5" hidden="false" customHeight="true" outlineLevel="0" collapsed="false">
      <c r="A32" s="111" t="n">
        <v>1872</v>
      </c>
      <c r="B32" s="107" t="n">
        <f aca="false">IF(AND(A32&gt;=1914,A32&lt;=1918),entente_total*CHOOSE(A32-1913,0.05,0.1333,0.2333,0.3,0.2834),0)</f>
        <v>0</v>
      </c>
      <c r="C32" s="122" t="n">
        <f aca="false">IF(AND(A32&gt;=1914,A32&lt;=1918),Loans!L32,0)</f>
        <v>0</v>
      </c>
      <c r="D32" s="122" t="n">
        <f aca="false">Abroad!D32</f>
        <v>0</v>
      </c>
      <c r="E32" s="107" t="n">
        <f aca="false">B32*(1-entente_public-entente_private)</f>
        <v>0</v>
      </c>
      <c r="F32" s="123" t="n">
        <f aca="false">B32-SUM(C32:E32)</f>
        <v>0</v>
      </c>
      <c r="G32" s="107" t="n">
        <f aca="false">B32*uw_fee</f>
        <v>0</v>
      </c>
      <c r="H32" s="107" t="n">
        <f aca="false">B32-G32</f>
        <v>0</v>
      </c>
      <c r="I32" s="122" t="n">
        <f aca="false">H32*'Sources &amp; uses'!$E$31</f>
        <v>0</v>
      </c>
      <c r="J32" s="107" t="n">
        <f aca="false">H32-I32</f>
        <v>0</v>
      </c>
      <c r="K32" s="123" t="n">
        <f aca="false">B32-G32-I32-J32</f>
        <v>0</v>
      </c>
      <c r="L32" s="107" t="n">
        <f aca="false">O31</f>
        <v>0</v>
      </c>
      <c r="M32" s="122" t="n">
        <f aca="false">L32*Paths!AA32</f>
        <v>0</v>
      </c>
      <c r="N32" s="107" t="n">
        <f aca="false">IF(A32=1918,(L32+C32)*russia_writeoff,0)</f>
        <v>0</v>
      </c>
      <c r="O32" s="107" t="n">
        <f aca="false">L32+C32-M32-N32</f>
        <v>0</v>
      </c>
      <c r="P32" s="122" t="n">
        <f aca="false">L32*Paths!Z32*Paths!AB32</f>
        <v>0</v>
      </c>
      <c r="Q32" s="107" t="n">
        <f aca="false">T31</f>
        <v>0</v>
      </c>
      <c r="R32" s="122" t="n">
        <f aca="false">Q32*Paths!AA32</f>
        <v>0</v>
      </c>
      <c r="S32" s="107" t="n">
        <f aca="false">IF(A32=1918,(Q32+D32)*russia_writeoff,0)</f>
        <v>0</v>
      </c>
      <c r="T32" s="107" t="n">
        <f aca="false">Q32+D32-R32-S32</f>
        <v>0</v>
      </c>
      <c r="U32" s="122" t="n">
        <f aca="false">Q32*Paths!Z32*Paths!AB32</f>
        <v>0</v>
      </c>
      <c r="V32" s="107" t="n">
        <f aca="false">Y31</f>
        <v>0</v>
      </c>
      <c r="W32" s="122" t="n">
        <f aca="false">V32*Paths!AA32</f>
        <v>0</v>
      </c>
      <c r="X32" s="107" t="n">
        <f aca="false">IF(A32=1918,(V32+E32)*russia_writeoff,0)</f>
        <v>0</v>
      </c>
      <c r="Y32" s="107" t="n">
        <f aca="false">V32+E32-W32-X32</f>
        <v>0</v>
      </c>
      <c r="Z32" s="122" t="n">
        <f aca="false">V32*Paths!Z32*Paths!AB32</f>
        <v>0</v>
      </c>
      <c r="AA32" s="107" t="n">
        <f aca="false">O32+T32+Y32</f>
        <v>0</v>
      </c>
      <c r="AB32" s="107" t="n">
        <f aca="false">P32+U32+Z32</f>
        <v>0</v>
      </c>
      <c r="AC32" s="124" t="n">
        <f aca="false">IF(E32=0,0,IF(ISNUMBER('Sources &amp; uses'!$E$29),MAX(0,E32-'Sources &amp; uses'!$E$29),"n.a."))</f>
        <v>0</v>
      </c>
      <c r="AD32" s="122" t="str">
        <f aca="false">IF(E32=0,"No new subscription",IF(ISNUMBER('Sources &amp; uses'!$E$29),"MODEL capacity tested","Unverified"))</f>
        <v>No new subscription</v>
      </c>
    </row>
    <row r="33" customFormat="false" ht="19.5" hidden="false" customHeight="true" outlineLevel="0" collapsed="false">
      <c r="A33" s="111" t="n">
        <v>1873</v>
      </c>
      <c r="B33" s="107" t="n">
        <f aca="false">IF(AND(A33&gt;=1914,A33&lt;=1918),entente_total*CHOOSE(A33-1913,0.05,0.1333,0.2333,0.3,0.2834),0)</f>
        <v>0</v>
      </c>
      <c r="C33" s="122" t="n">
        <f aca="false">IF(AND(A33&gt;=1914,A33&lt;=1918),Loans!L33,0)</f>
        <v>0</v>
      </c>
      <c r="D33" s="122" t="n">
        <f aca="false">Abroad!D33</f>
        <v>0</v>
      </c>
      <c r="E33" s="107" t="n">
        <f aca="false">B33*(1-entente_public-entente_private)</f>
        <v>0</v>
      </c>
      <c r="F33" s="123" t="n">
        <f aca="false">B33-SUM(C33:E33)</f>
        <v>0</v>
      </c>
      <c r="G33" s="107" t="n">
        <f aca="false">B33*uw_fee</f>
        <v>0</v>
      </c>
      <c r="H33" s="107" t="n">
        <f aca="false">B33-G33</f>
        <v>0</v>
      </c>
      <c r="I33" s="122" t="n">
        <f aca="false">H33*'Sources &amp; uses'!$E$31</f>
        <v>0</v>
      </c>
      <c r="J33" s="107" t="n">
        <f aca="false">H33-I33</f>
        <v>0</v>
      </c>
      <c r="K33" s="123" t="n">
        <f aca="false">B33-G33-I33-J33</f>
        <v>0</v>
      </c>
      <c r="L33" s="107" t="n">
        <f aca="false">O32</f>
        <v>0</v>
      </c>
      <c r="M33" s="122" t="n">
        <f aca="false">L33*Paths!AA33</f>
        <v>0</v>
      </c>
      <c r="N33" s="107" t="n">
        <f aca="false">IF(A33=1918,(L33+C33)*russia_writeoff,0)</f>
        <v>0</v>
      </c>
      <c r="O33" s="107" t="n">
        <f aca="false">L33+C33-M33-N33</f>
        <v>0</v>
      </c>
      <c r="P33" s="122" t="n">
        <f aca="false">L33*Paths!Z33*Paths!AB33</f>
        <v>0</v>
      </c>
      <c r="Q33" s="107" t="n">
        <f aca="false">T32</f>
        <v>0</v>
      </c>
      <c r="R33" s="122" t="n">
        <f aca="false">Q33*Paths!AA33</f>
        <v>0</v>
      </c>
      <c r="S33" s="107" t="n">
        <f aca="false">IF(A33=1918,(Q33+D33)*russia_writeoff,0)</f>
        <v>0</v>
      </c>
      <c r="T33" s="107" t="n">
        <f aca="false">Q33+D33-R33-S33</f>
        <v>0</v>
      </c>
      <c r="U33" s="122" t="n">
        <f aca="false">Q33*Paths!Z33*Paths!AB33</f>
        <v>0</v>
      </c>
      <c r="V33" s="107" t="n">
        <f aca="false">Y32</f>
        <v>0</v>
      </c>
      <c r="W33" s="122" t="n">
        <f aca="false">V33*Paths!AA33</f>
        <v>0</v>
      </c>
      <c r="X33" s="107" t="n">
        <f aca="false">IF(A33=1918,(V33+E33)*russia_writeoff,0)</f>
        <v>0</v>
      </c>
      <c r="Y33" s="107" t="n">
        <f aca="false">V33+E33-W33-X33</f>
        <v>0</v>
      </c>
      <c r="Z33" s="122" t="n">
        <f aca="false">V33*Paths!Z33*Paths!AB33</f>
        <v>0</v>
      </c>
      <c r="AA33" s="107" t="n">
        <f aca="false">O33+T33+Y33</f>
        <v>0</v>
      </c>
      <c r="AB33" s="107" t="n">
        <f aca="false">P33+U33+Z33</f>
        <v>0</v>
      </c>
      <c r="AC33" s="124" t="n">
        <f aca="false">IF(E33=0,0,IF(ISNUMBER('Sources &amp; uses'!$E$29),MAX(0,E33-'Sources &amp; uses'!$E$29),"n.a."))</f>
        <v>0</v>
      </c>
      <c r="AD33" s="122" t="str">
        <f aca="false">IF(E33=0,"No new subscription",IF(ISNUMBER('Sources &amp; uses'!$E$29),"MODEL capacity tested","Unverified"))</f>
        <v>No new subscription</v>
      </c>
    </row>
    <row r="34" customFormat="false" ht="19.5" hidden="false" customHeight="true" outlineLevel="0" collapsed="false">
      <c r="A34" s="111" t="n">
        <v>1874</v>
      </c>
      <c r="B34" s="107" t="n">
        <f aca="false">IF(AND(A34&gt;=1914,A34&lt;=1918),entente_total*CHOOSE(A34-1913,0.05,0.1333,0.2333,0.3,0.2834),0)</f>
        <v>0</v>
      </c>
      <c r="C34" s="122" t="n">
        <f aca="false">IF(AND(A34&gt;=1914,A34&lt;=1918),Loans!L34,0)</f>
        <v>0</v>
      </c>
      <c r="D34" s="122" t="n">
        <f aca="false">Abroad!D34</f>
        <v>0</v>
      </c>
      <c r="E34" s="107" t="n">
        <f aca="false">B34*(1-entente_public-entente_private)</f>
        <v>0</v>
      </c>
      <c r="F34" s="123" t="n">
        <f aca="false">B34-SUM(C34:E34)</f>
        <v>0</v>
      </c>
      <c r="G34" s="107" t="n">
        <f aca="false">B34*uw_fee</f>
        <v>0</v>
      </c>
      <c r="H34" s="107" t="n">
        <f aca="false">B34-G34</f>
        <v>0</v>
      </c>
      <c r="I34" s="122" t="n">
        <f aca="false">H34*'Sources &amp; uses'!$E$31</f>
        <v>0</v>
      </c>
      <c r="J34" s="107" t="n">
        <f aca="false">H34-I34</f>
        <v>0</v>
      </c>
      <c r="K34" s="123" t="n">
        <f aca="false">B34-G34-I34-J34</f>
        <v>0</v>
      </c>
      <c r="L34" s="107" t="n">
        <f aca="false">O33</f>
        <v>0</v>
      </c>
      <c r="M34" s="122" t="n">
        <f aca="false">L34*Paths!AA34</f>
        <v>0</v>
      </c>
      <c r="N34" s="107" t="n">
        <f aca="false">IF(A34=1918,(L34+C34)*russia_writeoff,0)</f>
        <v>0</v>
      </c>
      <c r="O34" s="107" t="n">
        <f aca="false">L34+C34-M34-N34</f>
        <v>0</v>
      </c>
      <c r="P34" s="122" t="n">
        <f aca="false">L34*Paths!Z34*Paths!AB34</f>
        <v>0</v>
      </c>
      <c r="Q34" s="107" t="n">
        <f aca="false">T33</f>
        <v>0</v>
      </c>
      <c r="R34" s="122" t="n">
        <f aca="false">Q34*Paths!AA34</f>
        <v>0</v>
      </c>
      <c r="S34" s="107" t="n">
        <f aca="false">IF(A34=1918,(Q34+D34)*russia_writeoff,0)</f>
        <v>0</v>
      </c>
      <c r="T34" s="107" t="n">
        <f aca="false">Q34+D34-R34-S34</f>
        <v>0</v>
      </c>
      <c r="U34" s="122" t="n">
        <f aca="false">Q34*Paths!Z34*Paths!AB34</f>
        <v>0</v>
      </c>
      <c r="V34" s="107" t="n">
        <f aca="false">Y33</f>
        <v>0</v>
      </c>
      <c r="W34" s="122" t="n">
        <f aca="false">V34*Paths!AA34</f>
        <v>0</v>
      </c>
      <c r="X34" s="107" t="n">
        <f aca="false">IF(A34=1918,(V34+E34)*russia_writeoff,0)</f>
        <v>0</v>
      </c>
      <c r="Y34" s="107" t="n">
        <f aca="false">V34+E34-W34-X34</f>
        <v>0</v>
      </c>
      <c r="Z34" s="122" t="n">
        <f aca="false">V34*Paths!Z34*Paths!AB34</f>
        <v>0</v>
      </c>
      <c r="AA34" s="107" t="n">
        <f aca="false">O34+T34+Y34</f>
        <v>0</v>
      </c>
      <c r="AB34" s="107" t="n">
        <f aca="false">P34+U34+Z34</f>
        <v>0</v>
      </c>
      <c r="AC34" s="124" t="n">
        <f aca="false">IF(E34=0,0,IF(ISNUMBER('Sources &amp; uses'!$E$29),MAX(0,E34-'Sources &amp; uses'!$E$29),"n.a."))</f>
        <v>0</v>
      </c>
      <c r="AD34" s="122" t="str">
        <f aca="false">IF(E34=0,"No new subscription",IF(ISNUMBER('Sources &amp; uses'!$E$29),"MODEL capacity tested","Unverified"))</f>
        <v>No new subscription</v>
      </c>
    </row>
    <row r="35" customFormat="false" ht="19.5" hidden="false" customHeight="true" outlineLevel="0" collapsed="false">
      <c r="A35" s="111" t="n">
        <v>1875</v>
      </c>
      <c r="B35" s="107" t="n">
        <f aca="false">IF(AND(A35&gt;=1914,A35&lt;=1918),entente_total*CHOOSE(A35-1913,0.05,0.1333,0.2333,0.3,0.2834),0)</f>
        <v>0</v>
      </c>
      <c r="C35" s="122" t="n">
        <f aca="false">IF(AND(A35&gt;=1914,A35&lt;=1918),Loans!L35,0)</f>
        <v>0</v>
      </c>
      <c r="D35" s="122" t="n">
        <f aca="false">Abroad!D35</f>
        <v>0</v>
      </c>
      <c r="E35" s="107" t="n">
        <f aca="false">B35*(1-entente_public-entente_private)</f>
        <v>0</v>
      </c>
      <c r="F35" s="123" t="n">
        <f aca="false">B35-SUM(C35:E35)</f>
        <v>0</v>
      </c>
      <c r="G35" s="107" t="n">
        <f aca="false">B35*uw_fee</f>
        <v>0</v>
      </c>
      <c r="H35" s="107" t="n">
        <f aca="false">B35-G35</f>
        <v>0</v>
      </c>
      <c r="I35" s="122" t="n">
        <f aca="false">H35*'Sources &amp; uses'!$E$31</f>
        <v>0</v>
      </c>
      <c r="J35" s="107" t="n">
        <f aca="false">H35-I35</f>
        <v>0</v>
      </c>
      <c r="K35" s="123" t="n">
        <f aca="false">B35-G35-I35-J35</f>
        <v>0</v>
      </c>
      <c r="L35" s="107" t="n">
        <f aca="false">O34</f>
        <v>0</v>
      </c>
      <c r="M35" s="122" t="n">
        <f aca="false">L35*Paths!AA35</f>
        <v>0</v>
      </c>
      <c r="N35" s="107" t="n">
        <f aca="false">IF(A35=1918,(L35+C35)*russia_writeoff,0)</f>
        <v>0</v>
      </c>
      <c r="O35" s="107" t="n">
        <f aca="false">L35+C35-M35-N35</f>
        <v>0</v>
      </c>
      <c r="P35" s="122" t="n">
        <f aca="false">L35*Paths!Z35*Paths!AB35</f>
        <v>0</v>
      </c>
      <c r="Q35" s="107" t="n">
        <f aca="false">T34</f>
        <v>0</v>
      </c>
      <c r="R35" s="122" t="n">
        <f aca="false">Q35*Paths!AA35</f>
        <v>0</v>
      </c>
      <c r="S35" s="107" t="n">
        <f aca="false">IF(A35=1918,(Q35+D35)*russia_writeoff,0)</f>
        <v>0</v>
      </c>
      <c r="T35" s="107" t="n">
        <f aca="false">Q35+D35-R35-S35</f>
        <v>0</v>
      </c>
      <c r="U35" s="122" t="n">
        <f aca="false">Q35*Paths!Z35*Paths!AB35</f>
        <v>0</v>
      </c>
      <c r="V35" s="107" t="n">
        <f aca="false">Y34</f>
        <v>0</v>
      </c>
      <c r="W35" s="122" t="n">
        <f aca="false">V35*Paths!AA35</f>
        <v>0</v>
      </c>
      <c r="X35" s="107" t="n">
        <f aca="false">IF(A35=1918,(V35+E35)*russia_writeoff,0)</f>
        <v>0</v>
      </c>
      <c r="Y35" s="107" t="n">
        <f aca="false">V35+E35-W35-X35</f>
        <v>0</v>
      </c>
      <c r="Z35" s="122" t="n">
        <f aca="false">V35*Paths!Z35*Paths!AB35</f>
        <v>0</v>
      </c>
      <c r="AA35" s="107" t="n">
        <f aca="false">O35+T35+Y35</f>
        <v>0</v>
      </c>
      <c r="AB35" s="107" t="n">
        <f aca="false">P35+U35+Z35</f>
        <v>0</v>
      </c>
      <c r="AC35" s="124" t="n">
        <f aca="false">IF(E35=0,0,IF(ISNUMBER('Sources &amp; uses'!$E$29),MAX(0,E35-'Sources &amp; uses'!$E$29),"n.a."))</f>
        <v>0</v>
      </c>
      <c r="AD35" s="122" t="str">
        <f aca="false">IF(E35=0,"No new subscription",IF(ISNUMBER('Sources &amp; uses'!$E$29),"MODEL capacity tested","Unverified"))</f>
        <v>No new subscription</v>
      </c>
    </row>
    <row r="36" customFormat="false" ht="19.5" hidden="false" customHeight="true" outlineLevel="0" collapsed="false">
      <c r="A36" s="111" t="n">
        <v>1876</v>
      </c>
      <c r="B36" s="107" t="n">
        <f aca="false">IF(AND(A36&gt;=1914,A36&lt;=1918),entente_total*CHOOSE(A36-1913,0.05,0.1333,0.2333,0.3,0.2834),0)</f>
        <v>0</v>
      </c>
      <c r="C36" s="122" t="n">
        <f aca="false">IF(AND(A36&gt;=1914,A36&lt;=1918),Loans!L36,0)</f>
        <v>0</v>
      </c>
      <c r="D36" s="122" t="n">
        <f aca="false">Abroad!D36</f>
        <v>0</v>
      </c>
      <c r="E36" s="107" t="n">
        <f aca="false">B36*(1-entente_public-entente_private)</f>
        <v>0</v>
      </c>
      <c r="F36" s="123" t="n">
        <f aca="false">B36-SUM(C36:E36)</f>
        <v>0</v>
      </c>
      <c r="G36" s="107" t="n">
        <f aca="false">B36*uw_fee</f>
        <v>0</v>
      </c>
      <c r="H36" s="107" t="n">
        <f aca="false">B36-G36</f>
        <v>0</v>
      </c>
      <c r="I36" s="122" t="n">
        <f aca="false">H36*'Sources &amp; uses'!$E$31</f>
        <v>0</v>
      </c>
      <c r="J36" s="107" t="n">
        <f aca="false">H36-I36</f>
        <v>0</v>
      </c>
      <c r="K36" s="123" t="n">
        <f aca="false">B36-G36-I36-J36</f>
        <v>0</v>
      </c>
      <c r="L36" s="107" t="n">
        <f aca="false">O35</f>
        <v>0</v>
      </c>
      <c r="M36" s="122" t="n">
        <f aca="false">L36*Paths!AA36</f>
        <v>0</v>
      </c>
      <c r="N36" s="107" t="n">
        <f aca="false">IF(A36=1918,(L36+C36)*russia_writeoff,0)</f>
        <v>0</v>
      </c>
      <c r="O36" s="107" t="n">
        <f aca="false">L36+C36-M36-N36</f>
        <v>0</v>
      </c>
      <c r="P36" s="122" t="n">
        <f aca="false">L36*Paths!Z36*Paths!AB36</f>
        <v>0</v>
      </c>
      <c r="Q36" s="107" t="n">
        <f aca="false">T35</f>
        <v>0</v>
      </c>
      <c r="R36" s="122" t="n">
        <f aca="false">Q36*Paths!AA36</f>
        <v>0</v>
      </c>
      <c r="S36" s="107" t="n">
        <f aca="false">IF(A36=1918,(Q36+D36)*russia_writeoff,0)</f>
        <v>0</v>
      </c>
      <c r="T36" s="107" t="n">
        <f aca="false">Q36+D36-R36-S36</f>
        <v>0</v>
      </c>
      <c r="U36" s="122" t="n">
        <f aca="false">Q36*Paths!Z36*Paths!AB36</f>
        <v>0</v>
      </c>
      <c r="V36" s="107" t="n">
        <f aca="false">Y35</f>
        <v>0</v>
      </c>
      <c r="W36" s="122" t="n">
        <f aca="false">V36*Paths!AA36</f>
        <v>0</v>
      </c>
      <c r="X36" s="107" t="n">
        <f aca="false">IF(A36=1918,(V36+E36)*russia_writeoff,0)</f>
        <v>0</v>
      </c>
      <c r="Y36" s="107" t="n">
        <f aca="false">V36+E36-W36-X36</f>
        <v>0</v>
      </c>
      <c r="Z36" s="122" t="n">
        <f aca="false">V36*Paths!Z36*Paths!AB36</f>
        <v>0</v>
      </c>
      <c r="AA36" s="107" t="n">
        <f aca="false">O36+T36+Y36</f>
        <v>0</v>
      </c>
      <c r="AB36" s="107" t="n">
        <f aca="false">P36+U36+Z36</f>
        <v>0</v>
      </c>
      <c r="AC36" s="124" t="n">
        <f aca="false">IF(E36=0,0,IF(ISNUMBER('Sources &amp; uses'!$E$29),MAX(0,E36-'Sources &amp; uses'!$E$29),"n.a."))</f>
        <v>0</v>
      </c>
      <c r="AD36" s="122" t="str">
        <f aca="false">IF(E36=0,"No new subscription",IF(ISNUMBER('Sources &amp; uses'!$E$29),"MODEL capacity tested","Unverified"))</f>
        <v>No new subscription</v>
      </c>
    </row>
    <row r="37" customFormat="false" ht="19.5" hidden="false" customHeight="true" outlineLevel="0" collapsed="false">
      <c r="A37" s="111" t="n">
        <v>1877</v>
      </c>
      <c r="B37" s="107" t="n">
        <f aca="false">IF(AND(A37&gt;=1914,A37&lt;=1918),entente_total*CHOOSE(A37-1913,0.05,0.1333,0.2333,0.3,0.2834),0)</f>
        <v>0</v>
      </c>
      <c r="C37" s="122" t="n">
        <f aca="false">IF(AND(A37&gt;=1914,A37&lt;=1918),Loans!L37,0)</f>
        <v>0</v>
      </c>
      <c r="D37" s="122" t="n">
        <f aca="false">Abroad!D37</f>
        <v>0</v>
      </c>
      <c r="E37" s="107" t="n">
        <f aca="false">B37*(1-entente_public-entente_private)</f>
        <v>0</v>
      </c>
      <c r="F37" s="123" t="n">
        <f aca="false">B37-SUM(C37:E37)</f>
        <v>0</v>
      </c>
      <c r="G37" s="107" t="n">
        <f aca="false">B37*uw_fee</f>
        <v>0</v>
      </c>
      <c r="H37" s="107" t="n">
        <f aca="false">B37-G37</f>
        <v>0</v>
      </c>
      <c r="I37" s="122" t="n">
        <f aca="false">H37*'Sources &amp; uses'!$E$31</f>
        <v>0</v>
      </c>
      <c r="J37" s="107" t="n">
        <f aca="false">H37-I37</f>
        <v>0</v>
      </c>
      <c r="K37" s="123" t="n">
        <f aca="false">B37-G37-I37-J37</f>
        <v>0</v>
      </c>
      <c r="L37" s="107" t="n">
        <f aca="false">O36</f>
        <v>0</v>
      </c>
      <c r="M37" s="122" t="n">
        <f aca="false">L37*Paths!AA37</f>
        <v>0</v>
      </c>
      <c r="N37" s="107" t="n">
        <f aca="false">IF(A37=1918,(L37+C37)*russia_writeoff,0)</f>
        <v>0</v>
      </c>
      <c r="O37" s="107" t="n">
        <f aca="false">L37+C37-M37-N37</f>
        <v>0</v>
      </c>
      <c r="P37" s="122" t="n">
        <f aca="false">L37*Paths!Z37*Paths!AB37</f>
        <v>0</v>
      </c>
      <c r="Q37" s="107" t="n">
        <f aca="false">T36</f>
        <v>0</v>
      </c>
      <c r="R37" s="122" t="n">
        <f aca="false">Q37*Paths!AA37</f>
        <v>0</v>
      </c>
      <c r="S37" s="107" t="n">
        <f aca="false">IF(A37=1918,(Q37+D37)*russia_writeoff,0)</f>
        <v>0</v>
      </c>
      <c r="T37" s="107" t="n">
        <f aca="false">Q37+D37-R37-S37</f>
        <v>0</v>
      </c>
      <c r="U37" s="122" t="n">
        <f aca="false">Q37*Paths!Z37*Paths!AB37</f>
        <v>0</v>
      </c>
      <c r="V37" s="107" t="n">
        <f aca="false">Y36</f>
        <v>0</v>
      </c>
      <c r="W37" s="122" t="n">
        <f aca="false">V37*Paths!AA37</f>
        <v>0</v>
      </c>
      <c r="X37" s="107" t="n">
        <f aca="false">IF(A37=1918,(V37+E37)*russia_writeoff,0)</f>
        <v>0</v>
      </c>
      <c r="Y37" s="107" t="n">
        <f aca="false">V37+E37-W37-X37</f>
        <v>0</v>
      </c>
      <c r="Z37" s="122" t="n">
        <f aca="false">V37*Paths!Z37*Paths!AB37</f>
        <v>0</v>
      </c>
      <c r="AA37" s="107" t="n">
        <f aca="false">O37+T37+Y37</f>
        <v>0</v>
      </c>
      <c r="AB37" s="107" t="n">
        <f aca="false">P37+U37+Z37</f>
        <v>0</v>
      </c>
      <c r="AC37" s="124" t="n">
        <f aca="false">IF(E37=0,0,IF(ISNUMBER('Sources &amp; uses'!$E$29),MAX(0,E37-'Sources &amp; uses'!$E$29),"n.a."))</f>
        <v>0</v>
      </c>
      <c r="AD37" s="122" t="str">
        <f aca="false">IF(E37=0,"No new subscription",IF(ISNUMBER('Sources &amp; uses'!$E$29),"MODEL capacity tested","Unverified"))</f>
        <v>No new subscription</v>
      </c>
    </row>
    <row r="38" customFormat="false" ht="19.5" hidden="false" customHeight="true" outlineLevel="0" collapsed="false">
      <c r="A38" s="111" t="n">
        <v>1878</v>
      </c>
      <c r="B38" s="107" t="n">
        <f aca="false">IF(AND(A38&gt;=1914,A38&lt;=1918),entente_total*CHOOSE(A38-1913,0.05,0.1333,0.2333,0.3,0.2834),0)</f>
        <v>0</v>
      </c>
      <c r="C38" s="122" t="n">
        <f aca="false">IF(AND(A38&gt;=1914,A38&lt;=1918),Loans!L38,0)</f>
        <v>0</v>
      </c>
      <c r="D38" s="122" t="n">
        <f aca="false">Abroad!D38</f>
        <v>0</v>
      </c>
      <c r="E38" s="107" t="n">
        <f aca="false">B38*(1-entente_public-entente_private)</f>
        <v>0</v>
      </c>
      <c r="F38" s="123" t="n">
        <f aca="false">B38-SUM(C38:E38)</f>
        <v>0</v>
      </c>
      <c r="G38" s="107" t="n">
        <f aca="false">B38*uw_fee</f>
        <v>0</v>
      </c>
      <c r="H38" s="107" t="n">
        <f aca="false">B38-G38</f>
        <v>0</v>
      </c>
      <c r="I38" s="122" t="n">
        <f aca="false">H38*'Sources &amp; uses'!$E$31</f>
        <v>0</v>
      </c>
      <c r="J38" s="107" t="n">
        <f aca="false">H38-I38</f>
        <v>0</v>
      </c>
      <c r="K38" s="123" t="n">
        <f aca="false">B38-G38-I38-J38</f>
        <v>0</v>
      </c>
      <c r="L38" s="107" t="n">
        <f aca="false">O37</f>
        <v>0</v>
      </c>
      <c r="M38" s="122" t="n">
        <f aca="false">L38*Paths!AA38</f>
        <v>0</v>
      </c>
      <c r="N38" s="107" t="n">
        <f aca="false">IF(A38=1918,(L38+C38)*russia_writeoff,0)</f>
        <v>0</v>
      </c>
      <c r="O38" s="107" t="n">
        <f aca="false">L38+C38-M38-N38</f>
        <v>0</v>
      </c>
      <c r="P38" s="122" t="n">
        <f aca="false">L38*Paths!Z38*Paths!AB38</f>
        <v>0</v>
      </c>
      <c r="Q38" s="107" t="n">
        <f aca="false">T37</f>
        <v>0</v>
      </c>
      <c r="R38" s="122" t="n">
        <f aca="false">Q38*Paths!AA38</f>
        <v>0</v>
      </c>
      <c r="S38" s="107" t="n">
        <f aca="false">IF(A38=1918,(Q38+D38)*russia_writeoff,0)</f>
        <v>0</v>
      </c>
      <c r="T38" s="107" t="n">
        <f aca="false">Q38+D38-R38-S38</f>
        <v>0</v>
      </c>
      <c r="U38" s="122" t="n">
        <f aca="false">Q38*Paths!Z38*Paths!AB38</f>
        <v>0</v>
      </c>
      <c r="V38" s="107" t="n">
        <f aca="false">Y37</f>
        <v>0</v>
      </c>
      <c r="W38" s="122" t="n">
        <f aca="false">V38*Paths!AA38</f>
        <v>0</v>
      </c>
      <c r="X38" s="107" t="n">
        <f aca="false">IF(A38=1918,(V38+E38)*russia_writeoff,0)</f>
        <v>0</v>
      </c>
      <c r="Y38" s="107" t="n">
        <f aca="false">V38+E38-W38-X38</f>
        <v>0</v>
      </c>
      <c r="Z38" s="122" t="n">
        <f aca="false">V38*Paths!Z38*Paths!AB38</f>
        <v>0</v>
      </c>
      <c r="AA38" s="107" t="n">
        <f aca="false">O38+T38+Y38</f>
        <v>0</v>
      </c>
      <c r="AB38" s="107" t="n">
        <f aca="false">P38+U38+Z38</f>
        <v>0</v>
      </c>
      <c r="AC38" s="124" t="n">
        <f aca="false">IF(E38=0,0,IF(ISNUMBER('Sources &amp; uses'!$E$29),MAX(0,E38-'Sources &amp; uses'!$E$29),"n.a."))</f>
        <v>0</v>
      </c>
      <c r="AD38" s="122" t="str">
        <f aca="false">IF(E38=0,"No new subscription",IF(ISNUMBER('Sources &amp; uses'!$E$29),"MODEL capacity tested","Unverified"))</f>
        <v>No new subscription</v>
      </c>
    </row>
    <row r="39" customFormat="false" ht="19.5" hidden="false" customHeight="true" outlineLevel="0" collapsed="false">
      <c r="A39" s="111" t="n">
        <v>1879</v>
      </c>
      <c r="B39" s="107" t="n">
        <f aca="false">IF(AND(A39&gt;=1914,A39&lt;=1918),entente_total*CHOOSE(A39-1913,0.05,0.1333,0.2333,0.3,0.2834),0)</f>
        <v>0</v>
      </c>
      <c r="C39" s="122" t="n">
        <f aca="false">IF(AND(A39&gt;=1914,A39&lt;=1918),Loans!L39,0)</f>
        <v>0</v>
      </c>
      <c r="D39" s="122" t="n">
        <f aca="false">Abroad!D39</f>
        <v>0</v>
      </c>
      <c r="E39" s="107" t="n">
        <f aca="false">B39*(1-entente_public-entente_private)</f>
        <v>0</v>
      </c>
      <c r="F39" s="123" t="n">
        <f aca="false">B39-SUM(C39:E39)</f>
        <v>0</v>
      </c>
      <c r="G39" s="107" t="n">
        <f aca="false">B39*uw_fee</f>
        <v>0</v>
      </c>
      <c r="H39" s="107" t="n">
        <f aca="false">B39-G39</f>
        <v>0</v>
      </c>
      <c r="I39" s="122" t="n">
        <f aca="false">H39*'Sources &amp; uses'!$E$31</f>
        <v>0</v>
      </c>
      <c r="J39" s="107" t="n">
        <f aca="false">H39-I39</f>
        <v>0</v>
      </c>
      <c r="K39" s="123" t="n">
        <f aca="false">B39-G39-I39-J39</f>
        <v>0</v>
      </c>
      <c r="L39" s="107" t="n">
        <f aca="false">O38</f>
        <v>0</v>
      </c>
      <c r="M39" s="122" t="n">
        <f aca="false">L39*Paths!AA39</f>
        <v>0</v>
      </c>
      <c r="N39" s="107" t="n">
        <f aca="false">IF(A39=1918,(L39+C39)*russia_writeoff,0)</f>
        <v>0</v>
      </c>
      <c r="O39" s="107" t="n">
        <f aca="false">L39+C39-M39-N39</f>
        <v>0</v>
      </c>
      <c r="P39" s="122" t="n">
        <f aca="false">L39*Paths!Z39*Paths!AB39</f>
        <v>0</v>
      </c>
      <c r="Q39" s="107" t="n">
        <f aca="false">T38</f>
        <v>0</v>
      </c>
      <c r="R39" s="122" t="n">
        <f aca="false">Q39*Paths!AA39</f>
        <v>0</v>
      </c>
      <c r="S39" s="107" t="n">
        <f aca="false">IF(A39=1918,(Q39+D39)*russia_writeoff,0)</f>
        <v>0</v>
      </c>
      <c r="T39" s="107" t="n">
        <f aca="false">Q39+D39-R39-S39</f>
        <v>0</v>
      </c>
      <c r="U39" s="122" t="n">
        <f aca="false">Q39*Paths!Z39*Paths!AB39</f>
        <v>0</v>
      </c>
      <c r="V39" s="107" t="n">
        <f aca="false">Y38</f>
        <v>0</v>
      </c>
      <c r="W39" s="122" t="n">
        <f aca="false">V39*Paths!AA39</f>
        <v>0</v>
      </c>
      <c r="X39" s="107" t="n">
        <f aca="false">IF(A39=1918,(V39+E39)*russia_writeoff,0)</f>
        <v>0</v>
      </c>
      <c r="Y39" s="107" t="n">
        <f aca="false">V39+E39-W39-X39</f>
        <v>0</v>
      </c>
      <c r="Z39" s="122" t="n">
        <f aca="false">V39*Paths!Z39*Paths!AB39</f>
        <v>0</v>
      </c>
      <c r="AA39" s="107" t="n">
        <f aca="false">O39+T39+Y39</f>
        <v>0</v>
      </c>
      <c r="AB39" s="107" t="n">
        <f aca="false">P39+U39+Z39</f>
        <v>0</v>
      </c>
      <c r="AC39" s="124" t="n">
        <f aca="false">IF(E39=0,0,IF(ISNUMBER('Sources &amp; uses'!$E$29),MAX(0,E39-'Sources &amp; uses'!$E$29),"n.a."))</f>
        <v>0</v>
      </c>
      <c r="AD39" s="122" t="str">
        <f aca="false">IF(E39=0,"No new subscription",IF(ISNUMBER('Sources &amp; uses'!$E$29),"MODEL capacity tested","Unverified"))</f>
        <v>No new subscription</v>
      </c>
    </row>
    <row r="40" customFormat="false" ht="19.5" hidden="false" customHeight="true" outlineLevel="0" collapsed="false">
      <c r="A40" s="111" t="n">
        <v>1880</v>
      </c>
      <c r="B40" s="107" t="n">
        <f aca="false">IF(AND(A40&gt;=1914,A40&lt;=1918),entente_total*CHOOSE(A40-1913,0.05,0.1333,0.2333,0.3,0.2834),0)</f>
        <v>0</v>
      </c>
      <c r="C40" s="122" t="n">
        <f aca="false">IF(AND(A40&gt;=1914,A40&lt;=1918),Loans!L40,0)</f>
        <v>0</v>
      </c>
      <c r="D40" s="122" t="n">
        <f aca="false">Abroad!D40</f>
        <v>0</v>
      </c>
      <c r="E40" s="107" t="n">
        <f aca="false">B40*(1-entente_public-entente_private)</f>
        <v>0</v>
      </c>
      <c r="F40" s="123" t="n">
        <f aca="false">B40-SUM(C40:E40)</f>
        <v>0</v>
      </c>
      <c r="G40" s="107" t="n">
        <f aca="false">B40*uw_fee</f>
        <v>0</v>
      </c>
      <c r="H40" s="107" t="n">
        <f aca="false">B40-G40</f>
        <v>0</v>
      </c>
      <c r="I40" s="122" t="n">
        <f aca="false">H40*'Sources &amp; uses'!$E$31</f>
        <v>0</v>
      </c>
      <c r="J40" s="107" t="n">
        <f aca="false">H40-I40</f>
        <v>0</v>
      </c>
      <c r="K40" s="123" t="n">
        <f aca="false">B40-G40-I40-J40</f>
        <v>0</v>
      </c>
      <c r="L40" s="107" t="n">
        <f aca="false">O39</f>
        <v>0</v>
      </c>
      <c r="M40" s="122" t="n">
        <f aca="false">L40*Paths!AA40</f>
        <v>0</v>
      </c>
      <c r="N40" s="107" t="n">
        <f aca="false">IF(A40=1918,(L40+C40)*russia_writeoff,0)</f>
        <v>0</v>
      </c>
      <c r="O40" s="107" t="n">
        <f aca="false">L40+C40-M40-N40</f>
        <v>0</v>
      </c>
      <c r="P40" s="122" t="n">
        <f aca="false">L40*Paths!Z40*Paths!AB40</f>
        <v>0</v>
      </c>
      <c r="Q40" s="107" t="n">
        <f aca="false">T39</f>
        <v>0</v>
      </c>
      <c r="R40" s="122" t="n">
        <f aca="false">Q40*Paths!AA40</f>
        <v>0</v>
      </c>
      <c r="S40" s="107" t="n">
        <f aca="false">IF(A40=1918,(Q40+D40)*russia_writeoff,0)</f>
        <v>0</v>
      </c>
      <c r="T40" s="107" t="n">
        <f aca="false">Q40+D40-R40-S40</f>
        <v>0</v>
      </c>
      <c r="U40" s="122" t="n">
        <f aca="false">Q40*Paths!Z40*Paths!AB40</f>
        <v>0</v>
      </c>
      <c r="V40" s="107" t="n">
        <f aca="false">Y39</f>
        <v>0</v>
      </c>
      <c r="W40" s="122" t="n">
        <f aca="false">V40*Paths!AA40</f>
        <v>0</v>
      </c>
      <c r="X40" s="107" t="n">
        <f aca="false">IF(A40=1918,(V40+E40)*russia_writeoff,0)</f>
        <v>0</v>
      </c>
      <c r="Y40" s="107" t="n">
        <f aca="false">V40+E40-W40-X40</f>
        <v>0</v>
      </c>
      <c r="Z40" s="122" t="n">
        <f aca="false">V40*Paths!Z40*Paths!AB40</f>
        <v>0</v>
      </c>
      <c r="AA40" s="107" t="n">
        <f aca="false">O40+T40+Y40</f>
        <v>0</v>
      </c>
      <c r="AB40" s="107" t="n">
        <f aca="false">P40+U40+Z40</f>
        <v>0</v>
      </c>
      <c r="AC40" s="124" t="n">
        <f aca="false">IF(E40=0,0,IF(ISNUMBER('Sources &amp; uses'!$E$29),MAX(0,E40-'Sources &amp; uses'!$E$29),"n.a."))</f>
        <v>0</v>
      </c>
      <c r="AD40" s="122" t="str">
        <f aca="false">IF(E40=0,"No new subscription",IF(ISNUMBER('Sources &amp; uses'!$E$29),"MODEL capacity tested","Unverified"))</f>
        <v>No new subscription</v>
      </c>
    </row>
    <row r="41" customFormat="false" ht="19.5" hidden="false" customHeight="true" outlineLevel="0" collapsed="false">
      <c r="A41" s="111" t="n">
        <v>1881</v>
      </c>
      <c r="B41" s="107" t="n">
        <f aca="false">IF(AND(A41&gt;=1914,A41&lt;=1918),entente_total*CHOOSE(A41-1913,0.05,0.1333,0.2333,0.3,0.2834),0)</f>
        <v>0</v>
      </c>
      <c r="C41" s="122" t="n">
        <f aca="false">IF(AND(A41&gt;=1914,A41&lt;=1918),Loans!L41,0)</f>
        <v>0</v>
      </c>
      <c r="D41" s="122" t="n">
        <f aca="false">Abroad!D41</f>
        <v>0</v>
      </c>
      <c r="E41" s="107" t="n">
        <f aca="false">B41*(1-entente_public-entente_private)</f>
        <v>0</v>
      </c>
      <c r="F41" s="123" t="n">
        <f aca="false">B41-SUM(C41:E41)</f>
        <v>0</v>
      </c>
      <c r="G41" s="107" t="n">
        <f aca="false">B41*uw_fee</f>
        <v>0</v>
      </c>
      <c r="H41" s="107" t="n">
        <f aca="false">B41-G41</f>
        <v>0</v>
      </c>
      <c r="I41" s="122" t="n">
        <f aca="false">H41*'Sources &amp; uses'!$E$31</f>
        <v>0</v>
      </c>
      <c r="J41" s="107" t="n">
        <f aca="false">H41-I41</f>
        <v>0</v>
      </c>
      <c r="K41" s="123" t="n">
        <f aca="false">B41-G41-I41-J41</f>
        <v>0</v>
      </c>
      <c r="L41" s="107" t="n">
        <f aca="false">O40</f>
        <v>0</v>
      </c>
      <c r="M41" s="122" t="n">
        <f aca="false">L41*Paths!AA41</f>
        <v>0</v>
      </c>
      <c r="N41" s="107" t="n">
        <f aca="false">IF(A41=1918,(L41+C41)*russia_writeoff,0)</f>
        <v>0</v>
      </c>
      <c r="O41" s="107" t="n">
        <f aca="false">L41+C41-M41-N41</f>
        <v>0</v>
      </c>
      <c r="P41" s="122" t="n">
        <f aca="false">L41*Paths!Z41*Paths!AB41</f>
        <v>0</v>
      </c>
      <c r="Q41" s="107" t="n">
        <f aca="false">T40</f>
        <v>0</v>
      </c>
      <c r="R41" s="122" t="n">
        <f aca="false">Q41*Paths!AA41</f>
        <v>0</v>
      </c>
      <c r="S41" s="107" t="n">
        <f aca="false">IF(A41=1918,(Q41+D41)*russia_writeoff,0)</f>
        <v>0</v>
      </c>
      <c r="T41" s="107" t="n">
        <f aca="false">Q41+D41-R41-S41</f>
        <v>0</v>
      </c>
      <c r="U41" s="122" t="n">
        <f aca="false">Q41*Paths!Z41*Paths!AB41</f>
        <v>0</v>
      </c>
      <c r="V41" s="107" t="n">
        <f aca="false">Y40</f>
        <v>0</v>
      </c>
      <c r="W41" s="122" t="n">
        <f aca="false">V41*Paths!AA41</f>
        <v>0</v>
      </c>
      <c r="X41" s="107" t="n">
        <f aca="false">IF(A41=1918,(V41+E41)*russia_writeoff,0)</f>
        <v>0</v>
      </c>
      <c r="Y41" s="107" t="n">
        <f aca="false">V41+E41-W41-X41</f>
        <v>0</v>
      </c>
      <c r="Z41" s="122" t="n">
        <f aca="false">V41*Paths!Z41*Paths!AB41</f>
        <v>0</v>
      </c>
      <c r="AA41" s="107" t="n">
        <f aca="false">O41+T41+Y41</f>
        <v>0</v>
      </c>
      <c r="AB41" s="107" t="n">
        <f aca="false">P41+U41+Z41</f>
        <v>0</v>
      </c>
      <c r="AC41" s="124" t="n">
        <f aca="false">IF(E41=0,0,IF(ISNUMBER('Sources &amp; uses'!$E$29),MAX(0,E41-'Sources &amp; uses'!$E$29),"n.a."))</f>
        <v>0</v>
      </c>
      <c r="AD41" s="122" t="str">
        <f aca="false">IF(E41=0,"No new subscription",IF(ISNUMBER('Sources &amp; uses'!$E$29),"MODEL capacity tested","Unverified"))</f>
        <v>No new subscription</v>
      </c>
    </row>
    <row r="42" customFormat="false" ht="19.5" hidden="false" customHeight="true" outlineLevel="0" collapsed="false">
      <c r="A42" s="111" t="n">
        <v>1882</v>
      </c>
      <c r="B42" s="107" t="n">
        <f aca="false">IF(AND(A42&gt;=1914,A42&lt;=1918),entente_total*CHOOSE(A42-1913,0.05,0.1333,0.2333,0.3,0.2834),0)</f>
        <v>0</v>
      </c>
      <c r="C42" s="122" t="n">
        <f aca="false">IF(AND(A42&gt;=1914,A42&lt;=1918),Loans!L42,0)</f>
        <v>0</v>
      </c>
      <c r="D42" s="122" t="n">
        <f aca="false">Abroad!D42</f>
        <v>0</v>
      </c>
      <c r="E42" s="107" t="n">
        <f aca="false">B42*(1-entente_public-entente_private)</f>
        <v>0</v>
      </c>
      <c r="F42" s="123" t="n">
        <f aca="false">B42-SUM(C42:E42)</f>
        <v>0</v>
      </c>
      <c r="G42" s="107" t="n">
        <f aca="false">B42*uw_fee</f>
        <v>0</v>
      </c>
      <c r="H42" s="107" t="n">
        <f aca="false">B42-G42</f>
        <v>0</v>
      </c>
      <c r="I42" s="122" t="n">
        <f aca="false">H42*'Sources &amp; uses'!$E$31</f>
        <v>0</v>
      </c>
      <c r="J42" s="107" t="n">
        <f aca="false">H42-I42</f>
        <v>0</v>
      </c>
      <c r="K42" s="123" t="n">
        <f aca="false">B42-G42-I42-J42</f>
        <v>0</v>
      </c>
      <c r="L42" s="107" t="n">
        <f aca="false">O41</f>
        <v>0</v>
      </c>
      <c r="M42" s="122" t="n">
        <f aca="false">L42*Paths!AA42</f>
        <v>0</v>
      </c>
      <c r="N42" s="107" t="n">
        <f aca="false">IF(A42=1918,(L42+C42)*russia_writeoff,0)</f>
        <v>0</v>
      </c>
      <c r="O42" s="107" t="n">
        <f aca="false">L42+C42-M42-N42</f>
        <v>0</v>
      </c>
      <c r="P42" s="122" t="n">
        <f aca="false">L42*Paths!Z42*Paths!AB42</f>
        <v>0</v>
      </c>
      <c r="Q42" s="107" t="n">
        <f aca="false">T41</f>
        <v>0</v>
      </c>
      <c r="R42" s="122" t="n">
        <f aca="false">Q42*Paths!AA42</f>
        <v>0</v>
      </c>
      <c r="S42" s="107" t="n">
        <f aca="false">IF(A42=1918,(Q42+D42)*russia_writeoff,0)</f>
        <v>0</v>
      </c>
      <c r="T42" s="107" t="n">
        <f aca="false">Q42+D42-R42-S42</f>
        <v>0</v>
      </c>
      <c r="U42" s="122" t="n">
        <f aca="false">Q42*Paths!Z42*Paths!AB42</f>
        <v>0</v>
      </c>
      <c r="V42" s="107" t="n">
        <f aca="false">Y41</f>
        <v>0</v>
      </c>
      <c r="W42" s="122" t="n">
        <f aca="false">V42*Paths!AA42</f>
        <v>0</v>
      </c>
      <c r="X42" s="107" t="n">
        <f aca="false">IF(A42=1918,(V42+E42)*russia_writeoff,0)</f>
        <v>0</v>
      </c>
      <c r="Y42" s="107" t="n">
        <f aca="false">V42+E42-W42-X42</f>
        <v>0</v>
      </c>
      <c r="Z42" s="122" t="n">
        <f aca="false">V42*Paths!Z42*Paths!AB42</f>
        <v>0</v>
      </c>
      <c r="AA42" s="107" t="n">
        <f aca="false">O42+T42+Y42</f>
        <v>0</v>
      </c>
      <c r="AB42" s="107" t="n">
        <f aca="false">P42+U42+Z42</f>
        <v>0</v>
      </c>
      <c r="AC42" s="124" t="n">
        <f aca="false">IF(E42=0,0,IF(ISNUMBER('Sources &amp; uses'!$E$29),MAX(0,E42-'Sources &amp; uses'!$E$29),"n.a."))</f>
        <v>0</v>
      </c>
      <c r="AD42" s="122" t="str">
        <f aca="false">IF(E42=0,"No new subscription",IF(ISNUMBER('Sources &amp; uses'!$E$29),"MODEL capacity tested","Unverified"))</f>
        <v>No new subscription</v>
      </c>
    </row>
    <row r="43" customFormat="false" ht="19.5" hidden="false" customHeight="true" outlineLevel="0" collapsed="false">
      <c r="A43" s="111" t="n">
        <v>1883</v>
      </c>
      <c r="B43" s="107" t="n">
        <f aca="false">IF(AND(A43&gt;=1914,A43&lt;=1918),entente_total*CHOOSE(A43-1913,0.05,0.1333,0.2333,0.3,0.2834),0)</f>
        <v>0</v>
      </c>
      <c r="C43" s="122" t="n">
        <f aca="false">IF(AND(A43&gt;=1914,A43&lt;=1918),Loans!L43,0)</f>
        <v>0</v>
      </c>
      <c r="D43" s="122" t="n">
        <f aca="false">Abroad!D43</f>
        <v>0</v>
      </c>
      <c r="E43" s="107" t="n">
        <f aca="false">B43*(1-entente_public-entente_private)</f>
        <v>0</v>
      </c>
      <c r="F43" s="123" t="n">
        <f aca="false">B43-SUM(C43:E43)</f>
        <v>0</v>
      </c>
      <c r="G43" s="107" t="n">
        <f aca="false">B43*uw_fee</f>
        <v>0</v>
      </c>
      <c r="H43" s="107" t="n">
        <f aca="false">B43-G43</f>
        <v>0</v>
      </c>
      <c r="I43" s="122" t="n">
        <f aca="false">H43*'Sources &amp; uses'!$E$31</f>
        <v>0</v>
      </c>
      <c r="J43" s="107" t="n">
        <f aca="false">H43-I43</f>
        <v>0</v>
      </c>
      <c r="K43" s="123" t="n">
        <f aca="false">B43-G43-I43-J43</f>
        <v>0</v>
      </c>
      <c r="L43" s="107" t="n">
        <f aca="false">O42</f>
        <v>0</v>
      </c>
      <c r="M43" s="122" t="n">
        <f aca="false">L43*Paths!AA43</f>
        <v>0</v>
      </c>
      <c r="N43" s="107" t="n">
        <f aca="false">IF(A43=1918,(L43+C43)*russia_writeoff,0)</f>
        <v>0</v>
      </c>
      <c r="O43" s="107" t="n">
        <f aca="false">L43+C43-M43-N43</f>
        <v>0</v>
      </c>
      <c r="P43" s="122" t="n">
        <f aca="false">L43*Paths!Z43*Paths!AB43</f>
        <v>0</v>
      </c>
      <c r="Q43" s="107" t="n">
        <f aca="false">T42</f>
        <v>0</v>
      </c>
      <c r="R43" s="122" t="n">
        <f aca="false">Q43*Paths!AA43</f>
        <v>0</v>
      </c>
      <c r="S43" s="107" t="n">
        <f aca="false">IF(A43=1918,(Q43+D43)*russia_writeoff,0)</f>
        <v>0</v>
      </c>
      <c r="T43" s="107" t="n">
        <f aca="false">Q43+D43-R43-S43</f>
        <v>0</v>
      </c>
      <c r="U43" s="122" t="n">
        <f aca="false">Q43*Paths!Z43*Paths!AB43</f>
        <v>0</v>
      </c>
      <c r="V43" s="107" t="n">
        <f aca="false">Y42</f>
        <v>0</v>
      </c>
      <c r="W43" s="122" t="n">
        <f aca="false">V43*Paths!AA43</f>
        <v>0</v>
      </c>
      <c r="X43" s="107" t="n">
        <f aca="false">IF(A43=1918,(V43+E43)*russia_writeoff,0)</f>
        <v>0</v>
      </c>
      <c r="Y43" s="107" t="n">
        <f aca="false">V43+E43-W43-X43</f>
        <v>0</v>
      </c>
      <c r="Z43" s="122" t="n">
        <f aca="false">V43*Paths!Z43*Paths!AB43</f>
        <v>0</v>
      </c>
      <c r="AA43" s="107" t="n">
        <f aca="false">O43+T43+Y43</f>
        <v>0</v>
      </c>
      <c r="AB43" s="107" t="n">
        <f aca="false">P43+U43+Z43</f>
        <v>0</v>
      </c>
      <c r="AC43" s="124" t="n">
        <f aca="false">IF(E43=0,0,IF(ISNUMBER('Sources &amp; uses'!$E$29),MAX(0,E43-'Sources &amp; uses'!$E$29),"n.a."))</f>
        <v>0</v>
      </c>
      <c r="AD43" s="122" t="str">
        <f aca="false">IF(E43=0,"No new subscription",IF(ISNUMBER('Sources &amp; uses'!$E$29),"MODEL capacity tested","Unverified"))</f>
        <v>No new subscription</v>
      </c>
    </row>
    <row r="44" customFormat="false" ht="19.5" hidden="false" customHeight="true" outlineLevel="0" collapsed="false">
      <c r="A44" s="111" t="n">
        <v>1884</v>
      </c>
      <c r="B44" s="107" t="n">
        <f aca="false">IF(AND(A44&gt;=1914,A44&lt;=1918),entente_total*CHOOSE(A44-1913,0.05,0.1333,0.2333,0.3,0.2834),0)</f>
        <v>0</v>
      </c>
      <c r="C44" s="122" t="n">
        <f aca="false">IF(AND(A44&gt;=1914,A44&lt;=1918),Loans!L44,0)</f>
        <v>0</v>
      </c>
      <c r="D44" s="122" t="n">
        <f aca="false">Abroad!D44</f>
        <v>0</v>
      </c>
      <c r="E44" s="107" t="n">
        <f aca="false">B44*(1-entente_public-entente_private)</f>
        <v>0</v>
      </c>
      <c r="F44" s="123" t="n">
        <f aca="false">B44-SUM(C44:E44)</f>
        <v>0</v>
      </c>
      <c r="G44" s="107" t="n">
        <f aca="false">B44*uw_fee</f>
        <v>0</v>
      </c>
      <c r="H44" s="107" t="n">
        <f aca="false">B44-G44</f>
        <v>0</v>
      </c>
      <c r="I44" s="122" t="n">
        <f aca="false">H44*'Sources &amp; uses'!$E$31</f>
        <v>0</v>
      </c>
      <c r="J44" s="107" t="n">
        <f aca="false">H44-I44</f>
        <v>0</v>
      </c>
      <c r="K44" s="123" t="n">
        <f aca="false">B44-G44-I44-J44</f>
        <v>0</v>
      </c>
      <c r="L44" s="107" t="n">
        <f aca="false">O43</f>
        <v>0</v>
      </c>
      <c r="M44" s="122" t="n">
        <f aca="false">L44*Paths!AA44</f>
        <v>0</v>
      </c>
      <c r="N44" s="107" t="n">
        <f aca="false">IF(A44=1918,(L44+C44)*russia_writeoff,0)</f>
        <v>0</v>
      </c>
      <c r="O44" s="107" t="n">
        <f aca="false">L44+C44-M44-N44</f>
        <v>0</v>
      </c>
      <c r="P44" s="122" t="n">
        <f aca="false">L44*Paths!Z44*Paths!AB44</f>
        <v>0</v>
      </c>
      <c r="Q44" s="107" t="n">
        <f aca="false">T43</f>
        <v>0</v>
      </c>
      <c r="R44" s="122" t="n">
        <f aca="false">Q44*Paths!AA44</f>
        <v>0</v>
      </c>
      <c r="S44" s="107" t="n">
        <f aca="false">IF(A44=1918,(Q44+D44)*russia_writeoff,0)</f>
        <v>0</v>
      </c>
      <c r="T44" s="107" t="n">
        <f aca="false">Q44+D44-R44-S44</f>
        <v>0</v>
      </c>
      <c r="U44" s="122" t="n">
        <f aca="false">Q44*Paths!Z44*Paths!AB44</f>
        <v>0</v>
      </c>
      <c r="V44" s="107" t="n">
        <f aca="false">Y43</f>
        <v>0</v>
      </c>
      <c r="W44" s="122" t="n">
        <f aca="false">V44*Paths!AA44</f>
        <v>0</v>
      </c>
      <c r="X44" s="107" t="n">
        <f aca="false">IF(A44=1918,(V44+E44)*russia_writeoff,0)</f>
        <v>0</v>
      </c>
      <c r="Y44" s="107" t="n">
        <f aca="false">V44+E44-W44-X44</f>
        <v>0</v>
      </c>
      <c r="Z44" s="122" t="n">
        <f aca="false">V44*Paths!Z44*Paths!AB44</f>
        <v>0</v>
      </c>
      <c r="AA44" s="107" t="n">
        <f aca="false">O44+T44+Y44</f>
        <v>0</v>
      </c>
      <c r="AB44" s="107" t="n">
        <f aca="false">P44+U44+Z44</f>
        <v>0</v>
      </c>
      <c r="AC44" s="124" t="n">
        <f aca="false">IF(E44=0,0,IF(ISNUMBER('Sources &amp; uses'!$E$29),MAX(0,E44-'Sources &amp; uses'!$E$29),"n.a."))</f>
        <v>0</v>
      </c>
      <c r="AD44" s="122" t="str">
        <f aca="false">IF(E44=0,"No new subscription",IF(ISNUMBER('Sources &amp; uses'!$E$29),"MODEL capacity tested","Unverified"))</f>
        <v>No new subscription</v>
      </c>
    </row>
    <row r="45" customFormat="false" ht="19.5" hidden="false" customHeight="true" outlineLevel="0" collapsed="false">
      <c r="A45" s="111" t="n">
        <v>1885</v>
      </c>
      <c r="B45" s="107" t="n">
        <f aca="false">IF(AND(A45&gt;=1914,A45&lt;=1918),entente_total*CHOOSE(A45-1913,0.05,0.1333,0.2333,0.3,0.2834),0)</f>
        <v>0</v>
      </c>
      <c r="C45" s="122" t="n">
        <f aca="false">IF(AND(A45&gt;=1914,A45&lt;=1918),Loans!L45,0)</f>
        <v>0</v>
      </c>
      <c r="D45" s="122" t="n">
        <f aca="false">Abroad!D45</f>
        <v>0</v>
      </c>
      <c r="E45" s="107" t="n">
        <f aca="false">B45*(1-entente_public-entente_private)</f>
        <v>0</v>
      </c>
      <c r="F45" s="123" t="n">
        <f aca="false">B45-SUM(C45:E45)</f>
        <v>0</v>
      </c>
      <c r="G45" s="107" t="n">
        <f aca="false">B45*uw_fee</f>
        <v>0</v>
      </c>
      <c r="H45" s="107" t="n">
        <f aca="false">B45-G45</f>
        <v>0</v>
      </c>
      <c r="I45" s="122" t="n">
        <f aca="false">H45*'Sources &amp; uses'!$E$31</f>
        <v>0</v>
      </c>
      <c r="J45" s="107" t="n">
        <f aca="false">H45-I45</f>
        <v>0</v>
      </c>
      <c r="K45" s="123" t="n">
        <f aca="false">B45-G45-I45-J45</f>
        <v>0</v>
      </c>
      <c r="L45" s="107" t="n">
        <f aca="false">O44</f>
        <v>0</v>
      </c>
      <c r="M45" s="122" t="n">
        <f aca="false">L45*Paths!AA45</f>
        <v>0</v>
      </c>
      <c r="N45" s="107" t="n">
        <f aca="false">IF(A45=1918,(L45+C45)*russia_writeoff,0)</f>
        <v>0</v>
      </c>
      <c r="O45" s="107" t="n">
        <f aca="false">L45+C45-M45-N45</f>
        <v>0</v>
      </c>
      <c r="P45" s="122" t="n">
        <f aca="false">L45*Paths!Z45*Paths!AB45</f>
        <v>0</v>
      </c>
      <c r="Q45" s="107" t="n">
        <f aca="false">T44</f>
        <v>0</v>
      </c>
      <c r="R45" s="122" t="n">
        <f aca="false">Q45*Paths!AA45</f>
        <v>0</v>
      </c>
      <c r="S45" s="107" t="n">
        <f aca="false">IF(A45=1918,(Q45+D45)*russia_writeoff,0)</f>
        <v>0</v>
      </c>
      <c r="T45" s="107" t="n">
        <f aca="false">Q45+D45-R45-S45</f>
        <v>0</v>
      </c>
      <c r="U45" s="122" t="n">
        <f aca="false">Q45*Paths!Z45*Paths!AB45</f>
        <v>0</v>
      </c>
      <c r="V45" s="107" t="n">
        <f aca="false">Y44</f>
        <v>0</v>
      </c>
      <c r="W45" s="122" t="n">
        <f aca="false">V45*Paths!AA45</f>
        <v>0</v>
      </c>
      <c r="X45" s="107" t="n">
        <f aca="false">IF(A45=1918,(V45+E45)*russia_writeoff,0)</f>
        <v>0</v>
      </c>
      <c r="Y45" s="107" t="n">
        <f aca="false">V45+E45-W45-X45</f>
        <v>0</v>
      </c>
      <c r="Z45" s="122" t="n">
        <f aca="false">V45*Paths!Z45*Paths!AB45</f>
        <v>0</v>
      </c>
      <c r="AA45" s="107" t="n">
        <f aca="false">O45+T45+Y45</f>
        <v>0</v>
      </c>
      <c r="AB45" s="107" t="n">
        <f aca="false">P45+U45+Z45</f>
        <v>0</v>
      </c>
      <c r="AC45" s="124" t="n">
        <f aca="false">IF(E45=0,0,IF(ISNUMBER('Sources &amp; uses'!$E$29),MAX(0,E45-'Sources &amp; uses'!$E$29),"n.a."))</f>
        <v>0</v>
      </c>
      <c r="AD45" s="122" t="str">
        <f aca="false">IF(E45=0,"No new subscription",IF(ISNUMBER('Sources &amp; uses'!$E$29),"MODEL capacity tested","Unverified"))</f>
        <v>No new subscription</v>
      </c>
    </row>
    <row r="46" customFormat="false" ht="19.5" hidden="false" customHeight="true" outlineLevel="0" collapsed="false">
      <c r="A46" s="111" t="n">
        <v>1886</v>
      </c>
      <c r="B46" s="107" t="n">
        <f aca="false">IF(AND(A46&gt;=1914,A46&lt;=1918),entente_total*CHOOSE(A46-1913,0.05,0.1333,0.2333,0.3,0.2834),0)</f>
        <v>0</v>
      </c>
      <c r="C46" s="122" t="n">
        <f aca="false">IF(AND(A46&gt;=1914,A46&lt;=1918),Loans!L46,0)</f>
        <v>0</v>
      </c>
      <c r="D46" s="122" t="n">
        <f aca="false">Abroad!D46</f>
        <v>0</v>
      </c>
      <c r="E46" s="107" t="n">
        <f aca="false">B46*(1-entente_public-entente_private)</f>
        <v>0</v>
      </c>
      <c r="F46" s="123" t="n">
        <f aca="false">B46-SUM(C46:E46)</f>
        <v>0</v>
      </c>
      <c r="G46" s="107" t="n">
        <f aca="false">B46*uw_fee</f>
        <v>0</v>
      </c>
      <c r="H46" s="107" t="n">
        <f aca="false">B46-G46</f>
        <v>0</v>
      </c>
      <c r="I46" s="122" t="n">
        <f aca="false">H46*'Sources &amp; uses'!$E$31</f>
        <v>0</v>
      </c>
      <c r="J46" s="107" t="n">
        <f aca="false">H46-I46</f>
        <v>0</v>
      </c>
      <c r="K46" s="123" t="n">
        <f aca="false">B46-G46-I46-J46</f>
        <v>0</v>
      </c>
      <c r="L46" s="107" t="n">
        <f aca="false">O45</f>
        <v>0</v>
      </c>
      <c r="M46" s="122" t="n">
        <f aca="false">L46*Paths!AA46</f>
        <v>0</v>
      </c>
      <c r="N46" s="107" t="n">
        <f aca="false">IF(A46=1918,(L46+C46)*russia_writeoff,0)</f>
        <v>0</v>
      </c>
      <c r="O46" s="107" t="n">
        <f aca="false">L46+C46-M46-N46</f>
        <v>0</v>
      </c>
      <c r="P46" s="122" t="n">
        <f aca="false">L46*Paths!Z46*Paths!AB46</f>
        <v>0</v>
      </c>
      <c r="Q46" s="107" t="n">
        <f aca="false">T45</f>
        <v>0</v>
      </c>
      <c r="R46" s="122" t="n">
        <f aca="false">Q46*Paths!AA46</f>
        <v>0</v>
      </c>
      <c r="S46" s="107" t="n">
        <f aca="false">IF(A46=1918,(Q46+D46)*russia_writeoff,0)</f>
        <v>0</v>
      </c>
      <c r="T46" s="107" t="n">
        <f aca="false">Q46+D46-R46-S46</f>
        <v>0</v>
      </c>
      <c r="U46" s="122" t="n">
        <f aca="false">Q46*Paths!Z46*Paths!AB46</f>
        <v>0</v>
      </c>
      <c r="V46" s="107" t="n">
        <f aca="false">Y45</f>
        <v>0</v>
      </c>
      <c r="W46" s="122" t="n">
        <f aca="false">V46*Paths!AA46</f>
        <v>0</v>
      </c>
      <c r="X46" s="107" t="n">
        <f aca="false">IF(A46=1918,(V46+E46)*russia_writeoff,0)</f>
        <v>0</v>
      </c>
      <c r="Y46" s="107" t="n">
        <f aca="false">V46+E46-W46-X46</f>
        <v>0</v>
      </c>
      <c r="Z46" s="122" t="n">
        <f aca="false">V46*Paths!Z46*Paths!AB46</f>
        <v>0</v>
      </c>
      <c r="AA46" s="107" t="n">
        <f aca="false">O46+T46+Y46</f>
        <v>0</v>
      </c>
      <c r="AB46" s="107" t="n">
        <f aca="false">P46+U46+Z46</f>
        <v>0</v>
      </c>
      <c r="AC46" s="124" t="n">
        <f aca="false">IF(E46=0,0,IF(ISNUMBER('Sources &amp; uses'!$E$29),MAX(0,E46-'Sources &amp; uses'!$E$29),"n.a."))</f>
        <v>0</v>
      </c>
      <c r="AD46" s="122" t="str">
        <f aca="false">IF(E46=0,"No new subscription",IF(ISNUMBER('Sources &amp; uses'!$E$29),"MODEL capacity tested","Unverified"))</f>
        <v>No new subscription</v>
      </c>
    </row>
    <row r="47" customFormat="false" ht="19.5" hidden="false" customHeight="true" outlineLevel="0" collapsed="false">
      <c r="A47" s="111" t="n">
        <v>1887</v>
      </c>
      <c r="B47" s="107" t="n">
        <f aca="false">IF(AND(A47&gt;=1914,A47&lt;=1918),entente_total*CHOOSE(A47-1913,0.05,0.1333,0.2333,0.3,0.2834),0)</f>
        <v>0</v>
      </c>
      <c r="C47" s="122" t="n">
        <f aca="false">IF(AND(A47&gt;=1914,A47&lt;=1918),Loans!L47,0)</f>
        <v>0</v>
      </c>
      <c r="D47" s="122" t="n">
        <f aca="false">Abroad!D47</f>
        <v>0</v>
      </c>
      <c r="E47" s="107" t="n">
        <f aca="false">B47*(1-entente_public-entente_private)</f>
        <v>0</v>
      </c>
      <c r="F47" s="123" t="n">
        <f aca="false">B47-SUM(C47:E47)</f>
        <v>0</v>
      </c>
      <c r="G47" s="107" t="n">
        <f aca="false">B47*uw_fee</f>
        <v>0</v>
      </c>
      <c r="H47" s="107" t="n">
        <f aca="false">B47-G47</f>
        <v>0</v>
      </c>
      <c r="I47" s="122" t="n">
        <f aca="false">H47*'Sources &amp; uses'!$E$31</f>
        <v>0</v>
      </c>
      <c r="J47" s="107" t="n">
        <f aca="false">H47-I47</f>
        <v>0</v>
      </c>
      <c r="K47" s="123" t="n">
        <f aca="false">B47-G47-I47-J47</f>
        <v>0</v>
      </c>
      <c r="L47" s="107" t="n">
        <f aca="false">O46</f>
        <v>0</v>
      </c>
      <c r="M47" s="122" t="n">
        <f aca="false">L47*Paths!AA47</f>
        <v>0</v>
      </c>
      <c r="N47" s="107" t="n">
        <f aca="false">IF(A47=1918,(L47+C47)*russia_writeoff,0)</f>
        <v>0</v>
      </c>
      <c r="O47" s="107" t="n">
        <f aca="false">L47+C47-M47-N47</f>
        <v>0</v>
      </c>
      <c r="P47" s="122" t="n">
        <f aca="false">L47*Paths!Z47*Paths!AB47</f>
        <v>0</v>
      </c>
      <c r="Q47" s="107" t="n">
        <f aca="false">T46</f>
        <v>0</v>
      </c>
      <c r="R47" s="122" t="n">
        <f aca="false">Q47*Paths!AA47</f>
        <v>0</v>
      </c>
      <c r="S47" s="107" t="n">
        <f aca="false">IF(A47=1918,(Q47+D47)*russia_writeoff,0)</f>
        <v>0</v>
      </c>
      <c r="T47" s="107" t="n">
        <f aca="false">Q47+D47-R47-S47</f>
        <v>0</v>
      </c>
      <c r="U47" s="122" t="n">
        <f aca="false">Q47*Paths!Z47*Paths!AB47</f>
        <v>0</v>
      </c>
      <c r="V47" s="107" t="n">
        <f aca="false">Y46</f>
        <v>0</v>
      </c>
      <c r="W47" s="122" t="n">
        <f aca="false">V47*Paths!AA47</f>
        <v>0</v>
      </c>
      <c r="X47" s="107" t="n">
        <f aca="false">IF(A47=1918,(V47+E47)*russia_writeoff,0)</f>
        <v>0</v>
      </c>
      <c r="Y47" s="107" t="n">
        <f aca="false">V47+E47-W47-X47</f>
        <v>0</v>
      </c>
      <c r="Z47" s="122" t="n">
        <f aca="false">V47*Paths!Z47*Paths!AB47</f>
        <v>0</v>
      </c>
      <c r="AA47" s="107" t="n">
        <f aca="false">O47+T47+Y47</f>
        <v>0</v>
      </c>
      <c r="AB47" s="107" t="n">
        <f aca="false">P47+U47+Z47</f>
        <v>0</v>
      </c>
      <c r="AC47" s="124" t="n">
        <f aca="false">IF(E47=0,0,IF(ISNUMBER('Sources &amp; uses'!$E$29),MAX(0,E47-'Sources &amp; uses'!$E$29),"n.a."))</f>
        <v>0</v>
      </c>
      <c r="AD47" s="122" t="str">
        <f aca="false">IF(E47=0,"No new subscription",IF(ISNUMBER('Sources &amp; uses'!$E$29),"MODEL capacity tested","Unverified"))</f>
        <v>No new subscription</v>
      </c>
    </row>
    <row r="48" customFormat="false" ht="19.5" hidden="false" customHeight="true" outlineLevel="0" collapsed="false">
      <c r="A48" s="111" t="n">
        <v>1888</v>
      </c>
      <c r="B48" s="107" t="n">
        <f aca="false">IF(AND(A48&gt;=1914,A48&lt;=1918),entente_total*CHOOSE(A48-1913,0.05,0.1333,0.2333,0.3,0.2834),0)</f>
        <v>0</v>
      </c>
      <c r="C48" s="122" t="n">
        <f aca="false">IF(AND(A48&gt;=1914,A48&lt;=1918),Loans!L48,0)</f>
        <v>0</v>
      </c>
      <c r="D48" s="122" t="n">
        <f aca="false">Abroad!D48</f>
        <v>0</v>
      </c>
      <c r="E48" s="107" t="n">
        <f aca="false">B48*(1-entente_public-entente_private)</f>
        <v>0</v>
      </c>
      <c r="F48" s="123" t="n">
        <f aca="false">B48-SUM(C48:E48)</f>
        <v>0</v>
      </c>
      <c r="G48" s="107" t="n">
        <f aca="false">B48*uw_fee</f>
        <v>0</v>
      </c>
      <c r="H48" s="107" t="n">
        <f aca="false">B48-G48</f>
        <v>0</v>
      </c>
      <c r="I48" s="122" t="n">
        <f aca="false">H48*'Sources &amp; uses'!$E$31</f>
        <v>0</v>
      </c>
      <c r="J48" s="107" t="n">
        <f aca="false">H48-I48</f>
        <v>0</v>
      </c>
      <c r="K48" s="123" t="n">
        <f aca="false">B48-G48-I48-J48</f>
        <v>0</v>
      </c>
      <c r="L48" s="107" t="n">
        <f aca="false">O47</f>
        <v>0</v>
      </c>
      <c r="M48" s="122" t="n">
        <f aca="false">L48*Paths!AA48</f>
        <v>0</v>
      </c>
      <c r="N48" s="107" t="n">
        <f aca="false">IF(A48=1918,(L48+C48)*russia_writeoff,0)</f>
        <v>0</v>
      </c>
      <c r="O48" s="107" t="n">
        <f aca="false">L48+C48-M48-N48</f>
        <v>0</v>
      </c>
      <c r="P48" s="122" t="n">
        <f aca="false">L48*Paths!Z48*Paths!AB48</f>
        <v>0</v>
      </c>
      <c r="Q48" s="107" t="n">
        <f aca="false">T47</f>
        <v>0</v>
      </c>
      <c r="R48" s="122" t="n">
        <f aca="false">Q48*Paths!AA48</f>
        <v>0</v>
      </c>
      <c r="S48" s="107" t="n">
        <f aca="false">IF(A48=1918,(Q48+D48)*russia_writeoff,0)</f>
        <v>0</v>
      </c>
      <c r="T48" s="107" t="n">
        <f aca="false">Q48+D48-R48-S48</f>
        <v>0</v>
      </c>
      <c r="U48" s="122" t="n">
        <f aca="false">Q48*Paths!Z48*Paths!AB48</f>
        <v>0</v>
      </c>
      <c r="V48" s="107" t="n">
        <f aca="false">Y47</f>
        <v>0</v>
      </c>
      <c r="W48" s="122" t="n">
        <f aca="false">V48*Paths!AA48</f>
        <v>0</v>
      </c>
      <c r="X48" s="107" t="n">
        <f aca="false">IF(A48=1918,(V48+E48)*russia_writeoff,0)</f>
        <v>0</v>
      </c>
      <c r="Y48" s="107" t="n">
        <f aca="false">V48+E48-W48-X48</f>
        <v>0</v>
      </c>
      <c r="Z48" s="122" t="n">
        <f aca="false">V48*Paths!Z48*Paths!AB48</f>
        <v>0</v>
      </c>
      <c r="AA48" s="107" t="n">
        <f aca="false">O48+T48+Y48</f>
        <v>0</v>
      </c>
      <c r="AB48" s="107" t="n">
        <f aca="false">P48+U48+Z48</f>
        <v>0</v>
      </c>
      <c r="AC48" s="124" t="n">
        <f aca="false">IF(E48=0,0,IF(ISNUMBER('Sources &amp; uses'!$E$29),MAX(0,E48-'Sources &amp; uses'!$E$29),"n.a."))</f>
        <v>0</v>
      </c>
      <c r="AD48" s="122" t="str">
        <f aca="false">IF(E48=0,"No new subscription",IF(ISNUMBER('Sources &amp; uses'!$E$29),"MODEL capacity tested","Unverified"))</f>
        <v>No new subscription</v>
      </c>
    </row>
    <row r="49" customFormat="false" ht="19.5" hidden="false" customHeight="true" outlineLevel="0" collapsed="false">
      <c r="A49" s="111" t="n">
        <v>1889</v>
      </c>
      <c r="B49" s="107" t="n">
        <f aca="false">IF(AND(A49&gt;=1914,A49&lt;=1918),entente_total*CHOOSE(A49-1913,0.05,0.1333,0.2333,0.3,0.2834),0)</f>
        <v>0</v>
      </c>
      <c r="C49" s="122" t="n">
        <f aca="false">IF(AND(A49&gt;=1914,A49&lt;=1918),Loans!L49,0)</f>
        <v>0</v>
      </c>
      <c r="D49" s="122" t="n">
        <f aca="false">Abroad!D49</f>
        <v>0</v>
      </c>
      <c r="E49" s="107" t="n">
        <f aca="false">B49*(1-entente_public-entente_private)</f>
        <v>0</v>
      </c>
      <c r="F49" s="123" t="n">
        <f aca="false">B49-SUM(C49:E49)</f>
        <v>0</v>
      </c>
      <c r="G49" s="107" t="n">
        <f aca="false">B49*uw_fee</f>
        <v>0</v>
      </c>
      <c r="H49" s="107" t="n">
        <f aca="false">B49-G49</f>
        <v>0</v>
      </c>
      <c r="I49" s="122" t="n">
        <f aca="false">H49*'Sources &amp; uses'!$E$31</f>
        <v>0</v>
      </c>
      <c r="J49" s="107" t="n">
        <f aca="false">H49-I49</f>
        <v>0</v>
      </c>
      <c r="K49" s="123" t="n">
        <f aca="false">B49-G49-I49-J49</f>
        <v>0</v>
      </c>
      <c r="L49" s="107" t="n">
        <f aca="false">O48</f>
        <v>0</v>
      </c>
      <c r="M49" s="122" t="n">
        <f aca="false">L49*Paths!AA49</f>
        <v>0</v>
      </c>
      <c r="N49" s="107" t="n">
        <f aca="false">IF(A49=1918,(L49+C49)*russia_writeoff,0)</f>
        <v>0</v>
      </c>
      <c r="O49" s="107" t="n">
        <f aca="false">L49+C49-M49-N49</f>
        <v>0</v>
      </c>
      <c r="P49" s="122" t="n">
        <f aca="false">L49*Paths!Z49*Paths!AB49</f>
        <v>0</v>
      </c>
      <c r="Q49" s="107" t="n">
        <f aca="false">T48</f>
        <v>0</v>
      </c>
      <c r="R49" s="122" t="n">
        <f aca="false">Q49*Paths!AA49</f>
        <v>0</v>
      </c>
      <c r="S49" s="107" t="n">
        <f aca="false">IF(A49=1918,(Q49+D49)*russia_writeoff,0)</f>
        <v>0</v>
      </c>
      <c r="T49" s="107" t="n">
        <f aca="false">Q49+D49-R49-S49</f>
        <v>0</v>
      </c>
      <c r="U49" s="122" t="n">
        <f aca="false">Q49*Paths!Z49*Paths!AB49</f>
        <v>0</v>
      </c>
      <c r="V49" s="107" t="n">
        <f aca="false">Y48</f>
        <v>0</v>
      </c>
      <c r="W49" s="122" t="n">
        <f aca="false">V49*Paths!AA49</f>
        <v>0</v>
      </c>
      <c r="X49" s="107" t="n">
        <f aca="false">IF(A49=1918,(V49+E49)*russia_writeoff,0)</f>
        <v>0</v>
      </c>
      <c r="Y49" s="107" t="n">
        <f aca="false">V49+E49-W49-X49</f>
        <v>0</v>
      </c>
      <c r="Z49" s="122" t="n">
        <f aca="false">V49*Paths!Z49*Paths!AB49</f>
        <v>0</v>
      </c>
      <c r="AA49" s="107" t="n">
        <f aca="false">O49+T49+Y49</f>
        <v>0</v>
      </c>
      <c r="AB49" s="107" t="n">
        <f aca="false">P49+U49+Z49</f>
        <v>0</v>
      </c>
      <c r="AC49" s="124" t="n">
        <f aca="false">IF(E49=0,0,IF(ISNUMBER('Sources &amp; uses'!$E$29),MAX(0,E49-'Sources &amp; uses'!$E$29),"n.a."))</f>
        <v>0</v>
      </c>
      <c r="AD49" s="122" t="str">
        <f aca="false">IF(E49=0,"No new subscription",IF(ISNUMBER('Sources &amp; uses'!$E$29),"MODEL capacity tested","Unverified"))</f>
        <v>No new subscription</v>
      </c>
    </row>
    <row r="50" customFormat="false" ht="19.5" hidden="false" customHeight="true" outlineLevel="0" collapsed="false">
      <c r="A50" s="111" t="n">
        <v>1890</v>
      </c>
      <c r="B50" s="107" t="n">
        <f aca="false">IF(AND(A50&gt;=1914,A50&lt;=1918),entente_total*CHOOSE(A50-1913,0.05,0.1333,0.2333,0.3,0.2834),0)</f>
        <v>0</v>
      </c>
      <c r="C50" s="122" t="n">
        <f aca="false">IF(AND(A50&gt;=1914,A50&lt;=1918),Loans!L50,0)</f>
        <v>0</v>
      </c>
      <c r="D50" s="122" t="n">
        <f aca="false">Abroad!D50</f>
        <v>0</v>
      </c>
      <c r="E50" s="107" t="n">
        <f aca="false">B50*(1-entente_public-entente_private)</f>
        <v>0</v>
      </c>
      <c r="F50" s="123" t="n">
        <f aca="false">B50-SUM(C50:E50)</f>
        <v>0</v>
      </c>
      <c r="G50" s="107" t="n">
        <f aca="false">B50*uw_fee</f>
        <v>0</v>
      </c>
      <c r="H50" s="107" t="n">
        <f aca="false">B50-G50</f>
        <v>0</v>
      </c>
      <c r="I50" s="122" t="n">
        <f aca="false">H50*'Sources &amp; uses'!$E$31</f>
        <v>0</v>
      </c>
      <c r="J50" s="107" t="n">
        <f aca="false">H50-I50</f>
        <v>0</v>
      </c>
      <c r="K50" s="123" t="n">
        <f aca="false">B50-G50-I50-J50</f>
        <v>0</v>
      </c>
      <c r="L50" s="107" t="n">
        <f aca="false">O49</f>
        <v>0</v>
      </c>
      <c r="M50" s="122" t="n">
        <f aca="false">L50*Paths!AA50</f>
        <v>0</v>
      </c>
      <c r="N50" s="107" t="n">
        <f aca="false">IF(A50=1918,(L50+C50)*russia_writeoff,0)</f>
        <v>0</v>
      </c>
      <c r="O50" s="107" t="n">
        <f aca="false">L50+C50-M50-N50</f>
        <v>0</v>
      </c>
      <c r="P50" s="122" t="n">
        <f aca="false">L50*Paths!Z50*Paths!AB50</f>
        <v>0</v>
      </c>
      <c r="Q50" s="107" t="n">
        <f aca="false">T49</f>
        <v>0</v>
      </c>
      <c r="R50" s="122" t="n">
        <f aca="false">Q50*Paths!AA50</f>
        <v>0</v>
      </c>
      <c r="S50" s="107" t="n">
        <f aca="false">IF(A50=1918,(Q50+D50)*russia_writeoff,0)</f>
        <v>0</v>
      </c>
      <c r="T50" s="107" t="n">
        <f aca="false">Q50+D50-R50-S50</f>
        <v>0</v>
      </c>
      <c r="U50" s="122" t="n">
        <f aca="false">Q50*Paths!Z50*Paths!AB50</f>
        <v>0</v>
      </c>
      <c r="V50" s="107" t="n">
        <f aca="false">Y49</f>
        <v>0</v>
      </c>
      <c r="W50" s="122" t="n">
        <f aca="false">V50*Paths!AA50</f>
        <v>0</v>
      </c>
      <c r="X50" s="107" t="n">
        <f aca="false">IF(A50=1918,(V50+E50)*russia_writeoff,0)</f>
        <v>0</v>
      </c>
      <c r="Y50" s="107" t="n">
        <f aca="false">V50+E50-W50-X50</f>
        <v>0</v>
      </c>
      <c r="Z50" s="122" t="n">
        <f aca="false">V50*Paths!Z50*Paths!AB50</f>
        <v>0</v>
      </c>
      <c r="AA50" s="107" t="n">
        <f aca="false">O50+T50+Y50</f>
        <v>0</v>
      </c>
      <c r="AB50" s="107" t="n">
        <f aca="false">P50+U50+Z50</f>
        <v>0</v>
      </c>
      <c r="AC50" s="124" t="n">
        <f aca="false">IF(E50=0,0,IF(ISNUMBER('Sources &amp; uses'!$E$29),MAX(0,E50-'Sources &amp; uses'!$E$29),"n.a."))</f>
        <v>0</v>
      </c>
      <c r="AD50" s="122" t="str">
        <f aca="false">IF(E50=0,"No new subscription",IF(ISNUMBER('Sources &amp; uses'!$E$29),"MODEL capacity tested","Unverified"))</f>
        <v>No new subscription</v>
      </c>
    </row>
    <row r="51" customFormat="false" ht="19.5" hidden="false" customHeight="true" outlineLevel="0" collapsed="false">
      <c r="A51" s="111" t="n">
        <v>1891</v>
      </c>
      <c r="B51" s="107" t="n">
        <f aca="false">IF(AND(A51&gt;=1914,A51&lt;=1918),entente_total*CHOOSE(A51-1913,0.05,0.1333,0.2333,0.3,0.2834),0)</f>
        <v>0</v>
      </c>
      <c r="C51" s="122" t="n">
        <f aca="false">IF(AND(A51&gt;=1914,A51&lt;=1918),Loans!L51,0)</f>
        <v>0</v>
      </c>
      <c r="D51" s="122" t="n">
        <f aca="false">Abroad!D51</f>
        <v>0</v>
      </c>
      <c r="E51" s="107" t="n">
        <f aca="false">B51*(1-entente_public-entente_private)</f>
        <v>0</v>
      </c>
      <c r="F51" s="123" t="n">
        <f aca="false">B51-SUM(C51:E51)</f>
        <v>0</v>
      </c>
      <c r="G51" s="107" t="n">
        <f aca="false">B51*uw_fee</f>
        <v>0</v>
      </c>
      <c r="H51" s="107" t="n">
        <f aca="false">B51-G51</f>
        <v>0</v>
      </c>
      <c r="I51" s="122" t="n">
        <f aca="false">H51*'Sources &amp; uses'!$E$31</f>
        <v>0</v>
      </c>
      <c r="J51" s="107" t="n">
        <f aca="false">H51-I51</f>
        <v>0</v>
      </c>
      <c r="K51" s="123" t="n">
        <f aca="false">B51-G51-I51-J51</f>
        <v>0</v>
      </c>
      <c r="L51" s="107" t="n">
        <f aca="false">O50</f>
        <v>0</v>
      </c>
      <c r="M51" s="122" t="n">
        <f aca="false">L51*Paths!AA51</f>
        <v>0</v>
      </c>
      <c r="N51" s="107" t="n">
        <f aca="false">IF(A51=1918,(L51+C51)*russia_writeoff,0)</f>
        <v>0</v>
      </c>
      <c r="O51" s="107" t="n">
        <f aca="false">L51+C51-M51-N51</f>
        <v>0</v>
      </c>
      <c r="P51" s="122" t="n">
        <f aca="false">L51*Paths!Z51*Paths!AB51</f>
        <v>0</v>
      </c>
      <c r="Q51" s="107" t="n">
        <f aca="false">T50</f>
        <v>0</v>
      </c>
      <c r="R51" s="122" t="n">
        <f aca="false">Q51*Paths!AA51</f>
        <v>0</v>
      </c>
      <c r="S51" s="107" t="n">
        <f aca="false">IF(A51=1918,(Q51+D51)*russia_writeoff,0)</f>
        <v>0</v>
      </c>
      <c r="T51" s="107" t="n">
        <f aca="false">Q51+D51-R51-S51</f>
        <v>0</v>
      </c>
      <c r="U51" s="122" t="n">
        <f aca="false">Q51*Paths!Z51*Paths!AB51</f>
        <v>0</v>
      </c>
      <c r="V51" s="107" t="n">
        <f aca="false">Y50</f>
        <v>0</v>
      </c>
      <c r="W51" s="122" t="n">
        <f aca="false">V51*Paths!AA51</f>
        <v>0</v>
      </c>
      <c r="X51" s="107" t="n">
        <f aca="false">IF(A51=1918,(V51+E51)*russia_writeoff,0)</f>
        <v>0</v>
      </c>
      <c r="Y51" s="107" t="n">
        <f aca="false">V51+E51-W51-X51</f>
        <v>0</v>
      </c>
      <c r="Z51" s="122" t="n">
        <f aca="false">V51*Paths!Z51*Paths!AB51</f>
        <v>0</v>
      </c>
      <c r="AA51" s="107" t="n">
        <f aca="false">O51+T51+Y51</f>
        <v>0</v>
      </c>
      <c r="AB51" s="107" t="n">
        <f aca="false">P51+U51+Z51</f>
        <v>0</v>
      </c>
      <c r="AC51" s="124" t="n">
        <f aca="false">IF(E51=0,0,IF(ISNUMBER('Sources &amp; uses'!$E$29),MAX(0,E51-'Sources &amp; uses'!$E$29),"n.a."))</f>
        <v>0</v>
      </c>
      <c r="AD51" s="122" t="str">
        <f aca="false">IF(E51=0,"No new subscription",IF(ISNUMBER('Sources &amp; uses'!$E$29),"MODEL capacity tested","Unverified"))</f>
        <v>No new subscription</v>
      </c>
    </row>
    <row r="52" customFormat="false" ht="19.5" hidden="false" customHeight="true" outlineLevel="0" collapsed="false">
      <c r="A52" s="111" t="n">
        <v>1892</v>
      </c>
      <c r="B52" s="107" t="n">
        <f aca="false">IF(AND(A52&gt;=1914,A52&lt;=1918),entente_total*CHOOSE(A52-1913,0.05,0.1333,0.2333,0.3,0.2834),0)</f>
        <v>0</v>
      </c>
      <c r="C52" s="122" t="n">
        <f aca="false">IF(AND(A52&gt;=1914,A52&lt;=1918),Loans!L52,0)</f>
        <v>0</v>
      </c>
      <c r="D52" s="122" t="n">
        <f aca="false">Abroad!D52</f>
        <v>0</v>
      </c>
      <c r="E52" s="107" t="n">
        <f aca="false">B52*(1-entente_public-entente_private)</f>
        <v>0</v>
      </c>
      <c r="F52" s="123" t="n">
        <f aca="false">B52-SUM(C52:E52)</f>
        <v>0</v>
      </c>
      <c r="G52" s="107" t="n">
        <f aca="false">B52*uw_fee</f>
        <v>0</v>
      </c>
      <c r="H52" s="107" t="n">
        <f aca="false">B52-G52</f>
        <v>0</v>
      </c>
      <c r="I52" s="122" t="n">
        <f aca="false">H52*'Sources &amp; uses'!$E$31</f>
        <v>0</v>
      </c>
      <c r="J52" s="107" t="n">
        <f aca="false">H52-I52</f>
        <v>0</v>
      </c>
      <c r="K52" s="123" t="n">
        <f aca="false">B52-G52-I52-J52</f>
        <v>0</v>
      </c>
      <c r="L52" s="107" t="n">
        <f aca="false">O51</f>
        <v>0</v>
      </c>
      <c r="M52" s="122" t="n">
        <f aca="false">L52*Paths!AA52</f>
        <v>0</v>
      </c>
      <c r="N52" s="107" t="n">
        <f aca="false">IF(A52=1918,(L52+C52)*russia_writeoff,0)</f>
        <v>0</v>
      </c>
      <c r="O52" s="107" t="n">
        <f aca="false">L52+C52-M52-N52</f>
        <v>0</v>
      </c>
      <c r="P52" s="122" t="n">
        <f aca="false">L52*Paths!Z52*Paths!AB52</f>
        <v>0</v>
      </c>
      <c r="Q52" s="107" t="n">
        <f aca="false">T51</f>
        <v>0</v>
      </c>
      <c r="R52" s="122" t="n">
        <f aca="false">Q52*Paths!AA52</f>
        <v>0</v>
      </c>
      <c r="S52" s="107" t="n">
        <f aca="false">IF(A52=1918,(Q52+D52)*russia_writeoff,0)</f>
        <v>0</v>
      </c>
      <c r="T52" s="107" t="n">
        <f aca="false">Q52+D52-R52-S52</f>
        <v>0</v>
      </c>
      <c r="U52" s="122" t="n">
        <f aca="false">Q52*Paths!Z52*Paths!AB52</f>
        <v>0</v>
      </c>
      <c r="V52" s="107" t="n">
        <f aca="false">Y51</f>
        <v>0</v>
      </c>
      <c r="W52" s="122" t="n">
        <f aca="false">V52*Paths!AA52</f>
        <v>0</v>
      </c>
      <c r="X52" s="107" t="n">
        <f aca="false">IF(A52=1918,(V52+E52)*russia_writeoff,0)</f>
        <v>0</v>
      </c>
      <c r="Y52" s="107" t="n">
        <f aca="false">V52+E52-W52-X52</f>
        <v>0</v>
      </c>
      <c r="Z52" s="122" t="n">
        <f aca="false">V52*Paths!Z52*Paths!AB52</f>
        <v>0</v>
      </c>
      <c r="AA52" s="107" t="n">
        <f aca="false">O52+T52+Y52</f>
        <v>0</v>
      </c>
      <c r="AB52" s="107" t="n">
        <f aca="false">P52+U52+Z52</f>
        <v>0</v>
      </c>
      <c r="AC52" s="124" t="n">
        <f aca="false">IF(E52=0,0,IF(ISNUMBER('Sources &amp; uses'!$E$29),MAX(0,E52-'Sources &amp; uses'!$E$29),"n.a."))</f>
        <v>0</v>
      </c>
      <c r="AD52" s="122" t="str">
        <f aca="false">IF(E52=0,"No new subscription",IF(ISNUMBER('Sources &amp; uses'!$E$29),"MODEL capacity tested","Unverified"))</f>
        <v>No new subscription</v>
      </c>
    </row>
    <row r="53" customFormat="false" ht="19.5" hidden="false" customHeight="true" outlineLevel="0" collapsed="false">
      <c r="A53" s="111" t="n">
        <v>1893</v>
      </c>
      <c r="B53" s="107" t="n">
        <f aca="false">IF(AND(A53&gt;=1914,A53&lt;=1918),entente_total*CHOOSE(A53-1913,0.05,0.1333,0.2333,0.3,0.2834),0)</f>
        <v>0</v>
      </c>
      <c r="C53" s="122" t="n">
        <f aca="false">IF(AND(A53&gt;=1914,A53&lt;=1918),Loans!L53,0)</f>
        <v>0</v>
      </c>
      <c r="D53" s="122" t="n">
        <f aca="false">Abroad!D53</f>
        <v>0</v>
      </c>
      <c r="E53" s="107" t="n">
        <f aca="false">B53*(1-entente_public-entente_private)</f>
        <v>0</v>
      </c>
      <c r="F53" s="123" t="n">
        <f aca="false">B53-SUM(C53:E53)</f>
        <v>0</v>
      </c>
      <c r="G53" s="107" t="n">
        <f aca="false">B53*uw_fee</f>
        <v>0</v>
      </c>
      <c r="H53" s="107" t="n">
        <f aca="false">B53-G53</f>
        <v>0</v>
      </c>
      <c r="I53" s="122" t="n">
        <f aca="false">H53*'Sources &amp; uses'!$E$31</f>
        <v>0</v>
      </c>
      <c r="J53" s="107" t="n">
        <f aca="false">H53-I53</f>
        <v>0</v>
      </c>
      <c r="K53" s="123" t="n">
        <f aca="false">B53-G53-I53-J53</f>
        <v>0</v>
      </c>
      <c r="L53" s="107" t="n">
        <f aca="false">O52</f>
        <v>0</v>
      </c>
      <c r="M53" s="122" t="n">
        <f aca="false">L53*Paths!AA53</f>
        <v>0</v>
      </c>
      <c r="N53" s="107" t="n">
        <f aca="false">IF(A53=1918,(L53+C53)*russia_writeoff,0)</f>
        <v>0</v>
      </c>
      <c r="O53" s="107" t="n">
        <f aca="false">L53+C53-M53-N53</f>
        <v>0</v>
      </c>
      <c r="P53" s="122" t="n">
        <f aca="false">L53*Paths!Z53*Paths!AB53</f>
        <v>0</v>
      </c>
      <c r="Q53" s="107" t="n">
        <f aca="false">T52</f>
        <v>0</v>
      </c>
      <c r="R53" s="122" t="n">
        <f aca="false">Q53*Paths!AA53</f>
        <v>0</v>
      </c>
      <c r="S53" s="107" t="n">
        <f aca="false">IF(A53=1918,(Q53+D53)*russia_writeoff,0)</f>
        <v>0</v>
      </c>
      <c r="T53" s="107" t="n">
        <f aca="false">Q53+D53-R53-S53</f>
        <v>0</v>
      </c>
      <c r="U53" s="122" t="n">
        <f aca="false">Q53*Paths!Z53*Paths!AB53</f>
        <v>0</v>
      </c>
      <c r="V53" s="107" t="n">
        <f aca="false">Y52</f>
        <v>0</v>
      </c>
      <c r="W53" s="122" t="n">
        <f aca="false">V53*Paths!AA53</f>
        <v>0</v>
      </c>
      <c r="X53" s="107" t="n">
        <f aca="false">IF(A53=1918,(V53+E53)*russia_writeoff,0)</f>
        <v>0</v>
      </c>
      <c r="Y53" s="107" t="n">
        <f aca="false">V53+E53-W53-X53</f>
        <v>0</v>
      </c>
      <c r="Z53" s="122" t="n">
        <f aca="false">V53*Paths!Z53*Paths!AB53</f>
        <v>0</v>
      </c>
      <c r="AA53" s="107" t="n">
        <f aca="false">O53+T53+Y53</f>
        <v>0</v>
      </c>
      <c r="AB53" s="107" t="n">
        <f aca="false">P53+U53+Z53</f>
        <v>0</v>
      </c>
      <c r="AC53" s="124" t="n">
        <f aca="false">IF(E53=0,0,IF(ISNUMBER('Sources &amp; uses'!$E$29),MAX(0,E53-'Sources &amp; uses'!$E$29),"n.a."))</f>
        <v>0</v>
      </c>
      <c r="AD53" s="122" t="str">
        <f aca="false">IF(E53=0,"No new subscription",IF(ISNUMBER('Sources &amp; uses'!$E$29),"MODEL capacity tested","Unverified"))</f>
        <v>No new subscription</v>
      </c>
    </row>
    <row r="54" customFormat="false" ht="19.5" hidden="false" customHeight="true" outlineLevel="0" collapsed="false">
      <c r="A54" s="111" t="n">
        <v>1894</v>
      </c>
      <c r="B54" s="107" t="n">
        <f aca="false">IF(AND(A54&gt;=1914,A54&lt;=1918),entente_total*CHOOSE(A54-1913,0.05,0.1333,0.2333,0.3,0.2834),0)</f>
        <v>0</v>
      </c>
      <c r="C54" s="122" t="n">
        <f aca="false">IF(AND(A54&gt;=1914,A54&lt;=1918),Loans!L54,0)</f>
        <v>0</v>
      </c>
      <c r="D54" s="122" t="n">
        <f aca="false">Abroad!D54</f>
        <v>0</v>
      </c>
      <c r="E54" s="107" t="n">
        <f aca="false">B54*(1-entente_public-entente_private)</f>
        <v>0</v>
      </c>
      <c r="F54" s="123" t="n">
        <f aca="false">B54-SUM(C54:E54)</f>
        <v>0</v>
      </c>
      <c r="G54" s="107" t="n">
        <f aca="false">B54*uw_fee</f>
        <v>0</v>
      </c>
      <c r="H54" s="107" t="n">
        <f aca="false">B54-G54</f>
        <v>0</v>
      </c>
      <c r="I54" s="122" t="n">
        <f aca="false">H54*'Sources &amp; uses'!$E$31</f>
        <v>0</v>
      </c>
      <c r="J54" s="107" t="n">
        <f aca="false">H54-I54</f>
        <v>0</v>
      </c>
      <c r="K54" s="123" t="n">
        <f aca="false">B54-G54-I54-J54</f>
        <v>0</v>
      </c>
      <c r="L54" s="107" t="n">
        <f aca="false">O53</f>
        <v>0</v>
      </c>
      <c r="M54" s="122" t="n">
        <f aca="false">L54*Paths!AA54</f>
        <v>0</v>
      </c>
      <c r="N54" s="107" t="n">
        <f aca="false">IF(A54=1918,(L54+C54)*russia_writeoff,0)</f>
        <v>0</v>
      </c>
      <c r="O54" s="107" t="n">
        <f aca="false">L54+C54-M54-N54</f>
        <v>0</v>
      </c>
      <c r="P54" s="122" t="n">
        <f aca="false">L54*Paths!Z54*Paths!AB54</f>
        <v>0</v>
      </c>
      <c r="Q54" s="107" t="n">
        <f aca="false">T53</f>
        <v>0</v>
      </c>
      <c r="R54" s="122" t="n">
        <f aca="false">Q54*Paths!AA54</f>
        <v>0</v>
      </c>
      <c r="S54" s="107" t="n">
        <f aca="false">IF(A54=1918,(Q54+D54)*russia_writeoff,0)</f>
        <v>0</v>
      </c>
      <c r="T54" s="107" t="n">
        <f aca="false">Q54+D54-R54-S54</f>
        <v>0</v>
      </c>
      <c r="U54" s="122" t="n">
        <f aca="false">Q54*Paths!Z54*Paths!AB54</f>
        <v>0</v>
      </c>
      <c r="V54" s="107" t="n">
        <f aca="false">Y53</f>
        <v>0</v>
      </c>
      <c r="W54" s="122" t="n">
        <f aca="false">V54*Paths!AA54</f>
        <v>0</v>
      </c>
      <c r="X54" s="107" t="n">
        <f aca="false">IF(A54=1918,(V54+E54)*russia_writeoff,0)</f>
        <v>0</v>
      </c>
      <c r="Y54" s="107" t="n">
        <f aca="false">V54+E54-W54-X54</f>
        <v>0</v>
      </c>
      <c r="Z54" s="122" t="n">
        <f aca="false">V54*Paths!Z54*Paths!AB54</f>
        <v>0</v>
      </c>
      <c r="AA54" s="107" t="n">
        <f aca="false">O54+T54+Y54</f>
        <v>0</v>
      </c>
      <c r="AB54" s="107" t="n">
        <f aca="false">P54+U54+Z54</f>
        <v>0</v>
      </c>
      <c r="AC54" s="124" t="n">
        <f aca="false">IF(E54=0,0,IF(ISNUMBER('Sources &amp; uses'!$E$29),MAX(0,E54-'Sources &amp; uses'!$E$29),"n.a."))</f>
        <v>0</v>
      </c>
      <c r="AD54" s="122" t="str">
        <f aca="false">IF(E54=0,"No new subscription",IF(ISNUMBER('Sources &amp; uses'!$E$29),"MODEL capacity tested","Unverified"))</f>
        <v>No new subscription</v>
      </c>
    </row>
    <row r="55" customFormat="false" ht="19.5" hidden="false" customHeight="true" outlineLevel="0" collapsed="false">
      <c r="A55" s="111" t="n">
        <v>1895</v>
      </c>
      <c r="B55" s="107" t="n">
        <f aca="false">IF(AND(A55&gt;=1914,A55&lt;=1918),entente_total*CHOOSE(A55-1913,0.05,0.1333,0.2333,0.3,0.2834),0)</f>
        <v>0</v>
      </c>
      <c r="C55" s="122" t="n">
        <f aca="false">IF(AND(A55&gt;=1914,A55&lt;=1918),Loans!L55,0)</f>
        <v>0</v>
      </c>
      <c r="D55" s="122" t="n">
        <f aca="false">Abroad!D55</f>
        <v>0</v>
      </c>
      <c r="E55" s="107" t="n">
        <f aca="false">B55*(1-entente_public-entente_private)</f>
        <v>0</v>
      </c>
      <c r="F55" s="123" t="n">
        <f aca="false">B55-SUM(C55:E55)</f>
        <v>0</v>
      </c>
      <c r="G55" s="107" t="n">
        <f aca="false">B55*uw_fee</f>
        <v>0</v>
      </c>
      <c r="H55" s="107" t="n">
        <f aca="false">B55-G55</f>
        <v>0</v>
      </c>
      <c r="I55" s="122" t="n">
        <f aca="false">H55*'Sources &amp; uses'!$E$31</f>
        <v>0</v>
      </c>
      <c r="J55" s="107" t="n">
        <f aca="false">H55-I55</f>
        <v>0</v>
      </c>
      <c r="K55" s="123" t="n">
        <f aca="false">B55-G55-I55-J55</f>
        <v>0</v>
      </c>
      <c r="L55" s="107" t="n">
        <f aca="false">O54</f>
        <v>0</v>
      </c>
      <c r="M55" s="122" t="n">
        <f aca="false">L55*Paths!AA55</f>
        <v>0</v>
      </c>
      <c r="N55" s="107" t="n">
        <f aca="false">IF(A55=1918,(L55+C55)*russia_writeoff,0)</f>
        <v>0</v>
      </c>
      <c r="O55" s="107" t="n">
        <f aca="false">L55+C55-M55-N55</f>
        <v>0</v>
      </c>
      <c r="P55" s="122" t="n">
        <f aca="false">L55*Paths!Z55*Paths!AB55</f>
        <v>0</v>
      </c>
      <c r="Q55" s="107" t="n">
        <f aca="false">T54</f>
        <v>0</v>
      </c>
      <c r="R55" s="122" t="n">
        <f aca="false">Q55*Paths!AA55</f>
        <v>0</v>
      </c>
      <c r="S55" s="107" t="n">
        <f aca="false">IF(A55=1918,(Q55+D55)*russia_writeoff,0)</f>
        <v>0</v>
      </c>
      <c r="T55" s="107" t="n">
        <f aca="false">Q55+D55-R55-S55</f>
        <v>0</v>
      </c>
      <c r="U55" s="122" t="n">
        <f aca="false">Q55*Paths!Z55*Paths!AB55</f>
        <v>0</v>
      </c>
      <c r="V55" s="107" t="n">
        <f aca="false">Y54</f>
        <v>0</v>
      </c>
      <c r="W55" s="122" t="n">
        <f aca="false">V55*Paths!AA55</f>
        <v>0</v>
      </c>
      <c r="X55" s="107" t="n">
        <f aca="false">IF(A55=1918,(V55+E55)*russia_writeoff,0)</f>
        <v>0</v>
      </c>
      <c r="Y55" s="107" t="n">
        <f aca="false">V55+E55-W55-X55</f>
        <v>0</v>
      </c>
      <c r="Z55" s="122" t="n">
        <f aca="false">V55*Paths!Z55*Paths!AB55</f>
        <v>0</v>
      </c>
      <c r="AA55" s="107" t="n">
        <f aca="false">O55+T55+Y55</f>
        <v>0</v>
      </c>
      <c r="AB55" s="107" t="n">
        <f aca="false">P55+U55+Z55</f>
        <v>0</v>
      </c>
      <c r="AC55" s="124" t="n">
        <f aca="false">IF(E55=0,0,IF(ISNUMBER('Sources &amp; uses'!$E$29),MAX(0,E55-'Sources &amp; uses'!$E$29),"n.a."))</f>
        <v>0</v>
      </c>
      <c r="AD55" s="122" t="str">
        <f aca="false">IF(E55=0,"No new subscription",IF(ISNUMBER('Sources &amp; uses'!$E$29),"MODEL capacity tested","Unverified"))</f>
        <v>No new subscription</v>
      </c>
    </row>
    <row r="56" customFormat="false" ht="19.5" hidden="false" customHeight="true" outlineLevel="0" collapsed="false">
      <c r="A56" s="111" t="n">
        <v>1896</v>
      </c>
      <c r="B56" s="107" t="n">
        <f aca="false">IF(AND(A56&gt;=1914,A56&lt;=1918),entente_total*CHOOSE(A56-1913,0.05,0.1333,0.2333,0.3,0.2834),0)</f>
        <v>0</v>
      </c>
      <c r="C56" s="122" t="n">
        <f aca="false">IF(AND(A56&gt;=1914,A56&lt;=1918),Loans!L56,0)</f>
        <v>0</v>
      </c>
      <c r="D56" s="122" t="n">
        <f aca="false">Abroad!D56</f>
        <v>0</v>
      </c>
      <c r="E56" s="107" t="n">
        <f aca="false">B56*(1-entente_public-entente_private)</f>
        <v>0</v>
      </c>
      <c r="F56" s="123" t="n">
        <f aca="false">B56-SUM(C56:E56)</f>
        <v>0</v>
      </c>
      <c r="G56" s="107" t="n">
        <f aca="false">B56*uw_fee</f>
        <v>0</v>
      </c>
      <c r="H56" s="107" t="n">
        <f aca="false">B56-G56</f>
        <v>0</v>
      </c>
      <c r="I56" s="122" t="n">
        <f aca="false">H56*'Sources &amp; uses'!$E$31</f>
        <v>0</v>
      </c>
      <c r="J56" s="107" t="n">
        <f aca="false">H56-I56</f>
        <v>0</v>
      </c>
      <c r="K56" s="123" t="n">
        <f aca="false">B56-G56-I56-J56</f>
        <v>0</v>
      </c>
      <c r="L56" s="107" t="n">
        <f aca="false">O55</f>
        <v>0</v>
      </c>
      <c r="M56" s="122" t="n">
        <f aca="false">L56*Paths!AA56</f>
        <v>0</v>
      </c>
      <c r="N56" s="107" t="n">
        <f aca="false">IF(A56=1918,(L56+C56)*russia_writeoff,0)</f>
        <v>0</v>
      </c>
      <c r="O56" s="107" t="n">
        <f aca="false">L56+C56-M56-N56</f>
        <v>0</v>
      </c>
      <c r="P56" s="122" t="n">
        <f aca="false">L56*Paths!Z56*Paths!AB56</f>
        <v>0</v>
      </c>
      <c r="Q56" s="107" t="n">
        <f aca="false">T55</f>
        <v>0</v>
      </c>
      <c r="R56" s="122" t="n">
        <f aca="false">Q56*Paths!AA56</f>
        <v>0</v>
      </c>
      <c r="S56" s="107" t="n">
        <f aca="false">IF(A56=1918,(Q56+D56)*russia_writeoff,0)</f>
        <v>0</v>
      </c>
      <c r="T56" s="107" t="n">
        <f aca="false">Q56+D56-R56-S56</f>
        <v>0</v>
      </c>
      <c r="U56" s="122" t="n">
        <f aca="false">Q56*Paths!Z56*Paths!AB56</f>
        <v>0</v>
      </c>
      <c r="V56" s="107" t="n">
        <f aca="false">Y55</f>
        <v>0</v>
      </c>
      <c r="W56" s="122" t="n">
        <f aca="false">V56*Paths!AA56</f>
        <v>0</v>
      </c>
      <c r="X56" s="107" t="n">
        <f aca="false">IF(A56=1918,(V56+E56)*russia_writeoff,0)</f>
        <v>0</v>
      </c>
      <c r="Y56" s="107" t="n">
        <f aca="false">V56+E56-W56-X56</f>
        <v>0</v>
      </c>
      <c r="Z56" s="122" t="n">
        <f aca="false">V56*Paths!Z56*Paths!AB56</f>
        <v>0</v>
      </c>
      <c r="AA56" s="107" t="n">
        <f aca="false">O56+T56+Y56</f>
        <v>0</v>
      </c>
      <c r="AB56" s="107" t="n">
        <f aca="false">P56+U56+Z56</f>
        <v>0</v>
      </c>
      <c r="AC56" s="124" t="n">
        <f aca="false">IF(E56=0,0,IF(ISNUMBER('Sources &amp; uses'!$E$29),MAX(0,E56-'Sources &amp; uses'!$E$29),"n.a."))</f>
        <v>0</v>
      </c>
      <c r="AD56" s="122" t="str">
        <f aca="false">IF(E56=0,"No new subscription",IF(ISNUMBER('Sources &amp; uses'!$E$29),"MODEL capacity tested","Unverified"))</f>
        <v>No new subscription</v>
      </c>
    </row>
    <row r="57" customFormat="false" ht="19.5" hidden="false" customHeight="true" outlineLevel="0" collapsed="false">
      <c r="A57" s="111" t="n">
        <v>1897</v>
      </c>
      <c r="B57" s="107" t="n">
        <f aca="false">IF(AND(A57&gt;=1914,A57&lt;=1918),entente_total*CHOOSE(A57-1913,0.05,0.1333,0.2333,0.3,0.2834),0)</f>
        <v>0</v>
      </c>
      <c r="C57" s="122" t="n">
        <f aca="false">IF(AND(A57&gt;=1914,A57&lt;=1918),Loans!L57,0)</f>
        <v>0</v>
      </c>
      <c r="D57" s="122" t="n">
        <f aca="false">Abroad!D57</f>
        <v>0</v>
      </c>
      <c r="E57" s="107" t="n">
        <f aca="false">B57*(1-entente_public-entente_private)</f>
        <v>0</v>
      </c>
      <c r="F57" s="123" t="n">
        <f aca="false">B57-SUM(C57:E57)</f>
        <v>0</v>
      </c>
      <c r="G57" s="107" t="n">
        <f aca="false">B57*uw_fee</f>
        <v>0</v>
      </c>
      <c r="H57" s="107" t="n">
        <f aca="false">B57-G57</f>
        <v>0</v>
      </c>
      <c r="I57" s="122" t="n">
        <f aca="false">H57*'Sources &amp; uses'!$E$31</f>
        <v>0</v>
      </c>
      <c r="J57" s="107" t="n">
        <f aca="false">H57-I57</f>
        <v>0</v>
      </c>
      <c r="K57" s="123" t="n">
        <f aca="false">B57-G57-I57-J57</f>
        <v>0</v>
      </c>
      <c r="L57" s="107" t="n">
        <f aca="false">O56</f>
        <v>0</v>
      </c>
      <c r="M57" s="122" t="n">
        <f aca="false">L57*Paths!AA57</f>
        <v>0</v>
      </c>
      <c r="N57" s="107" t="n">
        <f aca="false">IF(A57=1918,(L57+C57)*russia_writeoff,0)</f>
        <v>0</v>
      </c>
      <c r="O57" s="107" t="n">
        <f aca="false">L57+C57-M57-N57</f>
        <v>0</v>
      </c>
      <c r="P57" s="122" t="n">
        <f aca="false">L57*Paths!Z57*Paths!AB57</f>
        <v>0</v>
      </c>
      <c r="Q57" s="107" t="n">
        <f aca="false">T56</f>
        <v>0</v>
      </c>
      <c r="R57" s="122" t="n">
        <f aca="false">Q57*Paths!AA57</f>
        <v>0</v>
      </c>
      <c r="S57" s="107" t="n">
        <f aca="false">IF(A57=1918,(Q57+D57)*russia_writeoff,0)</f>
        <v>0</v>
      </c>
      <c r="T57" s="107" t="n">
        <f aca="false">Q57+D57-R57-S57</f>
        <v>0</v>
      </c>
      <c r="U57" s="122" t="n">
        <f aca="false">Q57*Paths!Z57*Paths!AB57</f>
        <v>0</v>
      </c>
      <c r="V57" s="107" t="n">
        <f aca="false">Y56</f>
        <v>0</v>
      </c>
      <c r="W57" s="122" t="n">
        <f aca="false">V57*Paths!AA57</f>
        <v>0</v>
      </c>
      <c r="X57" s="107" t="n">
        <f aca="false">IF(A57=1918,(V57+E57)*russia_writeoff,0)</f>
        <v>0</v>
      </c>
      <c r="Y57" s="107" t="n">
        <f aca="false">V57+E57-W57-X57</f>
        <v>0</v>
      </c>
      <c r="Z57" s="122" t="n">
        <f aca="false">V57*Paths!Z57*Paths!AB57</f>
        <v>0</v>
      </c>
      <c r="AA57" s="107" t="n">
        <f aca="false">O57+T57+Y57</f>
        <v>0</v>
      </c>
      <c r="AB57" s="107" t="n">
        <f aca="false">P57+U57+Z57</f>
        <v>0</v>
      </c>
      <c r="AC57" s="124" t="n">
        <f aca="false">IF(E57=0,0,IF(ISNUMBER('Sources &amp; uses'!$E$29),MAX(0,E57-'Sources &amp; uses'!$E$29),"n.a."))</f>
        <v>0</v>
      </c>
      <c r="AD57" s="122" t="str">
        <f aca="false">IF(E57=0,"No new subscription",IF(ISNUMBER('Sources &amp; uses'!$E$29),"MODEL capacity tested","Unverified"))</f>
        <v>No new subscription</v>
      </c>
    </row>
    <row r="58" customFormat="false" ht="19.5" hidden="false" customHeight="true" outlineLevel="0" collapsed="false">
      <c r="A58" s="111" t="n">
        <v>1898</v>
      </c>
      <c r="B58" s="107" t="n">
        <f aca="false">IF(AND(A58&gt;=1914,A58&lt;=1918),entente_total*CHOOSE(A58-1913,0.05,0.1333,0.2333,0.3,0.2834),0)</f>
        <v>0</v>
      </c>
      <c r="C58" s="122" t="n">
        <f aca="false">IF(AND(A58&gt;=1914,A58&lt;=1918),Loans!L58,0)</f>
        <v>0</v>
      </c>
      <c r="D58" s="122" t="n">
        <f aca="false">Abroad!D58</f>
        <v>0</v>
      </c>
      <c r="E58" s="107" t="n">
        <f aca="false">B58*(1-entente_public-entente_private)</f>
        <v>0</v>
      </c>
      <c r="F58" s="123" t="n">
        <f aca="false">B58-SUM(C58:E58)</f>
        <v>0</v>
      </c>
      <c r="G58" s="107" t="n">
        <f aca="false">B58*uw_fee</f>
        <v>0</v>
      </c>
      <c r="H58" s="107" t="n">
        <f aca="false">B58-G58</f>
        <v>0</v>
      </c>
      <c r="I58" s="122" t="n">
        <f aca="false">H58*'Sources &amp; uses'!$E$31</f>
        <v>0</v>
      </c>
      <c r="J58" s="107" t="n">
        <f aca="false">H58-I58</f>
        <v>0</v>
      </c>
      <c r="K58" s="123" t="n">
        <f aca="false">B58-G58-I58-J58</f>
        <v>0</v>
      </c>
      <c r="L58" s="107" t="n">
        <f aca="false">O57</f>
        <v>0</v>
      </c>
      <c r="M58" s="122" t="n">
        <f aca="false">L58*Paths!AA58</f>
        <v>0</v>
      </c>
      <c r="N58" s="107" t="n">
        <f aca="false">IF(A58=1918,(L58+C58)*russia_writeoff,0)</f>
        <v>0</v>
      </c>
      <c r="O58" s="107" t="n">
        <f aca="false">L58+C58-M58-N58</f>
        <v>0</v>
      </c>
      <c r="P58" s="122" t="n">
        <f aca="false">L58*Paths!Z58*Paths!AB58</f>
        <v>0</v>
      </c>
      <c r="Q58" s="107" t="n">
        <f aca="false">T57</f>
        <v>0</v>
      </c>
      <c r="R58" s="122" t="n">
        <f aca="false">Q58*Paths!AA58</f>
        <v>0</v>
      </c>
      <c r="S58" s="107" t="n">
        <f aca="false">IF(A58=1918,(Q58+D58)*russia_writeoff,0)</f>
        <v>0</v>
      </c>
      <c r="T58" s="107" t="n">
        <f aca="false">Q58+D58-R58-S58</f>
        <v>0</v>
      </c>
      <c r="U58" s="122" t="n">
        <f aca="false">Q58*Paths!Z58*Paths!AB58</f>
        <v>0</v>
      </c>
      <c r="V58" s="107" t="n">
        <f aca="false">Y57</f>
        <v>0</v>
      </c>
      <c r="W58" s="122" t="n">
        <f aca="false">V58*Paths!AA58</f>
        <v>0</v>
      </c>
      <c r="X58" s="107" t="n">
        <f aca="false">IF(A58=1918,(V58+E58)*russia_writeoff,0)</f>
        <v>0</v>
      </c>
      <c r="Y58" s="107" t="n">
        <f aca="false">V58+E58-W58-X58</f>
        <v>0</v>
      </c>
      <c r="Z58" s="122" t="n">
        <f aca="false">V58*Paths!Z58*Paths!AB58</f>
        <v>0</v>
      </c>
      <c r="AA58" s="107" t="n">
        <f aca="false">O58+T58+Y58</f>
        <v>0</v>
      </c>
      <c r="AB58" s="107" t="n">
        <f aca="false">P58+U58+Z58</f>
        <v>0</v>
      </c>
      <c r="AC58" s="124" t="n">
        <f aca="false">IF(E58=0,0,IF(ISNUMBER('Sources &amp; uses'!$E$29),MAX(0,E58-'Sources &amp; uses'!$E$29),"n.a."))</f>
        <v>0</v>
      </c>
      <c r="AD58" s="122" t="str">
        <f aca="false">IF(E58=0,"No new subscription",IF(ISNUMBER('Sources &amp; uses'!$E$29),"MODEL capacity tested","Unverified"))</f>
        <v>No new subscription</v>
      </c>
    </row>
    <row r="59" customFormat="false" ht="19.5" hidden="false" customHeight="true" outlineLevel="0" collapsed="false">
      <c r="A59" s="111" t="n">
        <v>1899</v>
      </c>
      <c r="B59" s="107" t="n">
        <f aca="false">IF(AND(A59&gt;=1914,A59&lt;=1918),entente_total*CHOOSE(A59-1913,0.05,0.1333,0.2333,0.3,0.2834),0)</f>
        <v>0</v>
      </c>
      <c r="C59" s="122" t="n">
        <f aca="false">IF(AND(A59&gt;=1914,A59&lt;=1918),Loans!L59,0)</f>
        <v>0</v>
      </c>
      <c r="D59" s="122" t="n">
        <f aca="false">Abroad!D59</f>
        <v>0</v>
      </c>
      <c r="E59" s="107" t="n">
        <f aca="false">B59*(1-entente_public-entente_private)</f>
        <v>0</v>
      </c>
      <c r="F59" s="123" t="n">
        <f aca="false">B59-SUM(C59:E59)</f>
        <v>0</v>
      </c>
      <c r="G59" s="107" t="n">
        <f aca="false">B59*uw_fee</f>
        <v>0</v>
      </c>
      <c r="H59" s="107" t="n">
        <f aca="false">B59-G59</f>
        <v>0</v>
      </c>
      <c r="I59" s="122" t="n">
        <f aca="false">H59*'Sources &amp; uses'!$E$31</f>
        <v>0</v>
      </c>
      <c r="J59" s="107" t="n">
        <f aca="false">H59-I59</f>
        <v>0</v>
      </c>
      <c r="K59" s="123" t="n">
        <f aca="false">B59-G59-I59-J59</f>
        <v>0</v>
      </c>
      <c r="L59" s="107" t="n">
        <f aca="false">O58</f>
        <v>0</v>
      </c>
      <c r="M59" s="122" t="n">
        <f aca="false">L59*Paths!AA59</f>
        <v>0</v>
      </c>
      <c r="N59" s="107" t="n">
        <f aca="false">IF(A59=1918,(L59+C59)*russia_writeoff,0)</f>
        <v>0</v>
      </c>
      <c r="O59" s="107" t="n">
        <f aca="false">L59+C59-M59-N59</f>
        <v>0</v>
      </c>
      <c r="P59" s="122" t="n">
        <f aca="false">L59*Paths!Z59*Paths!AB59</f>
        <v>0</v>
      </c>
      <c r="Q59" s="107" t="n">
        <f aca="false">T58</f>
        <v>0</v>
      </c>
      <c r="R59" s="122" t="n">
        <f aca="false">Q59*Paths!AA59</f>
        <v>0</v>
      </c>
      <c r="S59" s="107" t="n">
        <f aca="false">IF(A59=1918,(Q59+D59)*russia_writeoff,0)</f>
        <v>0</v>
      </c>
      <c r="T59" s="107" t="n">
        <f aca="false">Q59+D59-R59-S59</f>
        <v>0</v>
      </c>
      <c r="U59" s="122" t="n">
        <f aca="false">Q59*Paths!Z59*Paths!AB59</f>
        <v>0</v>
      </c>
      <c r="V59" s="107" t="n">
        <f aca="false">Y58</f>
        <v>0</v>
      </c>
      <c r="W59" s="122" t="n">
        <f aca="false">V59*Paths!AA59</f>
        <v>0</v>
      </c>
      <c r="X59" s="107" t="n">
        <f aca="false">IF(A59=1918,(V59+E59)*russia_writeoff,0)</f>
        <v>0</v>
      </c>
      <c r="Y59" s="107" t="n">
        <f aca="false">V59+E59-W59-X59</f>
        <v>0</v>
      </c>
      <c r="Z59" s="122" t="n">
        <f aca="false">V59*Paths!Z59*Paths!AB59</f>
        <v>0</v>
      </c>
      <c r="AA59" s="107" t="n">
        <f aca="false">O59+T59+Y59</f>
        <v>0</v>
      </c>
      <c r="AB59" s="107" t="n">
        <f aca="false">P59+U59+Z59</f>
        <v>0</v>
      </c>
      <c r="AC59" s="124" t="n">
        <f aca="false">IF(E59=0,0,IF(ISNUMBER('Sources &amp; uses'!$E$29),MAX(0,E59-'Sources &amp; uses'!$E$29),"n.a."))</f>
        <v>0</v>
      </c>
      <c r="AD59" s="122" t="str">
        <f aca="false">IF(E59=0,"No new subscription",IF(ISNUMBER('Sources &amp; uses'!$E$29),"MODEL capacity tested","Unverified"))</f>
        <v>No new subscription</v>
      </c>
    </row>
    <row r="60" customFormat="false" ht="19.5" hidden="false" customHeight="true" outlineLevel="0" collapsed="false">
      <c r="A60" s="111" t="n">
        <v>1900</v>
      </c>
      <c r="B60" s="107" t="n">
        <f aca="false">IF(AND(A60&gt;=1914,A60&lt;=1918),entente_total*CHOOSE(A60-1913,0.05,0.1333,0.2333,0.3,0.2834),0)</f>
        <v>0</v>
      </c>
      <c r="C60" s="122" t="n">
        <f aca="false">IF(AND(A60&gt;=1914,A60&lt;=1918),Loans!L60,0)</f>
        <v>0</v>
      </c>
      <c r="D60" s="122" t="n">
        <f aca="false">Abroad!D60</f>
        <v>0</v>
      </c>
      <c r="E60" s="107" t="n">
        <f aca="false">B60*(1-entente_public-entente_private)</f>
        <v>0</v>
      </c>
      <c r="F60" s="123" t="n">
        <f aca="false">B60-SUM(C60:E60)</f>
        <v>0</v>
      </c>
      <c r="G60" s="107" t="n">
        <f aca="false">B60*uw_fee</f>
        <v>0</v>
      </c>
      <c r="H60" s="107" t="n">
        <f aca="false">B60-G60</f>
        <v>0</v>
      </c>
      <c r="I60" s="122" t="n">
        <f aca="false">H60*'Sources &amp; uses'!$E$31</f>
        <v>0</v>
      </c>
      <c r="J60" s="107" t="n">
        <f aca="false">H60-I60</f>
        <v>0</v>
      </c>
      <c r="K60" s="123" t="n">
        <f aca="false">B60-G60-I60-J60</f>
        <v>0</v>
      </c>
      <c r="L60" s="107" t="n">
        <f aca="false">O59</f>
        <v>0</v>
      </c>
      <c r="M60" s="122" t="n">
        <f aca="false">L60*Paths!AA60</f>
        <v>0</v>
      </c>
      <c r="N60" s="107" t="n">
        <f aca="false">IF(A60=1918,(L60+C60)*russia_writeoff,0)</f>
        <v>0</v>
      </c>
      <c r="O60" s="107" t="n">
        <f aca="false">L60+C60-M60-N60</f>
        <v>0</v>
      </c>
      <c r="P60" s="122" t="n">
        <f aca="false">L60*Paths!Z60*Paths!AB60</f>
        <v>0</v>
      </c>
      <c r="Q60" s="107" t="n">
        <f aca="false">T59</f>
        <v>0</v>
      </c>
      <c r="R60" s="122" t="n">
        <f aca="false">Q60*Paths!AA60</f>
        <v>0</v>
      </c>
      <c r="S60" s="107" t="n">
        <f aca="false">IF(A60=1918,(Q60+D60)*russia_writeoff,0)</f>
        <v>0</v>
      </c>
      <c r="T60" s="107" t="n">
        <f aca="false">Q60+D60-R60-S60</f>
        <v>0</v>
      </c>
      <c r="U60" s="122" t="n">
        <f aca="false">Q60*Paths!Z60*Paths!AB60</f>
        <v>0</v>
      </c>
      <c r="V60" s="107" t="n">
        <f aca="false">Y59</f>
        <v>0</v>
      </c>
      <c r="W60" s="122" t="n">
        <f aca="false">V60*Paths!AA60</f>
        <v>0</v>
      </c>
      <c r="X60" s="107" t="n">
        <f aca="false">IF(A60=1918,(V60+E60)*russia_writeoff,0)</f>
        <v>0</v>
      </c>
      <c r="Y60" s="107" t="n">
        <f aca="false">V60+E60-W60-X60</f>
        <v>0</v>
      </c>
      <c r="Z60" s="122" t="n">
        <f aca="false">V60*Paths!Z60*Paths!AB60</f>
        <v>0</v>
      </c>
      <c r="AA60" s="107" t="n">
        <f aca="false">O60+T60+Y60</f>
        <v>0</v>
      </c>
      <c r="AB60" s="107" t="n">
        <f aca="false">P60+U60+Z60</f>
        <v>0</v>
      </c>
      <c r="AC60" s="124" t="n">
        <f aca="false">IF(E60=0,0,IF(ISNUMBER('Sources &amp; uses'!$E$29),MAX(0,E60-'Sources &amp; uses'!$E$29),"n.a."))</f>
        <v>0</v>
      </c>
      <c r="AD60" s="122" t="str">
        <f aca="false">IF(E60=0,"No new subscription",IF(ISNUMBER('Sources &amp; uses'!$E$29),"MODEL capacity tested","Unverified"))</f>
        <v>No new subscription</v>
      </c>
    </row>
    <row r="61" customFormat="false" ht="19.5" hidden="false" customHeight="true" outlineLevel="0" collapsed="false">
      <c r="A61" s="111" t="n">
        <v>1901</v>
      </c>
      <c r="B61" s="107" t="n">
        <f aca="false">IF(AND(A61&gt;=1914,A61&lt;=1918),entente_total*CHOOSE(A61-1913,0.05,0.1333,0.2333,0.3,0.2834),0)</f>
        <v>0</v>
      </c>
      <c r="C61" s="122" t="n">
        <f aca="false">IF(AND(A61&gt;=1914,A61&lt;=1918),Loans!L61,0)</f>
        <v>0</v>
      </c>
      <c r="D61" s="122" t="n">
        <f aca="false">Abroad!D61</f>
        <v>0</v>
      </c>
      <c r="E61" s="107" t="n">
        <f aca="false">B61*(1-entente_public-entente_private)</f>
        <v>0</v>
      </c>
      <c r="F61" s="123" t="n">
        <f aca="false">B61-SUM(C61:E61)</f>
        <v>0</v>
      </c>
      <c r="G61" s="107" t="n">
        <f aca="false">B61*uw_fee</f>
        <v>0</v>
      </c>
      <c r="H61" s="107" t="n">
        <f aca="false">B61-G61</f>
        <v>0</v>
      </c>
      <c r="I61" s="122" t="n">
        <f aca="false">H61*'Sources &amp; uses'!$E$31</f>
        <v>0</v>
      </c>
      <c r="J61" s="107" t="n">
        <f aca="false">H61-I61</f>
        <v>0</v>
      </c>
      <c r="K61" s="123" t="n">
        <f aca="false">B61-G61-I61-J61</f>
        <v>0</v>
      </c>
      <c r="L61" s="107" t="n">
        <f aca="false">O60</f>
        <v>0</v>
      </c>
      <c r="M61" s="122" t="n">
        <f aca="false">L61*Paths!AA61</f>
        <v>0</v>
      </c>
      <c r="N61" s="107" t="n">
        <f aca="false">IF(A61=1918,(L61+C61)*russia_writeoff,0)</f>
        <v>0</v>
      </c>
      <c r="O61" s="107" t="n">
        <f aca="false">L61+C61-M61-N61</f>
        <v>0</v>
      </c>
      <c r="P61" s="122" t="n">
        <f aca="false">L61*Paths!Z61*Paths!AB61</f>
        <v>0</v>
      </c>
      <c r="Q61" s="107" t="n">
        <f aca="false">T60</f>
        <v>0</v>
      </c>
      <c r="R61" s="122" t="n">
        <f aca="false">Q61*Paths!AA61</f>
        <v>0</v>
      </c>
      <c r="S61" s="107" t="n">
        <f aca="false">IF(A61=1918,(Q61+D61)*russia_writeoff,0)</f>
        <v>0</v>
      </c>
      <c r="T61" s="107" t="n">
        <f aca="false">Q61+D61-R61-S61</f>
        <v>0</v>
      </c>
      <c r="U61" s="122" t="n">
        <f aca="false">Q61*Paths!Z61*Paths!AB61</f>
        <v>0</v>
      </c>
      <c r="V61" s="107" t="n">
        <f aca="false">Y60</f>
        <v>0</v>
      </c>
      <c r="W61" s="122" t="n">
        <f aca="false">V61*Paths!AA61</f>
        <v>0</v>
      </c>
      <c r="X61" s="107" t="n">
        <f aca="false">IF(A61=1918,(V61+E61)*russia_writeoff,0)</f>
        <v>0</v>
      </c>
      <c r="Y61" s="107" t="n">
        <f aca="false">V61+E61-W61-X61</f>
        <v>0</v>
      </c>
      <c r="Z61" s="122" t="n">
        <f aca="false">V61*Paths!Z61*Paths!AB61</f>
        <v>0</v>
      </c>
      <c r="AA61" s="107" t="n">
        <f aca="false">O61+T61+Y61</f>
        <v>0</v>
      </c>
      <c r="AB61" s="107" t="n">
        <f aca="false">P61+U61+Z61</f>
        <v>0</v>
      </c>
      <c r="AC61" s="124" t="n">
        <f aca="false">IF(E61=0,0,IF(ISNUMBER('Sources &amp; uses'!$E$29),MAX(0,E61-'Sources &amp; uses'!$E$29),"n.a."))</f>
        <v>0</v>
      </c>
      <c r="AD61" s="122" t="str">
        <f aca="false">IF(E61=0,"No new subscription",IF(ISNUMBER('Sources &amp; uses'!$E$29),"MODEL capacity tested","Unverified"))</f>
        <v>No new subscription</v>
      </c>
    </row>
    <row r="62" customFormat="false" ht="19.5" hidden="false" customHeight="true" outlineLevel="0" collapsed="false">
      <c r="A62" s="111" t="n">
        <v>1902</v>
      </c>
      <c r="B62" s="107" t="n">
        <f aca="false">IF(AND(A62&gt;=1914,A62&lt;=1918),entente_total*CHOOSE(A62-1913,0.05,0.1333,0.2333,0.3,0.2834),0)</f>
        <v>0</v>
      </c>
      <c r="C62" s="122" t="n">
        <f aca="false">IF(AND(A62&gt;=1914,A62&lt;=1918),Loans!L62,0)</f>
        <v>0</v>
      </c>
      <c r="D62" s="122" t="n">
        <f aca="false">Abroad!D62</f>
        <v>0</v>
      </c>
      <c r="E62" s="107" t="n">
        <f aca="false">B62*(1-entente_public-entente_private)</f>
        <v>0</v>
      </c>
      <c r="F62" s="123" t="n">
        <f aca="false">B62-SUM(C62:E62)</f>
        <v>0</v>
      </c>
      <c r="G62" s="107" t="n">
        <f aca="false">B62*uw_fee</f>
        <v>0</v>
      </c>
      <c r="H62" s="107" t="n">
        <f aca="false">B62-G62</f>
        <v>0</v>
      </c>
      <c r="I62" s="122" t="n">
        <f aca="false">H62*'Sources &amp; uses'!$E$31</f>
        <v>0</v>
      </c>
      <c r="J62" s="107" t="n">
        <f aca="false">H62-I62</f>
        <v>0</v>
      </c>
      <c r="K62" s="123" t="n">
        <f aca="false">B62-G62-I62-J62</f>
        <v>0</v>
      </c>
      <c r="L62" s="107" t="n">
        <f aca="false">O61</f>
        <v>0</v>
      </c>
      <c r="M62" s="122" t="n">
        <f aca="false">L62*Paths!AA62</f>
        <v>0</v>
      </c>
      <c r="N62" s="107" t="n">
        <f aca="false">IF(A62=1918,(L62+C62)*russia_writeoff,0)</f>
        <v>0</v>
      </c>
      <c r="O62" s="107" t="n">
        <f aca="false">L62+C62-M62-N62</f>
        <v>0</v>
      </c>
      <c r="P62" s="122" t="n">
        <f aca="false">L62*Paths!Z62*Paths!AB62</f>
        <v>0</v>
      </c>
      <c r="Q62" s="107" t="n">
        <f aca="false">T61</f>
        <v>0</v>
      </c>
      <c r="R62" s="122" t="n">
        <f aca="false">Q62*Paths!AA62</f>
        <v>0</v>
      </c>
      <c r="S62" s="107" t="n">
        <f aca="false">IF(A62=1918,(Q62+D62)*russia_writeoff,0)</f>
        <v>0</v>
      </c>
      <c r="T62" s="107" t="n">
        <f aca="false">Q62+D62-R62-S62</f>
        <v>0</v>
      </c>
      <c r="U62" s="122" t="n">
        <f aca="false">Q62*Paths!Z62*Paths!AB62</f>
        <v>0</v>
      </c>
      <c r="V62" s="107" t="n">
        <f aca="false">Y61</f>
        <v>0</v>
      </c>
      <c r="W62" s="122" t="n">
        <f aca="false">V62*Paths!AA62</f>
        <v>0</v>
      </c>
      <c r="X62" s="107" t="n">
        <f aca="false">IF(A62=1918,(V62+E62)*russia_writeoff,0)</f>
        <v>0</v>
      </c>
      <c r="Y62" s="107" t="n">
        <f aca="false">V62+E62-W62-X62</f>
        <v>0</v>
      </c>
      <c r="Z62" s="122" t="n">
        <f aca="false">V62*Paths!Z62*Paths!AB62</f>
        <v>0</v>
      </c>
      <c r="AA62" s="107" t="n">
        <f aca="false">O62+T62+Y62</f>
        <v>0</v>
      </c>
      <c r="AB62" s="107" t="n">
        <f aca="false">P62+U62+Z62</f>
        <v>0</v>
      </c>
      <c r="AC62" s="124" t="n">
        <f aca="false">IF(E62=0,0,IF(ISNUMBER('Sources &amp; uses'!$E$29),MAX(0,E62-'Sources &amp; uses'!$E$29),"n.a."))</f>
        <v>0</v>
      </c>
      <c r="AD62" s="122" t="str">
        <f aca="false">IF(E62=0,"No new subscription",IF(ISNUMBER('Sources &amp; uses'!$E$29),"MODEL capacity tested","Unverified"))</f>
        <v>No new subscription</v>
      </c>
    </row>
    <row r="63" customFormat="false" ht="19.5" hidden="false" customHeight="true" outlineLevel="0" collapsed="false">
      <c r="A63" s="111" t="n">
        <v>1903</v>
      </c>
      <c r="B63" s="107" t="n">
        <f aca="false">IF(AND(A63&gt;=1914,A63&lt;=1918),entente_total*CHOOSE(A63-1913,0.05,0.1333,0.2333,0.3,0.2834),0)</f>
        <v>0</v>
      </c>
      <c r="C63" s="122" t="n">
        <f aca="false">IF(AND(A63&gt;=1914,A63&lt;=1918),Loans!L63,0)</f>
        <v>0</v>
      </c>
      <c r="D63" s="122" t="n">
        <f aca="false">Abroad!D63</f>
        <v>0</v>
      </c>
      <c r="E63" s="107" t="n">
        <f aca="false">B63*(1-entente_public-entente_private)</f>
        <v>0</v>
      </c>
      <c r="F63" s="123" t="n">
        <f aca="false">B63-SUM(C63:E63)</f>
        <v>0</v>
      </c>
      <c r="G63" s="107" t="n">
        <f aca="false">B63*uw_fee</f>
        <v>0</v>
      </c>
      <c r="H63" s="107" t="n">
        <f aca="false">B63-G63</f>
        <v>0</v>
      </c>
      <c r="I63" s="122" t="n">
        <f aca="false">H63*'Sources &amp; uses'!$E$31</f>
        <v>0</v>
      </c>
      <c r="J63" s="107" t="n">
        <f aca="false">H63-I63</f>
        <v>0</v>
      </c>
      <c r="K63" s="123" t="n">
        <f aca="false">B63-G63-I63-J63</f>
        <v>0</v>
      </c>
      <c r="L63" s="107" t="n">
        <f aca="false">O62</f>
        <v>0</v>
      </c>
      <c r="M63" s="122" t="n">
        <f aca="false">L63*Paths!AA63</f>
        <v>0</v>
      </c>
      <c r="N63" s="107" t="n">
        <f aca="false">IF(A63=1918,(L63+C63)*russia_writeoff,0)</f>
        <v>0</v>
      </c>
      <c r="O63" s="107" t="n">
        <f aca="false">L63+C63-M63-N63</f>
        <v>0</v>
      </c>
      <c r="P63" s="122" t="n">
        <f aca="false">L63*Paths!Z63*Paths!AB63</f>
        <v>0</v>
      </c>
      <c r="Q63" s="107" t="n">
        <f aca="false">T62</f>
        <v>0</v>
      </c>
      <c r="R63" s="122" t="n">
        <f aca="false">Q63*Paths!AA63</f>
        <v>0</v>
      </c>
      <c r="S63" s="107" t="n">
        <f aca="false">IF(A63=1918,(Q63+D63)*russia_writeoff,0)</f>
        <v>0</v>
      </c>
      <c r="T63" s="107" t="n">
        <f aca="false">Q63+D63-R63-S63</f>
        <v>0</v>
      </c>
      <c r="U63" s="122" t="n">
        <f aca="false">Q63*Paths!Z63*Paths!AB63</f>
        <v>0</v>
      </c>
      <c r="V63" s="107" t="n">
        <f aca="false">Y62</f>
        <v>0</v>
      </c>
      <c r="W63" s="122" t="n">
        <f aca="false">V63*Paths!AA63</f>
        <v>0</v>
      </c>
      <c r="X63" s="107" t="n">
        <f aca="false">IF(A63=1918,(V63+E63)*russia_writeoff,0)</f>
        <v>0</v>
      </c>
      <c r="Y63" s="107" t="n">
        <f aca="false">V63+E63-W63-X63</f>
        <v>0</v>
      </c>
      <c r="Z63" s="122" t="n">
        <f aca="false">V63*Paths!Z63*Paths!AB63</f>
        <v>0</v>
      </c>
      <c r="AA63" s="107" t="n">
        <f aca="false">O63+T63+Y63</f>
        <v>0</v>
      </c>
      <c r="AB63" s="107" t="n">
        <f aca="false">P63+U63+Z63</f>
        <v>0</v>
      </c>
      <c r="AC63" s="124" t="n">
        <f aca="false">IF(E63=0,0,IF(ISNUMBER('Sources &amp; uses'!$E$29),MAX(0,E63-'Sources &amp; uses'!$E$29),"n.a."))</f>
        <v>0</v>
      </c>
      <c r="AD63" s="122" t="str">
        <f aca="false">IF(E63=0,"No new subscription",IF(ISNUMBER('Sources &amp; uses'!$E$29),"MODEL capacity tested","Unverified"))</f>
        <v>No new subscription</v>
      </c>
    </row>
    <row r="64" customFormat="false" ht="19.5" hidden="false" customHeight="true" outlineLevel="0" collapsed="false">
      <c r="A64" s="111" t="n">
        <v>1904</v>
      </c>
      <c r="B64" s="107" t="n">
        <f aca="false">IF(AND(A64&gt;=1914,A64&lt;=1918),entente_total*CHOOSE(A64-1913,0.05,0.1333,0.2333,0.3,0.2834),0)</f>
        <v>0</v>
      </c>
      <c r="C64" s="122" t="n">
        <f aca="false">IF(AND(A64&gt;=1914,A64&lt;=1918),Loans!L64,0)</f>
        <v>0</v>
      </c>
      <c r="D64" s="122" t="n">
        <f aca="false">Abroad!D64</f>
        <v>0</v>
      </c>
      <c r="E64" s="107" t="n">
        <f aca="false">B64*(1-entente_public-entente_private)</f>
        <v>0</v>
      </c>
      <c r="F64" s="123" t="n">
        <f aca="false">B64-SUM(C64:E64)</f>
        <v>0</v>
      </c>
      <c r="G64" s="107" t="n">
        <f aca="false">B64*uw_fee</f>
        <v>0</v>
      </c>
      <c r="H64" s="107" t="n">
        <f aca="false">B64-G64</f>
        <v>0</v>
      </c>
      <c r="I64" s="122" t="n">
        <f aca="false">H64*'Sources &amp; uses'!$E$31</f>
        <v>0</v>
      </c>
      <c r="J64" s="107" t="n">
        <f aca="false">H64-I64</f>
        <v>0</v>
      </c>
      <c r="K64" s="123" t="n">
        <f aca="false">B64-G64-I64-J64</f>
        <v>0</v>
      </c>
      <c r="L64" s="107" t="n">
        <f aca="false">O63</f>
        <v>0</v>
      </c>
      <c r="M64" s="122" t="n">
        <f aca="false">L64*Paths!AA64</f>
        <v>0</v>
      </c>
      <c r="N64" s="107" t="n">
        <f aca="false">IF(A64=1918,(L64+C64)*russia_writeoff,0)</f>
        <v>0</v>
      </c>
      <c r="O64" s="107" t="n">
        <f aca="false">L64+C64-M64-N64</f>
        <v>0</v>
      </c>
      <c r="P64" s="122" t="n">
        <f aca="false">L64*Paths!Z64*Paths!AB64</f>
        <v>0</v>
      </c>
      <c r="Q64" s="107" t="n">
        <f aca="false">T63</f>
        <v>0</v>
      </c>
      <c r="R64" s="122" t="n">
        <f aca="false">Q64*Paths!AA64</f>
        <v>0</v>
      </c>
      <c r="S64" s="107" t="n">
        <f aca="false">IF(A64=1918,(Q64+D64)*russia_writeoff,0)</f>
        <v>0</v>
      </c>
      <c r="T64" s="107" t="n">
        <f aca="false">Q64+D64-R64-S64</f>
        <v>0</v>
      </c>
      <c r="U64" s="122" t="n">
        <f aca="false">Q64*Paths!Z64*Paths!AB64</f>
        <v>0</v>
      </c>
      <c r="V64" s="107" t="n">
        <f aca="false">Y63</f>
        <v>0</v>
      </c>
      <c r="W64" s="122" t="n">
        <f aca="false">V64*Paths!AA64</f>
        <v>0</v>
      </c>
      <c r="X64" s="107" t="n">
        <f aca="false">IF(A64=1918,(V64+E64)*russia_writeoff,0)</f>
        <v>0</v>
      </c>
      <c r="Y64" s="107" t="n">
        <f aca="false">V64+E64-W64-X64</f>
        <v>0</v>
      </c>
      <c r="Z64" s="122" t="n">
        <f aca="false">V64*Paths!Z64*Paths!AB64</f>
        <v>0</v>
      </c>
      <c r="AA64" s="107" t="n">
        <f aca="false">O64+T64+Y64</f>
        <v>0</v>
      </c>
      <c r="AB64" s="107" t="n">
        <f aca="false">P64+U64+Z64</f>
        <v>0</v>
      </c>
      <c r="AC64" s="124" t="n">
        <f aca="false">IF(E64=0,0,IF(ISNUMBER('Sources &amp; uses'!$E$29),MAX(0,E64-'Sources &amp; uses'!$E$29),"n.a."))</f>
        <v>0</v>
      </c>
      <c r="AD64" s="122" t="str">
        <f aca="false">IF(E64=0,"No new subscription",IF(ISNUMBER('Sources &amp; uses'!$E$29),"MODEL capacity tested","Unverified"))</f>
        <v>No new subscription</v>
      </c>
    </row>
    <row r="65" customFormat="false" ht="19.5" hidden="false" customHeight="true" outlineLevel="0" collapsed="false">
      <c r="A65" s="111" t="n">
        <v>1905</v>
      </c>
      <c r="B65" s="107" t="n">
        <f aca="false">IF(AND(A65&gt;=1914,A65&lt;=1918),entente_total*CHOOSE(A65-1913,0.05,0.1333,0.2333,0.3,0.2834),0)</f>
        <v>0</v>
      </c>
      <c r="C65" s="122" t="n">
        <f aca="false">IF(AND(A65&gt;=1914,A65&lt;=1918),Loans!L65,0)</f>
        <v>0</v>
      </c>
      <c r="D65" s="122" t="n">
        <f aca="false">Abroad!D65</f>
        <v>0</v>
      </c>
      <c r="E65" s="107" t="n">
        <f aca="false">B65*(1-entente_public-entente_private)</f>
        <v>0</v>
      </c>
      <c r="F65" s="123" t="n">
        <f aca="false">B65-SUM(C65:E65)</f>
        <v>0</v>
      </c>
      <c r="G65" s="107" t="n">
        <f aca="false">B65*uw_fee</f>
        <v>0</v>
      </c>
      <c r="H65" s="107" t="n">
        <f aca="false">B65-G65</f>
        <v>0</v>
      </c>
      <c r="I65" s="122" t="n">
        <f aca="false">H65*'Sources &amp; uses'!$E$31</f>
        <v>0</v>
      </c>
      <c r="J65" s="107" t="n">
        <f aca="false">H65-I65</f>
        <v>0</v>
      </c>
      <c r="K65" s="123" t="n">
        <f aca="false">B65-G65-I65-J65</f>
        <v>0</v>
      </c>
      <c r="L65" s="107" t="n">
        <f aca="false">O64</f>
        <v>0</v>
      </c>
      <c r="M65" s="122" t="n">
        <f aca="false">L65*Paths!AA65</f>
        <v>0</v>
      </c>
      <c r="N65" s="107" t="n">
        <f aca="false">IF(A65=1918,(L65+C65)*russia_writeoff,0)</f>
        <v>0</v>
      </c>
      <c r="O65" s="107" t="n">
        <f aca="false">L65+C65-M65-N65</f>
        <v>0</v>
      </c>
      <c r="P65" s="122" t="n">
        <f aca="false">L65*Paths!Z65*Paths!AB65</f>
        <v>0</v>
      </c>
      <c r="Q65" s="107" t="n">
        <f aca="false">T64</f>
        <v>0</v>
      </c>
      <c r="R65" s="122" t="n">
        <f aca="false">Q65*Paths!AA65</f>
        <v>0</v>
      </c>
      <c r="S65" s="107" t="n">
        <f aca="false">IF(A65=1918,(Q65+D65)*russia_writeoff,0)</f>
        <v>0</v>
      </c>
      <c r="T65" s="107" t="n">
        <f aca="false">Q65+D65-R65-S65</f>
        <v>0</v>
      </c>
      <c r="U65" s="122" t="n">
        <f aca="false">Q65*Paths!Z65*Paths!AB65</f>
        <v>0</v>
      </c>
      <c r="V65" s="107" t="n">
        <f aca="false">Y64</f>
        <v>0</v>
      </c>
      <c r="W65" s="122" t="n">
        <f aca="false">V65*Paths!AA65</f>
        <v>0</v>
      </c>
      <c r="X65" s="107" t="n">
        <f aca="false">IF(A65=1918,(V65+E65)*russia_writeoff,0)</f>
        <v>0</v>
      </c>
      <c r="Y65" s="107" t="n">
        <f aca="false">V65+E65-W65-X65</f>
        <v>0</v>
      </c>
      <c r="Z65" s="122" t="n">
        <f aca="false">V65*Paths!Z65*Paths!AB65</f>
        <v>0</v>
      </c>
      <c r="AA65" s="107" t="n">
        <f aca="false">O65+T65+Y65</f>
        <v>0</v>
      </c>
      <c r="AB65" s="107" t="n">
        <f aca="false">P65+U65+Z65</f>
        <v>0</v>
      </c>
      <c r="AC65" s="124" t="n">
        <f aca="false">IF(E65=0,0,IF(ISNUMBER('Sources &amp; uses'!$E$29),MAX(0,E65-'Sources &amp; uses'!$E$29),"n.a."))</f>
        <v>0</v>
      </c>
      <c r="AD65" s="122" t="str">
        <f aca="false">IF(E65=0,"No new subscription",IF(ISNUMBER('Sources &amp; uses'!$E$29),"MODEL capacity tested","Unverified"))</f>
        <v>No new subscription</v>
      </c>
    </row>
    <row r="66" customFormat="false" ht="19.5" hidden="false" customHeight="true" outlineLevel="0" collapsed="false">
      <c r="A66" s="111" t="n">
        <v>1906</v>
      </c>
      <c r="B66" s="107" t="n">
        <f aca="false">IF(AND(A66&gt;=1914,A66&lt;=1918),entente_total*CHOOSE(A66-1913,0.05,0.1333,0.2333,0.3,0.2834),0)</f>
        <v>0</v>
      </c>
      <c r="C66" s="122" t="n">
        <f aca="false">IF(AND(A66&gt;=1914,A66&lt;=1918),Loans!L66,0)</f>
        <v>0</v>
      </c>
      <c r="D66" s="122" t="n">
        <f aca="false">Abroad!D66</f>
        <v>0</v>
      </c>
      <c r="E66" s="107" t="n">
        <f aca="false">B66*(1-entente_public-entente_private)</f>
        <v>0</v>
      </c>
      <c r="F66" s="123" t="n">
        <f aca="false">B66-SUM(C66:E66)</f>
        <v>0</v>
      </c>
      <c r="G66" s="107" t="n">
        <f aca="false">B66*uw_fee</f>
        <v>0</v>
      </c>
      <c r="H66" s="107" t="n">
        <f aca="false">B66-G66</f>
        <v>0</v>
      </c>
      <c r="I66" s="122" t="n">
        <f aca="false">H66*'Sources &amp; uses'!$E$31</f>
        <v>0</v>
      </c>
      <c r="J66" s="107" t="n">
        <f aca="false">H66-I66</f>
        <v>0</v>
      </c>
      <c r="K66" s="123" t="n">
        <f aca="false">B66-G66-I66-J66</f>
        <v>0</v>
      </c>
      <c r="L66" s="107" t="n">
        <f aca="false">O65</f>
        <v>0</v>
      </c>
      <c r="M66" s="122" t="n">
        <f aca="false">L66*Paths!AA66</f>
        <v>0</v>
      </c>
      <c r="N66" s="107" t="n">
        <f aca="false">IF(A66=1918,(L66+C66)*russia_writeoff,0)</f>
        <v>0</v>
      </c>
      <c r="O66" s="107" t="n">
        <f aca="false">L66+C66-M66-N66</f>
        <v>0</v>
      </c>
      <c r="P66" s="122" t="n">
        <f aca="false">L66*Paths!Z66*Paths!AB66</f>
        <v>0</v>
      </c>
      <c r="Q66" s="107" t="n">
        <f aca="false">T65</f>
        <v>0</v>
      </c>
      <c r="R66" s="122" t="n">
        <f aca="false">Q66*Paths!AA66</f>
        <v>0</v>
      </c>
      <c r="S66" s="107" t="n">
        <f aca="false">IF(A66=1918,(Q66+D66)*russia_writeoff,0)</f>
        <v>0</v>
      </c>
      <c r="T66" s="107" t="n">
        <f aca="false">Q66+D66-R66-S66</f>
        <v>0</v>
      </c>
      <c r="U66" s="122" t="n">
        <f aca="false">Q66*Paths!Z66*Paths!AB66</f>
        <v>0</v>
      </c>
      <c r="V66" s="107" t="n">
        <f aca="false">Y65</f>
        <v>0</v>
      </c>
      <c r="W66" s="122" t="n">
        <f aca="false">V66*Paths!AA66</f>
        <v>0</v>
      </c>
      <c r="X66" s="107" t="n">
        <f aca="false">IF(A66=1918,(V66+E66)*russia_writeoff,0)</f>
        <v>0</v>
      </c>
      <c r="Y66" s="107" t="n">
        <f aca="false">V66+E66-W66-X66</f>
        <v>0</v>
      </c>
      <c r="Z66" s="122" t="n">
        <f aca="false">V66*Paths!Z66*Paths!AB66</f>
        <v>0</v>
      </c>
      <c r="AA66" s="107" t="n">
        <f aca="false">O66+T66+Y66</f>
        <v>0</v>
      </c>
      <c r="AB66" s="107" t="n">
        <f aca="false">P66+U66+Z66</f>
        <v>0</v>
      </c>
      <c r="AC66" s="124" t="n">
        <f aca="false">IF(E66=0,0,IF(ISNUMBER('Sources &amp; uses'!$E$29),MAX(0,E66-'Sources &amp; uses'!$E$29),"n.a."))</f>
        <v>0</v>
      </c>
      <c r="AD66" s="122" t="str">
        <f aca="false">IF(E66=0,"No new subscription",IF(ISNUMBER('Sources &amp; uses'!$E$29),"MODEL capacity tested","Unverified"))</f>
        <v>No new subscription</v>
      </c>
    </row>
    <row r="67" customFormat="false" ht="19.5" hidden="false" customHeight="true" outlineLevel="0" collapsed="false">
      <c r="A67" s="111" t="n">
        <v>1907</v>
      </c>
      <c r="B67" s="107" t="n">
        <f aca="false">IF(AND(A67&gt;=1914,A67&lt;=1918),entente_total*CHOOSE(A67-1913,0.05,0.1333,0.2333,0.3,0.2834),0)</f>
        <v>0</v>
      </c>
      <c r="C67" s="122" t="n">
        <f aca="false">IF(AND(A67&gt;=1914,A67&lt;=1918),Loans!L67,0)</f>
        <v>0</v>
      </c>
      <c r="D67" s="122" t="n">
        <f aca="false">Abroad!D67</f>
        <v>0</v>
      </c>
      <c r="E67" s="107" t="n">
        <f aca="false">B67*(1-entente_public-entente_private)</f>
        <v>0</v>
      </c>
      <c r="F67" s="123" t="n">
        <f aca="false">B67-SUM(C67:E67)</f>
        <v>0</v>
      </c>
      <c r="G67" s="107" t="n">
        <f aca="false">B67*uw_fee</f>
        <v>0</v>
      </c>
      <c r="H67" s="107" t="n">
        <f aca="false">B67-G67</f>
        <v>0</v>
      </c>
      <c r="I67" s="122" t="n">
        <f aca="false">H67*'Sources &amp; uses'!$E$31</f>
        <v>0</v>
      </c>
      <c r="J67" s="107" t="n">
        <f aca="false">H67-I67</f>
        <v>0</v>
      </c>
      <c r="K67" s="123" t="n">
        <f aca="false">B67-G67-I67-J67</f>
        <v>0</v>
      </c>
      <c r="L67" s="107" t="n">
        <f aca="false">O66</f>
        <v>0</v>
      </c>
      <c r="M67" s="122" t="n">
        <f aca="false">L67*Paths!AA67</f>
        <v>0</v>
      </c>
      <c r="N67" s="107" t="n">
        <f aca="false">IF(A67=1918,(L67+C67)*russia_writeoff,0)</f>
        <v>0</v>
      </c>
      <c r="O67" s="107" t="n">
        <f aca="false">L67+C67-M67-N67</f>
        <v>0</v>
      </c>
      <c r="P67" s="122" t="n">
        <f aca="false">L67*Paths!Z67*Paths!AB67</f>
        <v>0</v>
      </c>
      <c r="Q67" s="107" t="n">
        <f aca="false">T66</f>
        <v>0</v>
      </c>
      <c r="R67" s="122" t="n">
        <f aca="false">Q67*Paths!AA67</f>
        <v>0</v>
      </c>
      <c r="S67" s="107" t="n">
        <f aca="false">IF(A67=1918,(Q67+D67)*russia_writeoff,0)</f>
        <v>0</v>
      </c>
      <c r="T67" s="107" t="n">
        <f aca="false">Q67+D67-R67-S67</f>
        <v>0</v>
      </c>
      <c r="U67" s="122" t="n">
        <f aca="false">Q67*Paths!Z67*Paths!AB67</f>
        <v>0</v>
      </c>
      <c r="V67" s="107" t="n">
        <f aca="false">Y66</f>
        <v>0</v>
      </c>
      <c r="W67" s="122" t="n">
        <f aca="false">V67*Paths!AA67</f>
        <v>0</v>
      </c>
      <c r="X67" s="107" t="n">
        <f aca="false">IF(A67=1918,(V67+E67)*russia_writeoff,0)</f>
        <v>0</v>
      </c>
      <c r="Y67" s="107" t="n">
        <f aca="false">V67+E67-W67-X67</f>
        <v>0</v>
      </c>
      <c r="Z67" s="122" t="n">
        <f aca="false">V67*Paths!Z67*Paths!AB67</f>
        <v>0</v>
      </c>
      <c r="AA67" s="107" t="n">
        <f aca="false">O67+T67+Y67</f>
        <v>0</v>
      </c>
      <c r="AB67" s="107" t="n">
        <f aca="false">P67+U67+Z67</f>
        <v>0</v>
      </c>
      <c r="AC67" s="124" t="n">
        <f aca="false">IF(E67=0,0,IF(ISNUMBER('Sources &amp; uses'!$E$29),MAX(0,E67-'Sources &amp; uses'!$E$29),"n.a."))</f>
        <v>0</v>
      </c>
      <c r="AD67" s="122" t="str">
        <f aca="false">IF(E67=0,"No new subscription",IF(ISNUMBER('Sources &amp; uses'!$E$29),"MODEL capacity tested","Unverified"))</f>
        <v>No new subscription</v>
      </c>
    </row>
    <row r="68" customFormat="false" ht="19.5" hidden="false" customHeight="true" outlineLevel="0" collapsed="false">
      <c r="A68" s="111" t="n">
        <v>1908</v>
      </c>
      <c r="B68" s="107" t="n">
        <f aca="false">IF(AND(A68&gt;=1914,A68&lt;=1918),entente_total*CHOOSE(A68-1913,0.05,0.1333,0.2333,0.3,0.2834),0)</f>
        <v>0</v>
      </c>
      <c r="C68" s="122" t="n">
        <f aca="false">IF(AND(A68&gt;=1914,A68&lt;=1918),Loans!L68,0)</f>
        <v>0</v>
      </c>
      <c r="D68" s="122" t="n">
        <f aca="false">Abroad!D68</f>
        <v>0</v>
      </c>
      <c r="E68" s="107" t="n">
        <f aca="false">B68*(1-entente_public-entente_private)</f>
        <v>0</v>
      </c>
      <c r="F68" s="123" t="n">
        <f aca="false">B68-SUM(C68:E68)</f>
        <v>0</v>
      </c>
      <c r="G68" s="107" t="n">
        <f aca="false">B68*uw_fee</f>
        <v>0</v>
      </c>
      <c r="H68" s="107" t="n">
        <f aca="false">B68-G68</f>
        <v>0</v>
      </c>
      <c r="I68" s="122" t="n">
        <f aca="false">H68*'Sources &amp; uses'!$E$31</f>
        <v>0</v>
      </c>
      <c r="J68" s="107" t="n">
        <f aca="false">H68-I68</f>
        <v>0</v>
      </c>
      <c r="K68" s="123" t="n">
        <f aca="false">B68-G68-I68-J68</f>
        <v>0</v>
      </c>
      <c r="L68" s="107" t="n">
        <f aca="false">O67</f>
        <v>0</v>
      </c>
      <c r="M68" s="122" t="n">
        <f aca="false">L68*Paths!AA68</f>
        <v>0</v>
      </c>
      <c r="N68" s="107" t="n">
        <f aca="false">IF(A68=1918,(L68+C68)*russia_writeoff,0)</f>
        <v>0</v>
      </c>
      <c r="O68" s="107" t="n">
        <f aca="false">L68+C68-M68-N68</f>
        <v>0</v>
      </c>
      <c r="P68" s="122" t="n">
        <f aca="false">L68*Paths!Z68*Paths!AB68</f>
        <v>0</v>
      </c>
      <c r="Q68" s="107" t="n">
        <f aca="false">T67</f>
        <v>0</v>
      </c>
      <c r="R68" s="122" t="n">
        <f aca="false">Q68*Paths!AA68</f>
        <v>0</v>
      </c>
      <c r="S68" s="107" t="n">
        <f aca="false">IF(A68=1918,(Q68+D68)*russia_writeoff,0)</f>
        <v>0</v>
      </c>
      <c r="T68" s="107" t="n">
        <f aca="false">Q68+D68-R68-S68</f>
        <v>0</v>
      </c>
      <c r="U68" s="122" t="n">
        <f aca="false">Q68*Paths!Z68*Paths!AB68</f>
        <v>0</v>
      </c>
      <c r="V68" s="107" t="n">
        <f aca="false">Y67</f>
        <v>0</v>
      </c>
      <c r="W68" s="122" t="n">
        <f aca="false">V68*Paths!AA68</f>
        <v>0</v>
      </c>
      <c r="X68" s="107" t="n">
        <f aca="false">IF(A68=1918,(V68+E68)*russia_writeoff,0)</f>
        <v>0</v>
      </c>
      <c r="Y68" s="107" t="n">
        <f aca="false">V68+E68-W68-X68</f>
        <v>0</v>
      </c>
      <c r="Z68" s="122" t="n">
        <f aca="false">V68*Paths!Z68*Paths!AB68</f>
        <v>0</v>
      </c>
      <c r="AA68" s="107" t="n">
        <f aca="false">O68+T68+Y68</f>
        <v>0</v>
      </c>
      <c r="AB68" s="107" t="n">
        <f aca="false">P68+U68+Z68</f>
        <v>0</v>
      </c>
      <c r="AC68" s="124" t="n">
        <f aca="false">IF(E68=0,0,IF(ISNUMBER('Sources &amp; uses'!$E$29),MAX(0,E68-'Sources &amp; uses'!$E$29),"n.a."))</f>
        <v>0</v>
      </c>
      <c r="AD68" s="122" t="str">
        <f aca="false">IF(E68=0,"No new subscription",IF(ISNUMBER('Sources &amp; uses'!$E$29),"MODEL capacity tested","Unverified"))</f>
        <v>No new subscription</v>
      </c>
    </row>
    <row r="69" customFormat="false" ht="19.5" hidden="false" customHeight="true" outlineLevel="0" collapsed="false">
      <c r="A69" s="111" t="n">
        <v>1909</v>
      </c>
      <c r="B69" s="107" t="n">
        <f aca="false">IF(AND(A69&gt;=1914,A69&lt;=1918),entente_total*CHOOSE(A69-1913,0.05,0.1333,0.2333,0.3,0.2834),0)</f>
        <v>0</v>
      </c>
      <c r="C69" s="122" t="n">
        <f aca="false">IF(AND(A69&gt;=1914,A69&lt;=1918),Loans!L69,0)</f>
        <v>0</v>
      </c>
      <c r="D69" s="122" t="n">
        <f aca="false">Abroad!D69</f>
        <v>0</v>
      </c>
      <c r="E69" s="107" t="n">
        <f aca="false">B69*(1-entente_public-entente_private)</f>
        <v>0</v>
      </c>
      <c r="F69" s="123" t="n">
        <f aca="false">B69-SUM(C69:E69)</f>
        <v>0</v>
      </c>
      <c r="G69" s="107" t="n">
        <f aca="false">B69*uw_fee</f>
        <v>0</v>
      </c>
      <c r="H69" s="107" t="n">
        <f aca="false">B69-G69</f>
        <v>0</v>
      </c>
      <c r="I69" s="122" t="n">
        <f aca="false">H69*'Sources &amp; uses'!$E$31</f>
        <v>0</v>
      </c>
      <c r="J69" s="107" t="n">
        <f aca="false">H69-I69</f>
        <v>0</v>
      </c>
      <c r="K69" s="123" t="n">
        <f aca="false">B69-G69-I69-J69</f>
        <v>0</v>
      </c>
      <c r="L69" s="107" t="n">
        <f aca="false">O68</f>
        <v>0</v>
      </c>
      <c r="M69" s="122" t="n">
        <f aca="false">L69*Paths!AA69</f>
        <v>0</v>
      </c>
      <c r="N69" s="107" t="n">
        <f aca="false">IF(A69=1918,(L69+C69)*russia_writeoff,0)</f>
        <v>0</v>
      </c>
      <c r="O69" s="107" t="n">
        <f aca="false">L69+C69-M69-N69</f>
        <v>0</v>
      </c>
      <c r="P69" s="122" t="n">
        <f aca="false">L69*Paths!Z69*Paths!AB69</f>
        <v>0</v>
      </c>
      <c r="Q69" s="107" t="n">
        <f aca="false">T68</f>
        <v>0</v>
      </c>
      <c r="R69" s="122" t="n">
        <f aca="false">Q69*Paths!AA69</f>
        <v>0</v>
      </c>
      <c r="S69" s="107" t="n">
        <f aca="false">IF(A69=1918,(Q69+D69)*russia_writeoff,0)</f>
        <v>0</v>
      </c>
      <c r="T69" s="107" t="n">
        <f aca="false">Q69+D69-R69-S69</f>
        <v>0</v>
      </c>
      <c r="U69" s="122" t="n">
        <f aca="false">Q69*Paths!Z69*Paths!AB69</f>
        <v>0</v>
      </c>
      <c r="V69" s="107" t="n">
        <f aca="false">Y68</f>
        <v>0</v>
      </c>
      <c r="W69" s="122" t="n">
        <f aca="false">V69*Paths!AA69</f>
        <v>0</v>
      </c>
      <c r="X69" s="107" t="n">
        <f aca="false">IF(A69=1918,(V69+E69)*russia_writeoff,0)</f>
        <v>0</v>
      </c>
      <c r="Y69" s="107" t="n">
        <f aca="false">V69+E69-W69-X69</f>
        <v>0</v>
      </c>
      <c r="Z69" s="122" t="n">
        <f aca="false">V69*Paths!Z69*Paths!AB69</f>
        <v>0</v>
      </c>
      <c r="AA69" s="107" t="n">
        <f aca="false">O69+T69+Y69</f>
        <v>0</v>
      </c>
      <c r="AB69" s="107" t="n">
        <f aca="false">P69+U69+Z69</f>
        <v>0</v>
      </c>
      <c r="AC69" s="124" t="n">
        <f aca="false">IF(E69=0,0,IF(ISNUMBER('Sources &amp; uses'!$E$29),MAX(0,E69-'Sources &amp; uses'!$E$29),"n.a."))</f>
        <v>0</v>
      </c>
      <c r="AD69" s="122" t="str">
        <f aca="false">IF(E69=0,"No new subscription",IF(ISNUMBER('Sources &amp; uses'!$E$29),"MODEL capacity tested","Unverified"))</f>
        <v>No new subscription</v>
      </c>
    </row>
    <row r="70" customFormat="false" ht="19.5" hidden="false" customHeight="true" outlineLevel="0" collapsed="false">
      <c r="A70" s="111" t="n">
        <v>1910</v>
      </c>
      <c r="B70" s="107" t="n">
        <f aca="false">IF(AND(A70&gt;=1914,A70&lt;=1918),entente_total*CHOOSE(A70-1913,0.05,0.1333,0.2333,0.3,0.2834),0)</f>
        <v>0</v>
      </c>
      <c r="C70" s="122" t="n">
        <f aca="false">IF(AND(A70&gt;=1914,A70&lt;=1918),Loans!L70,0)</f>
        <v>0</v>
      </c>
      <c r="D70" s="122" t="n">
        <f aca="false">Abroad!D70</f>
        <v>0</v>
      </c>
      <c r="E70" s="107" t="n">
        <f aca="false">B70*(1-entente_public-entente_private)</f>
        <v>0</v>
      </c>
      <c r="F70" s="123" t="n">
        <f aca="false">B70-SUM(C70:E70)</f>
        <v>0</v>
      </c>
      <c r="G70" s="107" t="n">
        <f aca="false">B70*uw_fee</f>
        <v>0</v>
      </c>
      <c r="H70" s="107" t="n">
        <f aca="false">B70-G70</f>
        <v>0</v>
      </c>
      <c r="I70" s="122" t="n">
        <f aca="false">H70*'Sources &amp; uses'!$E$31</f>
        <v>0</v>
      </c>
      <c r="J70" s="107" t="n">
        <f aca="false">H70-I70</f>
        <v>0</v>
      </c>
      <c r="K70" s="123" t="n">
        <f aca="false">B70-G70-I70-J70</f>
        <v>0</v>
      </c>
      <c r="L70" s="107" t="n">
        <f aca="false">O69</f>
        <v>0</v>
      </c>
      <c r="M70" s="122" t="n">
        <f aca="false">L70*Paths!AA70</f>
        <v>0</v>
      </c>
      <c r="N70" s="107" t="n">
        <f aca="false">IF(A70=1918,(L70+C70)*russia_writeoff,0)</f>
        <v>0</v>
      </c>
      <c r="O70" s="107" t="n">
        <f aca="false">L70+C70-M70-N70</f>
        <v>0</v>
      </c>
      <c r="P70" s="122" t="n">
        <f aca="false">L70*Paths!Z70*Paths!AB70</f>
        <v>0</v>
      </c>
      <c r="Q70" s="107" t="n">
        <f aca="false">T69</f>
        <v>0</v>
      </c>
      <c r="R70" s="122" t="n">
        <f aca="false">Q70*Paths!AA70</f>
        <v>0</v>
      </c>
      <c r="S70" s="107" t="n">
        <f aca="false">IF(A70=1918,(Q70+D70)*russia_writeoff,0)</f>
        <v>0</v>
      </c>
      <c r="T70" s="107" t="n">
        <f aca="false">Q70+D70-R70-S70</f>
        <v>0</v>
      </c>
      <c r="U70" s="122" t="n">
        <f aca="false">Q70*Paths!Z70*Paths!AB70</f>
        <v>0</v>
      </c>
      <c r="V70" s="107" t="n">
        <f aca="false">Y69</f>
        <v>0</v>
      </c>
      <c r="W70" s="122" t="n">
        <f aca="false">V70*Paths!AA70</f>
        <v>0</v>
      </c>
      <c r="X70" s="107" t="n">
        <f aca="false">IF(A70=1918,(V70+E70)*russia_writeoff,0)</f>
        <v>0</v>
      </c>
      <c r="Y70" s="107" t="n">
        <f aca="false">V70+E70-W70-X70</f>
        <v>0</v>
      </c>
      <c r="Z70" s="122" t="n">
        <f aca="false">V70*Paths!Z70*Paths!AB70</f>
        <v>0</v>
      </c>
      <c r="AA70" s="107" t="n">
        <f aca="false">O70+T70+Y70</f>
        <v>0</v>
      </c>
      <c r="AB70" s="107" t="n">
        <f aca="false">P70+U70+Z70</f>
        <v>0</v>
      </c>
      <c r="AC70" s="124" t="n">
        <f aca="false">IF(E70=0,0,IF(ISNUMBER('Sources &amp; uses'!$E$29),MAX(0,E70-'Sources &amp; uses'!$E$29),"n.a."))</f>
        <v>0</v>
      </c>
      <c r="AD70" s="122" t="str">
        <f aca="false">IF(E70=0,"No new subscription",IF(ISNUMBER('Sources &amp; uses'!$E$29),"MODEL capacity tested","Unverified"))</f>
        <v>No new subscription</v>
      </c>
    </row>
    <row r="71" customFormat="false" ht="19.5" hidden="false" customHeight="true" outlineLevel="0" collapsed="false">
      <c r="A71" s="111" t="n">
        <v>1911</v>
      </c>
      <c r="B71" s="107" t="n">
        <f aca="false">IF(AND(A71&gt;=1914,A71&lt;=1918),entente_total*CHOOSE(A71-1913,0.05,0.1333,0.2333,0.3,0.2834),0)</f>
        <v>0</v>
      </c>
      <c r="C71" s="122" t="n">
        <f aca="false">IF(AND(A71&gt;=1914,A71&lt;=1918),Loans!L71,0)</f>
        <v>0</v>
      </c>
      <c r="D71" s="122" t="n">
        <f aca="false">Abroad!D71</f>
        <v>0</v>
      </c>
      <c r="E71" s="107" t="n">
        <f aca="false">B71*(1-entente_public-entente_private)</f>
        <v>0</v>
      </c>
      <c r="F71" s="123" t="n">
        <f aca="false">B71-SUM(C71:E71)</f>
        <v>0</v>
      </c>
      <c r="G71" s="107" t="n">
        <f aca="false">B71*uw_fee</f>
        <v>0</v>
      </c>
      <c r="H71" s="107" t="n">
        <f aca="false">B71-G71</f>
        <v>0</v>
      </c>
      <c r="I71" s="122" t="n">
        <f aca="false">H71*'Sources &amp; uses'!$E$31</f>
        <v>0</v>
      </c>
      <c r="J71" s="107" t="n">
        <f aca="false">H71-I71</f>
        <v>0</v>
      </c>
      <c r="K71" s="123" t="n">
        <f aca="false">B71-G71-I71-J71</f>
        <v>0</v>
      </c>
      <c r="L71" s="107" t="n">
        <f aca="false">O70</f>
        <v>0</v>
      </c>
      <c r="M71" s="122" t="n">
        <f aca="false">L71*Paths!AA71</f>
        <v>0</v>
      </c>
      <c r="N71" s="107" t="n">
        <f aca="false">IF(A71=1918,(L71+C71)*russia_writeoff,0)</f>
        <v>0</v>
      </c>
      <c r="O71" s="107" t="n">
        <f aca="false">L71+C71-M71-N71</f>
        <v>0</v>
      </c>
      <c r="P71" s="122" t="n">
        <f aca="false">L71*Paths!Z71*Paths!AB71</f>
        <v>0</v>
      </c>
      <c r="Q71" s="107" t="n">
        <f aca="false">T70</f>
        <v>0</v>
      </c>
      <c r="R71" s="122" t="n">
        <f aca="false">Q71*Paths!AA71</f>
        <v>0</v>
      </c>
      <c r="S71" s="107" t="n">
        <f aca="false">IF(A71=1918,(Q71+D71)*russia_writeoff,0)</f>
        <v>0</v>
      </c>
      <c r="T71" s="107" t="n">
        <f aca="false">Q71+D71-R71-S71</f>
        <v>0</v>
      </c>
      <c r="U71" s="122" t="n">
        <f aca="false">Q71*Paths!Z71*Paths!AB71</f>
        <v>0</v>
      </c>
      <c r="V71" s="107" t="n">
        <f aca="false">Y70</f>
        <v>0</v>
      </c>
      <c r="W71" s="122" t="n">
        <f aca="false">V71*Paths!AA71</f>
        <v>0</v>
      </c>
      <c r="X71" s="107" t="n">
        <f aca="false">IF(A71=1918,(V71+E71)*russia_writeoff,0)</f>
        <v>0</v>
      </c>
      <c r="Y71" s="107" t="n">
        <f aca="false">V71+E71-W71-X71</f>
        <v>0</v>
      </c>
      <c r="Z71" s="122" t="n">
        <f aca="false">V71*Paths!Z71*Paths!AB71</f>
        <v>0</v>
      </c>
      <c r="AA71" s="107" t="n">
        <f aca="false">O71+T71+Y71</f>
        <v>0</v>
      </c>
      <c r="AB71" s="107" t="n">
        <f aca="false">P71+U71+Z71</f>
        <v>0</v>
      </c>
      <c r="AC71" s="124" t="n">
        <f aca="false">IF(E71=0,0,IF(ISNUMBER('Sources &amp; uses'!$E$29),MAX(0,E71-'Sources &amp; uses'!$E$29),"n.a."))</f>
        <v>0</v>
      </c>
      <c r="AD71" s="122" t="str">
        <f aca="false">IF(E71=0,"No new subscription",IF(ISNUMBER('Sources &amp; uses'!$E$29),"MODEL capacity tested","Unverified"))</f>
        <v>No new subscription</v>
      </c>
    </row>
    <row r="72" customFormat="false" ht="19.5" hidden="false" customHeight="true" outlineLevel="0" collapsed="false">
      <c r="A72" s="111" t="n">
        <v>1912</v>
      </c>
      <c r="B72" s="107" t="n">
        <f aca="false">IF(AND(A72&gt;=1914,A72&lt;=1918),entente_total*CHOOSE(A72-1913,0.05,0.1333,0.2333,0.3,0.2834),0)</f>
        <v>0</v>
      </c>
      <c r="C72" s="122" t="n">
        <f aca="false">IF(AND(A72&gt;=1914,A72&lt;=1918),Loans!L72,0)</f>
        <v>0</v>
      </c>
      <c r="D72" s="122" t="n">
        <f aca="false">Abroad!D72</f>
        <v>0</v>
      </c>
      <c r="E72" s="107" t="n">
        <f aca="false">B72*(1-entente_public-entente_private)</f>
        <v>0</v>
      </c>
      <c r="F72" s="123" t="n">
        <f aca="false">B72-SUM(C72:E72)</f>
        <v>0</v>
      </c>
      <c r="G72" s="107" t="n">
        <f aca="false">B72*uw_fee</f>
        <v>0</v>
      </c>
      <c r="H72" s="107" t="n">
        <f aca="false">B72-G72</f>
        <v>0</v>
      </c>
      <c r="I72" s="122" t="n">
        <f aca="false">H72*'Sources &amp; uses'!$E$31</f>
        <v>0</v>
      </c>
      <c r="J72" s="107" t="n">
        <f aca="false">H72-I72</f>
        <v>0</v>
      </c>
      <c r="K72" s="123" t="n">
        <f aca="false">B72-G72-I72-J72</f>
        <v>0</v>
      </c>
      <c r="L72" s="107" t="n">
        <f aca="false">O71</f>
        <v>0</v>
      </c>
      <c r="M72" s="122" t="n">
        <f aca="false">L72*Paths!AA72</f>
        <v>0</v>
      </c>
      <c r="N72" s="107" t="n">
        <f aca="false">IF(A72=1918,(L72+C72)*russia_writeoff,0)</f>
        <v>0</v>
      </c>
      <c r="O72" s="107" t="n">
        <f aca="false">L72+C72-M72-N72</f>
        <v>0</v>
      </c>
      <c r="P72" s="122" t="n">
        <f aca="false">L72*Paths!Z72*Paths!AB72</f>
        <v>0</v>
      </c>
      <c r="Q72" s="107" t="n">
        <f aca="false">T71</f>
        <v>0</v>
      </c>
      <c r="R72" s="122" t="n">
        <f aca="false">Q72*Paths!AA72</f>
        <v>0</v>
      </c>
      <c r="S72" s="107" t="n">
        <f aca="false">IF(A72=1918,(Q72+D72)*russia_writeoff,0)</f>
        <v>0</v>
      </c>
      <c r="T72" s="107" t="n">
        <f aca="false">Q72+D72-R72-S72</f>
        <v>0</v>
      </c>
      <c r="U72" s="122" t="n">
        <f aca="false">Q72*Paths!Z72*Paths!AB72</f>
        <v>0</v>
      </c>
      <c r="V72" s="107" t="n">
        <f aca="false">Y71</f>
        <v>0</v>
      </c>
      <c r="W72" s="122" t="n">
        <f aca="false">V72*Paths!AA72</f>
        <v>0</v>
      </c>
      <c r="X72" s="107" t="n">
        <f aca="false">IF(A72=1918,(V72+E72)*russia_writeoff,0)</f>
        <v>0</v>
      </c>
      <c r="Y72" s="107" t="n">
        <f aca="false">V72+E72-W72-X72</f>
        <v>0</v>
      </c>
      <c r="Z72" s="122" t="n">
        <f aca="false">V72*Paths!Z72*Paths!AB72</f>
        <v>0</v>
      </c>
      <c r="AA72" s="107" t="n">
        <f aca="false">O72+T72+Y72</f>
        <v>0</v>
      </c>
      <c r="AB72" s="107" t="n">
        <f aca="false">P72+U72+Z72</f>
        <v>0</v>
      </c>
      <c r="AC72" s="124" t="n">
        <f aca="false">IF(E72=0,0,IF(ISNUMBER('Sources &amp; uses'!$E$29),MAX(0,E72-'Sources &amp; uses'!$E$29),"n.a."))</f>
        <v>0</v>
      </c>
      <c r="AD72" s="122" t="str">
        <f aca="false">IF(E72=0,"No new subscription",IF(ISNUMBER('Sources &amp; uses'!$E$29),"MODEL capacity tested","Unverified"))</f>
        <v>No new subscription</v>
      </c>
    </row>
    <row r="73" customFormat="false" ht="19.5" hidden="false" customHeight="true" outlineLevel="0" collapsed="false">
      <c r="A73" s="111" t="n">
        <v>1913</v>
      </c>
      <c r="B73" s="107" t="n">
        <f aca="false">IF(AND(A73&gt;=1914,A73&lt;=1918),entente_total*CHOOSE(A73-1913,0.05,0.1333,0.2333,0.3,0.2834),0)</f>
        <v>0</v>
      </c>
      <c r="C73" s="122" t="n">
        <f aca="false">IF(AND(A73&gt;=1914,A73&lt;=1918),Loans!L73,0)</f>
        <v>0</v>
      </c>
      <c r="D73" s="122" t="n">
        <f aca="false">Abroad!D73</f>
        <v>0</v>
      </c>
      <c r="E73" s="107" t="n">
        <f aca="false">B73*(1-entente_public-entente_private)</f>
        <v>0</v>
      </c>
      <c r="F73" s="123" t="n">
        <f aca="false">B73-SUM(C73:E73)</f>
        <v>0</v>
      </c>
      <c r="G73" s="107" t="n">
        <f aca="false">B73*uw_fee</f>
        <v>0</v>
      </c>
      <c r="H73" s="107" t="n">
        <f aca="false">B73-G73</f>
        <v>0</v>
      </c>
      <c r="I73" s="122" t="n">
        <f aca="false">H73*'Sources &amp; uses'!$E$31</f>
        <v>0</v>
      </c>
      <c r="J73" s="107" t="n">
        <f aca="false">H73-I73</f>
        <v>0</v>
      </c>
      <c r="K73" s="123" t="n">
        <f aca="false">B73-G73-I73-J73</f>
        <v>0</v>
      </c>
      <c r="L73" s="107" t="n">
        <f aca="false">O72</f>
        <v>0</v>
      </c>
      <c r="M73" s="122" t="n">
        <f aca="false">L73*Paths!AA73</f>
        <v>0</v>
      </c>
      <c r="N73" s="107" t="n">
        <f aca="false">IF(A73=1918,(L73+C73)*russia_writeoff,0)</f>
        <v>0</v>
      </c>
      <c r="O73" s="107" t="n">
        <f aca="false">L73+C73-M73-N73</f>
        <v>0</v>
      </c>
      <c r="P73" s="122" t="n">
        <f aca="false">L73*Paths!Z73*Paths!AB73</f>
        <v>0</v>
      </c>
      <c r="Q73" s="107" t="n">
        <f aca="false">T72</f>
        <v>0</v>
      </c>
      <c r="R73" s="122" t="n">
        <f aca="false">Q73*Paths!AA73</f>
        <v>0</v>
      </c>
      <c r="S73" s="107" t="n">
        <f aca="false">IF(A73=1918,(Q73+D73)*russia_writeoff,0)</f>
        <v>0</v>
      </c>
      <c r="T73" s="107" t="n">
        <f aca="false">Q73+D73-R73-S73</f>
        <v>0</v>
      </c>
      <c r="U73" s="122" t="n">
        <f aca="false">Q73*Paths!Z73*Paths!AB73</f>
        <v>0</v>
      </c>
      <c r="V73" s="107" t="n">
        <f aca="false">Y72</f>
        <v>0</v>
      </c>
      <c r="W73" s="122" t="n">
        <f aca="false">V73*Paths!AA73</f>
        <v>0</v>
      </c>
      <c r="X73" s="107" t="n">
        <f aca="false">IF(A73=1918,(V73+E73)*russia_writeoff,0)</f>
        <v>0</v>
      </c>
      <c r="Y73" s="107" t="n">
        <f aca="false">V73+E73-W73-X73</f>
        <v>0</v>
      </c>
      <c r="Z73" s="122" t="n">
        <f aca="false">V73*Paths!Z73*Paths!AB73</f>
        <v>0</v>
      </c>
      <c r="AA73" s="107" t="n">
        <f aca="false">O73+T73+Y73</f>
        <v>0</v>
      </c>
      <c r="AB73" s="107" t="n">
        <f aca="false">P73+U73+Z73</f>
        <v>0</v>
      </c>
      <c r="AC73" s="124" t="n">
        <f aca="false">IF(E73=0,0,IF(ISNUMBER('Sources &amp; uses'!$E$29),MAX(0,E73-'Sources &amp; uses'!$E$29),"n.a."))</f>
        <v>0</v>
      </c>
      <c r="AD73" s="122" t="str">
        <f aca="false">IF(E73=0,"No new subscription",IF(ISNUMBER('Sources &amp; uses'!$E$29),"MODEL capacity tested","Unverified"))</f>
        <v>No new subscription</v>
      </c>
    </row>
    <row r="74" customFormat="false" ht="19.5" hidden="false" customHeight="true" outlineLevel="0" collapsed="false">
      <c r="A74" s="111" t="n">
        <v>1914</v>
      </c>
      <c r="B74" s="107" t="n">
        <f aca="false">IF(AND(A74&gt;=1914,A74&lt;=1918),entente_total*CHOOSE(A74-1913,0.05,0.1333,0.2333,0.3,0.2834),0)</f>
        <v>425</v>
      </c>
      <c r="C74" s="122" t="n">
        <f aca="false">IF(AND(A74&gt;=1914,A74&lt;=1918),Loans!L74,0)</f>
        <v>85</v>
      </c>
      <c r="D74" s="122" t="n">
        <f aca="false">Abroad!D74</f>
        <v>340</v>
      </c>
      <c r="E74" s="107" t="n">
        <f aca="false">MIN(B74-C74,'Entente subscribers'!G6)</f>
        <v>0</v>
      </c>
      <c r="F74" s="123" t="n">
        <f aca="false">B74-SUM(C74:E74)</f>
        <v>0</v>
      </c>
      <c r="G74" s="107" t="n">
        <f aca="false">B74*uw_fee</f>
        <v>10.625</v>
      </c>
      <c r="H74" s="107" t="n">
        <f aca="false">B74-G74</f>
        <v>414.375</v>
      </c>
      <c r="I74" s="122" t="n">
        <f aca="false">H74*'Sources &amp; uses'!$E$31</f>
        <v>82.875</v>
      </c>
      <c r="J74" s="107" t="n">
        <f aca="false">H74-I74</f>
        <v>331.5</v>
      </c>
      <c r="K74" s="123" t="n">
        <f aca="false">B74-G74-I74-J74</f>
        <v>0</v>
      </c>
      <c r="L74" s="107" t="n">
        <f aca="false">O73</f>
        <v>0</v>
      </c>
      <c r="M74" s="122" t="n">
        <f aca="false">L74*Paths!AA74</f>
        <v>0</v>
      </c>
      <c r="N74" s="107" t="n">
        <f aca="false">IF(A74=1918,(L74+C74)*russia_writeoff,0)</f>
        <v>0</v>
      </c>
      <c r="O74" s="107" t="n">
        <f aca="false">L74+C74-M74-N74</f>
        <v>85</v>
      </c>
      <c r="P74" s="122" t="n">
        <f aca="false">L74*Paths!Z74*Paths!AB74</f>
        <v>0</v>
      </c>
      <c r="Q74" s="107" t="n">
        <f aca="false">T73</f>
        <v>0</v>
      </c>
      <c r="R74" s="122" t="n">
        <f aca="false">Q74*Paths!AA74</f>
        <v>0</v>
      </c>
      <c r="S74" s="107" t="n">
        <f aca="false">IF(A74=1918,(Q74+D74)*russia_writeoff,0)</f>
        <v>0</v>
      </c>
      <c r="T74" s="107" t="n">
        <f aca="false">Q74+D74-R74-S74</f>
        <v>340</v>
      </c>
      <c r="U74" s="122" t="n">
        <f aca="false">Q74*Paths!Z74*Paths!AB74</f>
        <v>0</v>
      </c>
      <c r="V74" s="107" t="n">
        <f aca="false">Y73</f>
        <v>0</v>
      </c>
      <c r="W74" s="122" t="n">
        <f aca="false">V74*Paths!AA74</f>
        <v>0</v>
      </c>
      <c r="X74" s="107" t="n">
        <f aca="false">IF(A74=1918,(V74+E74)*russia_writeoff,0)</f>
        <v>0</v>
      </c>
      <c r="Y74" s="107" t="n">
        <f aca="false">V74+E74-W74-X74</f>
        <v>0</v>
      </c>
      <c r="Z74" s="122" t="n">
        <f aca="false">V74*Paths!Z74*Paths!AB74</f>
        <v>0</v>
      </c>
      <c r="AA74" s="107" t="n">
        <f aca="false">O74+T74+Y74</f>
        <v>425</v>
      </c>
      <c r="AB74" s="107" t="n">
        <f aca="false">P74+U74+Z74</f>
        <v>0</v>
      </c>
      <c r="AC74" s="124" t="n">
        <f aca="false">'Entente subscribers'!I6</f>
        <v>0</v>
      </c>
      <c r="AD74" s="122" t="str">
        <f aca="false">IF(E74=0,"No new subscription",IF(AC74&lt;0.001,"MODEL capacity: named subscribers","Subscriber gap"))</f>
        <v>No new subscription</v>
      </c>
    </row>
    <row r="75" customFormat="false" ht="19.5" hidden="false" customHeight="true" outlineLevel="0" collapsed="false">
      <c r="A75" s="111" t="n">
        <v>1915</v>
      </c>
      <c r="B75" s="107" t="n">
        <f aca="false">IF(AND(A75&gt;=1914,A75&lt;=1918),entente_total*CHOOSE(A75-1913,0.05,0.1333,0.2333,0.3,0.2834),0)</f>
        <v>1133.05</v>
      </c>
      <c r="C75" s="122" t="n">
        <f aca="false">IF(AND(A75&gt;=1914,A75&lt;=1918),Loans!L75,0)</f>
        <v>226.61</v>
      </c>
      <c r="D75" s="122" t="n">
        <f aca="false">Abroad!D75</f>
        <v>381.44</v>
      </c>
      <c r="E75" s="107" t="n">
        <f aca="false">MIN(B75-C75,'Entente subscribers'!G7)</f>
        <v>525</v>
      </c>
      <c r="F75" s="123" t="n">
        <f aca="false">B75-SUM(C75:E75)</f>
        <v>0</v>
      </c>
      <c r="G75" s="107" t="n">
        <f aca="false">B75*uw_fee</f>
        <v>28.32625</v>
      </c>
      <c r="H75" s="107" t="n">
        <f aca="false">B75-G75</f>
        <v>1104.72375</v>
      </c>
      <c r="I75" s="122" t="n">
        <f aca="false">H75*'Sources &amp; uses'!$E$31</f>
        <v>220.94475</v>
      </c>
      <c r="J75" s="107" t="n">
        <f aca="false">H75-I75</f>
        <v>883.779</v>
      </c>
      <c r="K75" s="123" t="n">
        <f aca="false">B75-G75-I75-J75</f>
        <v>0</v>
      </c>
      <c r="L75" s="107" t="n">
        <f aca="false">O74</f>
        <v>85</v>
      </c>
      <c r="M75" s="122" t="n">
        <f aca="false">L75*Paths!AA75</f>
        <v>0</v>
      </c>
      <c r="N75" s="107" t="n">
        <f aca="false">IF(A75=1918,(L75+C75)*russia_writeoff,0)</f>
        <v>0</v>
      </c>
      <c r="O75" s="107" t="n">
        <f aca="false">L75+C75-M75-N75</f>
        <v>311.61</v>
      </c>
      <c r="P75" s="122" t="n">
        <f aca="false">L75*Paths!Z75*Paths!AB75</f>
        <v>4.25</v>
      </c>
      <c r="Q75" s="107" t="n">
        <f aca="false">T74</f>
        <v>340</v>
      </c>
      <c r="R75" s="122" t="n">
        <f aca="false">Q75*Paths!AA75</f>
        <v>0</v>
      </c>
      <c r="S75" s="107" t="n">
        <f aca="false">IF(A75=1918,(Q75+D75)*russia_writeoff,0)</f>
        <v>0</v>
      </c>
      <c r="T75" s="107" t="n">
        <f aca="false">Q75+D75-R75-S75</f>
        <v>721.44</v>
      </c>
      <c r="U75" s="122" t="n">
        <f aca="false">Q75*Paths!Z75*Paths!AB75</f>
        <v>17</v>
      </c>
      <c r="V75" s="107" t="n">
        <f aca="false">Y74</f>
        <v>0</v>
      </c>
      <c r="W75" s="122" t="n">
        <f aca="false">V75*Paths!AA75</f>
        <v>0</v>
      </c>
      <c r="X75" s="107" t="n">
        <f aca="false">IF(A75=1918,(V75+E75)*russia_writeoff,0)</f>
        <v>0</v>
      </c>
      <c r="Y75" s="107" t="n">
        <f aca="false">V75+E75-W75-X75</f>
        <v>525</v>
      </c>
      <c r="Z75" s="122" t="n">
        <f aca="false">V75*Paths!Z75*Paths!AB75</f>
        <v>0</v>
      </c>
      <c r="AA75" s="107" t="n">
        <f aca="false">O75+T75+Y75</f>
        <v>1558.05</v>
      </c>
      <c r="AB75" s="107" t="n">
        <f aca="false">P75+U75+Z75</f>
        <v>21.25</v>
      </c>
      <c r="AC75" s="124" t="n">
        <f aca="false">'Entente subscribers'!I7</f>
        <v>0</v>
      </c>
      <c r="AD75" s="122" t="str">
        <f aca="false">IF(E75=0,"No new subscription",IF(AC75&lt;0.001,"MODEL capacity: named subscribers","Subscriber gap"))</f>
        <v>MODEL capacity: named subscribers</v>
      </c>
    </row>
    <row r="76" customFormat="false" ht="19.5" hidden="false" customHeight="true" outlineLevel="0" collapsed="false">
      <c r="A76" s="111" t="n">
        <v>1916</v>
      </c>
      <c r="B76" s="107" t="n">
        <f aca="false">IF(AND(A76&gt;=1914,A76&lt;=1918),entente_total*CHOOSE(A76-1913,0.05,0.1333,0.2333,0.3,0.2834),0)</f>
        <v>1983.05</v>
      </c>
      <c r="C76" s="122" t="n">
        <f aca="false">IF(AND(A76&gt;=1914,A76&lt;=1918),Loans!L76,0)</f>
        <v>396.61</v>
      </c>
      <c r="D76" s="122" t="n">
        <f aca="false">Abroad!D76</f>
        <v>536.44</v>
      </c>
      <c r="E76" s="107" t="n">
        <f aca="false">MIN(B76-C76,'Entente subscribers'!G8)</f>
        <v>1050</v>
      </c>
      <c r="F76" s="123" t="n">
        <f aca="false">B76-SUM(C76:E76)</f>
        <v>0</v>
      </c>
      <c r="G76" s="107" t="n">
        <f aca="false">B76*uw_fee</f>
        <v>49.57625</v>
      </c>
      <c r="H76" s="107" t="n">
        <f aca="false">B76-G76</f>
        <v>1933.47375</v>
      </c>
      <c r="I76" s="122" t="n">
        <f aca="false">H76*'Sources &amp; uses'!$E$31</f>
        <v>386.69475</v>
      </c>
      <c r="J76" s="107" t="n">
        <f aca="false">H76-I76</f>
        <v>1546.779</v>
      </c>
      <c r="K76" s="123" t="n">
        <f aca="false">B76-G76-I76-J76</f>
        <v>0</v>
      </c>
      <c r="L76" s="107" t="n">
        <f aca="false">O75</f>
        <v>311.61</v>
      </c>
      <c r="M76" s="122" t="n">
        <f aca="false">L76*Paths!AA76</f>
        <v>0</v>
      </c>
      <c r="N76" s="107" t="n">
        <f aca="false">IF(A76=1918,(L76+C76)*russia_writeoff,0)</f>
        <v>0</v>
      </c>
      <c r="O76" s="107" t="n">
        <f aca="false">L76+C76-M76-N76</f>
        <v>708.22</v>
      </c>
      <c r="P76" s="122" t="n">
        <f aca="false">L76*Paths!Z76*Paths!AB76</f>
        <v>15.5805</v>
      </c>
      <c r="Q76" s="107" t="n">
        <f aca="false">T75</f>
        <v>721.44</v>
      </c>
      <c r="R76" s="122" t="n">
        <f aca="false">Q76*Paths!AA76</f>
        <v>0</v>
      </c>
      <c r="S76" s="107" t="n">
        <f aca="false">IF(A76=1918,(Q76+D76)*russia_writeoff,0)</f>
        <v>0</v>
      </c>
      <c r="T76" s="107" t="n">
        <f aca="false">Q76+D76-R76-S76</f>
        <v>1257.88</v>
      </c>
      <c r="U76" s="122" t="n">
        <f aca="false">Q76*Paths!Z76*Paths!AB76</f>
        <v>36.072</v>
      </c>
      <c r="V76" s="107" t="n">
        <f aca="false">Y75</f>
        <v>525</v>
      </c>
      <c r="W76" s="122" t="n">
        <f aca="false">V76*Paths!AA76</f>
        <v>0</v>
      </c>
      <c r="X76" s="107" t="n">
        <f aca="false">IF(A76=1918,(V76+E76)*russia_writeoff,0)</f>
        <v>0</v>
      </c>
      <c r="Y76" s="107" t="n">
        <f aca="false">V76+E76-W76-X76</f>
        <v>1575</v>
      </c>
      <c r="Z76" s="122" t="n">
        <f aca="false">V76*Paths!Z76*Paths!AB76</f>
        <v>26.25</v>
      </c>
      <c r="AA76" s="107" t="n">
        <f aca="false">O76+T76+Y76</f>
        <v>3541.1</v>
      </c>
      <c r="AB76" s="107" t="n">
        <f aca="false">P76+U76+Z76</f>
        <v>77.9025</v>
      </c>
      <c r="AC76" s="124" t="n">
        <f aca="false">'Entente subscribers'!I8</f>
        <v>0</v>
      </c>
      <c r="AD76" s="122" t="str">
        <f aca="false">IF(E76=0,"No new subscription",IF(AC76&lt;0.001,"MODEL capacity: named subscribers","Subscriber gap"))</f>
        <v>MODEL capacity: named subscribers</v>
      </c>
    </row>
    <row r="77" customFormat="false" ht="19.5" hidden="false" customHeight="true" outlineLevel="0" collapsed="false">
      <c r="A77" s="111" t="n">
        <v>1917</v>
      </c>
      <c r="B77" s="107" t="n">
        <f aca="false">IF(AND(A77&gt;=1914,A77&lt;=1918),entente_total*CHOOSE(A77-1913,0.05,0.1333,0.2333,0.3,0.2834),0)</f>
        <v>2550</v>
      </c>
      <c r="C77" s="122" t="n">
        <f aca="false">IF(AND(A77&gt;=1914,A77&lt;=1918),Loans!L77,0)</f>
        <v>510</v>
      </c>
      <c r="D77" s="122" t="n">
        <f aca="false">Abroad!D77</f>
        <v>840</v>
      </c>
      <c r="E77" s="107" t="n">
        <f aca="false">MIN(B77-C77,'Entente subscribers'!G9)</f>
        <v>1200</v>
      </c>
      <c r="F77" s="123" t="n">
        <f aca="false">B77-SUM(C77:E77)</f>
        <v>0</v>
      </c>
      <c r="G77" s="107" t="n">
        <f aca="false">B77*uw_fee</f>
        <v>63.75</v>
      </c>
      <c r="H77" s="107" t="n">
        <f aca="false">B77-G77</f>
        <v>2486.25</v>
      </c>
      <c r="I77" s="122" t="n">
        <f aca="false">H77*'Sources &amp; uses'!$E$31</f>
        <v>497.25</v>
      </c>
      <c r="J77" s="107" t="n">
        <f aca="false">H77-I77</f>
        <v>1989</v>
      </c>
      <c r="K77" s="123" t="n">
        <f aca="false">B77-G77-I77-J77</f>
        <v>0</v>
      </c>
      <c r="L77" s="107" t="n">
        <f aca="false">O76</f>
        <v>708.22</v>
      </c>
      <c r="M77" s="122" t="n">
        <f aca="false">L77*Paths!AA77</f>
        <v>0</v>
      </c>
      <c r="N77" s="107" t="n">
        <f aca="false">IF(A77=1918,(L77+C77)*russia_writeoff,0)</f>
        <v>0</v>
      </c>
      <c r="O77" s="107" t="n">
        <f aca="false">L77+C77-M77-N77</f>
        <v>1218.22</v>
      </c>
      <c r="P77" s="122" t="n">
        <f aca="false">L77*Paths!Z77*Paths!AB77</f>
        <v>35.411</v>
      </c>
      <c r="Q77" s="107" t="n">
        <f aca="false">T76</f>
        <v>1257.88</v>
      </c>
      <c r="R77" s="122" t="n">
        <f aca="false">Q77*Paths!AA77</f>
        <v>0</v>
      </c>
      <c r="S77" s="107" t="n">
        <f aca="false">IF(A77=1918,(Q77+D77)*russia_writeoff,0)</f>
        <v>0</v>
      </c>
      <c r="T77" s="107" t="n">
        <f aca="false">Q77+D77-R77-S77</f>
        <v>2097.88</v>
      </c>
      <c r="U77" s="122" t="n">
        <f aca="false">Q77*Paths!Z77*Paths!AB77</f>
        <v>62.894</v>
      </c>
      <c r="V77" s="107" t="n">
        <f aca="false">Y76</f>
        <v>1575</v>
      </c>
      <c r="W77" s="122" t="n">
        <f aca="false">V77*Paths!AA77</f>
        <v>0</v>
      </c>
      <c r="X77" s="107" t="n">
        <f aca="false">IF(A77=1918,(V77+E77)*russia_writeoff,0)</f>
        <v>0</v>
      </c>
      <c r="Y77" s="107" t="n">
        <f aca="false">V77+E77-W77-X77</f>
        <v>2775</v>
      </c>
      <c r="Z77" s="122" t="n">
        <f aca="false">V77*Paths!Z77*Paths!AB77</f>
        <v>78.75</v>
      </c>
      <c r="AA77" s="107" t="n">
        <f aca="false">O77+T77+Y77</f>
        <v>6091.1</v>
      </c>
      <c r="AB77" s="107" t="n">
        <f aca="false">P77+U77+Z77</f>
        <v>177.055</v>
      </c>
      <c r="AC77" s="124" t="n">
        <f aca="false">'Entente subscribers'!I9</f>
        <v>0</v>
      </c>
      <c r="AD77" s="122" t="str">
        <f aca="false">IF(E77=0,"No new subscription",IF(AC77&lt;0.001,"MODEL capacity: named subscribers","Subscriber gap"))</f>
        <v>MODEL capacity: named subscribers</v>
      </c>
    </row>
    <row r="78" customFormat="false" ht="19.5" hidden="false" customHeight="true" outlineLevel="0" collapsed="false">
      <c r="A78" s="111" t="n">
        <v>1918</v>
      </c>
      <c r="B78" s="107" t="n">
        <f aca="false">IF(AND(A78&gt;=1914,A78&lt;=1918),entente_total*CHOOSE(A78-1913,0.05,0.1333,0.2333,0.3,0.2834),0)</f>
        <v>2408.9</v>
      </c>
      <c r="C78" s="122" t="n">
        <f aca="false">IF(AND(A78&gt;=1914,A78&lt;=1918),Loans!L78,0)</f>
        <v>481.78</v>
      </c>
      <c r="D78" s="122" t="n">
        <f aca="false">Abroad!D78</f>
        <v>752.12</v>
      </c>
      <c r="E78" s="107" t="n">
        <f aca="false">MIN(B78-C78,'Entente subscribers'!G10)</f>
        <v>1175</v>
      </c>
      <c r="F78" s="123" t="n">
        <f aca="false">B78-SUM(C78:E78)</f>
        <v>0</v>
      </c>
      <c r="G78" s="107" t="n">
        <f aca="false">B78*uw_fee</f>
        <v>60.2225</v>
      </c>
      <c r="H78" s="107" t="n">
        <f aca="false">B78-G78</f>
        <v>2348.6775</v>
      </c>
      <c r="I78" s="122" t="n">
        <f aca="false">H78*'Sources &amp; uses'!$E$31</f>
        <v>469.7355</v>
      </c>
      <c r="J78" s="107" t="n">
        <f aca="false">H78-I78</f>
        <v>1878.942</v>
      </c>
      <c r="K78" s="123" t="n">
        <f aca="false">B78-G78-I78-J78</f>
        <v>0</v>
      </c>
      <c r="L78" s="107" t="n">
        <f aca="false">O77</f>
        <v>1218.22</v>
      </c>
      <c r="M78" s="122" t="n">
        <f aca="false">L78*Paths!AA78</f>
        <v>0</v>
      </c>
      <c r="N78" s="107" t="n">
        <f aca="false">IF(A78=1918,(L78+C78)*russia_writeoff,0)</f>
        <v>204</v>
      </c>
      <c r="O78" s="107" t="n">
        <f aca="false">L78+C78-M78-N78</f>
        <v>1496</v>
      </c>
      <c r="P78" s="122" t="n">
        <f aca="false">L78*Paths!Z78*Paths!AB78</f>
        <v>60.911</v>
      </c>
      <c r="Q78" s="107" t="n">
        <f aca="false">T77</f>
        <v>2097.88</v>
      </c>
      <c r="R78" s="122" t="n">
        <f aca="false">Q78*Paths!AA78</f>
        <v>0</v>
      </c>
      <c r="S78" s="107" t="n">
        <f aca="false">IF(A78=1918,(Q78+D78)*russia_writeoff,0)</f>
        <v>342</v>
      </c>
      <c r="T78" s="107" t="n">
        <f aca="false">Q78+D78-R78-S78</f>
        <v>2508</v>
      </c>
      <c r="U78" s="122" t="n">
        <f aca="false">Q78*Paths!Z78*Paths!AB78</f>
        <v>104.894</v>
      </c>
      <c r="V78" s="107" t="n">
        <f aca="false">Y77</f>
        <v>2775</v>
      </c>
      <c r="W78" s="122" t="n">
        <f aca="false">V78*Paths!AA78</f>
        <v>0</v>
      </c>
      <c r="X78" s="107" t="n">
        <f aca="false">IF(A78=1918,(V78+E78)*russia_writeoff,0)</f>
        <v>474</v>
      </c>
      <c r="Y78" s="107" t="n">
        <f aca="false">V78+E78-W78-X78</f>
        <v>3476</v>
      </c>
      <c r="Z78" s="122" t="n">
        <f aca="false">V78*Paths!Z78*Paths!AB78</f>
        <v>138.75</v>
      </c>
      <c r="AA78" s="107" t="n">
        <f aca="false">O78+T78+Y78</f>
        <v>7480</v>
      </c>
      <c r="AB78" s="107" t="n">
        <f aca="false">P78+U78+Z78</f>
        <v>304.555</v>
      </c>
      <c r="AC78" s="124" t="n">
        <f aca="false">'Entente subscribers'!I10</f>
        <v>0</v>
      </c>
      <c r="AD78" s="122" t="str">
        <f aca="false">IF(E78=0,"No new subscription",IF(AC78&lt;0.001,"MODEL capacity: named subscribers","Subscriber gap"))</f>
        <v>MODEL capacity: named subscribers</v>
      </c>
    </row>
    <row r="79" customFormat="false" ht="19.5" hidden="false" customHeight="true" outlineLevel="0" collapsed="false">
      <c r="A79" s="111" t="n">
        <v>1919</v>
      </c>
      <c r="B79" s="107" t="n">
        <f aca="false">IF(AND(A79&gt;=1914,A79&lt;=1918),entente_total*CHOOSE(A79-1913,0.05,0.1333,0.2333,0.3,0.2834),0)</f>
        <v>0</v>
      </c>
      <c r="C79" s="122" t="n">
        <f aca="false">IF(AND(A79&gt;=1914,A79&lt;=1918),Loans!L79,0)</f>
        <v>0</v>
      </c>
      <c r="D79" s="122" t="n">
        <f aca="false">Abroad!D79</f>
        <v>0</v>
      </c>
      <c r="E79" s="107" t="n">
        <f aca="false">B79*(1-entente_public-entente_private)</f>
        <v>0</v>
      </c>
      <c r="F79" s="123" t="n">
        <f aca="false">B79-SUM(C79:E79)</f>
        <v>0</v>
      </c>
      <c r="G79" s="107" t="n">
        <f aca="false">B79*uw_fee</f>
        <v>0</v>
      </c>
      <c r="H79" s="107" t="n">
        <f aca="false">B79-G79</f>
        <v>0</v>
      </c>
      <c r="I79" s="122" t="n">
        <f aca="false">H79*'Sources &amp; uses'!$E$31</f>
        <v>0</v>
      </c>
      <c r="J79" s="107" t="n">
        <f aca="false">H79-I79</f>
        <v>0</v>
      </c>
      <c r="K79" s="123" t="n">
        <f aca="false">B79-G79-I79-J79</f>
        <v>0</v>
      </c>
      <c r="L79" s="107" t="n">
        <f aca="false">O78</f>
        <v>1496</v>
      </c>
      <c r="M79" s="122" t="n">
        <f aca="false">L79*Paths!AA79</f>
        <v>0</v>
      </c>
      <c r="N79" s="107" t="n">
        <f aca="false">IF(A79=1918,(L79+C79)*russia_writeoff,0)</f>
        <v>0</v>
      </c>
      <c r="O79" s="107" t="n">
        <f aca="false">L79+C79-M79-N79</f>
        <v>1496</v>
      </c>
      <c r="P79" s="122" t="n">
        <f aca="false">L79*Paths!Z79*Paths!AB79</f>
        <v>74.8</v>
      </c>
      <c r="Q79" s="107" t="n">
        <f aca="false">T78</f>
        <v>2508</v>
      </c>
      <c r="R79" s="122" t="n">
        <f aca="false">Q79*Paths!AA79</f>
        <v>0</v>
      </c>
      <c r="S79" s="107" t="n">
        <f aca="false">IF(A79=1918,(Q79+D79)*russia_writeoff,0)</f>
        <v>0</v>
      </c>
      <c r="T79" s="107" t="n">
        <f aca="false">Q79+D79-R79-S79</f>
        <v>2508</v>
      </c>
      <c r="U79" s="122" t="n">
        <f aca="false">Q79*Paths!Z79*Paths!AB79</f>
        <v>125.4</v>
      </c>
      <c r="V79" s="107" t="n">
        <f aca="false">Y78</f>
        <v>3476</v>
      </c>
      <c r="W79" s="122" t="n">
        <f aca="false">V79*Paths!AA79</f>
        <v>0</v>
      </c>
      <c r="X79" s="107" t="n">
        <f aca="false">IF(A79=1918,(V79+E79)*russia_writeoff,0)</f>
        <v>0</v>
      </c>
      <c r="Y79" s="107" t="n">
        <f aca="false">V79+E79-W79-X79</f>
        <v>3476</v>
      </c>
      <c r="Z79" s="122" t="n">
        <f aca="false">V79*Paths!Z79*Paths!AB79</f>
        <v>173.8</v>
      </c>
      <c r="AA79" s="107" t="n">
        <f aca="false">O79+T79+Y79</f>
        <v>7480</v>
      </c>
      <c r="AB79" s="107" t="n">
        <f aca="false">P79+U79+Z79</f>
        <v>374</v>
      </c>
      <c r="AC79" s="124" t="n">
        <f aca="false">IF(E79=0,0,IF(ISNUMBER('Sources &amp; uses'!$E$29),MAX(0,E79-'Sources &amp; uses'!$E$29),"n.a."))</f>
        <v>0</v>
      </c>
      <c r="AD79" s="122" t="str">
        <f aca="false">IF(E79=0,"No new subscription",IF(ISNUMBER('Sources &amp; uses'!$E$29),"MODEL capacity tested","Unverified"))</f>
        <v>No new subscription</v>
      </c>
    </row>
    <row r="80" customFormat="false" ht="19.5" hidden="false" customHeight="true" outlineLevel="0" collapsed="false">
      <c r="A80" s="111" t="n">
        <v>1920</v>
      </c>
      <c r="B80" s="107" t="n">
        <f aca="false">IF(AND(A80&gt;=1914,A80&lt;=1918),entente_total*CHOOSE(A80-1913,0.05,0.1333,0.2333,0.3,0.2834),0)</f>
        <v>0</v>
      </c>
      <c r="C80" s="122" t="n">
        <f aca="false">IF(AND(A80&gt;=1914,A80&lt;=1918),Loans!L80,0)</f>
        <v>0</v>
      </c>
      <c r="D80" s="122" t="n">
        <f aca="false">Abroad!D80</f>
        <v>0</v>
      </c>
      <c r="E80" s="107" t="n">
        <f aca="false">B80*(1-entente_public-entente_private)</f>
        <v>0</v>
      </c>
      <c r="F80" s="123" t="n">
        <f aca="false">B80-SUM(C80:E80)</f>
        <v>0</v>
      </c>
      <c r="G80" s="107" t="n">
        <f aca="false">B80*uw_fee</f>
        <v>0</v>
      </c>
      <c r="H80" s="107" t="n">
        <f aca="false">B80-G80</f>
        <v>0</v>
      </c>
      <c r="I80" s="122" t="n">
        <f aca="false">H80*'Sources &amp; uses'!$E$31</f>
        <v>0</v>
      </c>
      <c r="J80" s="107" t="n">
        <f aca="false">H80-I80</f>
        <v>0</v>
      </c>
      <c r="K80" s="123" t="n">
        <f aca="false">B80-G80-I80-J80</f>
        <v>0</v>
      </c>
      <c r="L80" s="107" t="n">
        <f aca="false">O79</f>
        <v>1496</v>
      </c>
      <c r="M80" s="122" t="n">
        <f aca="false">L80*Paths!AA80</f>
        <v>0</v>
      </c>
      <c r="N80" s="107" t="n">
        <f aca="false">IF(A80=1918,(L80+C80)*russia_writeoff,0)</f>
        <v>0</v>
      </c>
      <c r="O80" s="107" t="n">
        <f aca="false">L80+C80-M80-N80</f>
        <v>1496</v>
      </c>
      <c r="P80" s="122" t="n">
        <f aca="false">L80*Paths!Z80*Paths!AB80</f>
        <v>74.8</v>
      </c>
      <c r="Q80" s="107" t="n">
        <f aca="false">T79</f>
        <v>2508</v>
      </c>
      <c r="R80" s="122" t="n">
        <f aca="false">Q80*Paths!AA80</f>
        <v>0</v>
      </c>
      <c r="S80" s="107" t="n">
        <f aca="false">IF(A80=1918,(Q80+D80)*russia_writeoff,0)</f>
        <v>0</v>
      </c>
      <c r="T80" s="107" t="n">
        <f aca="false">Q80+D80-R80-S80</f>
        <v>2508</v>
      </c>
      <c r="U80" s="122" t="n">
        <f aca="false">Q80*Paths!Z80*Paths!AB80</f>
        <v>125.4</v>
      </c>
      <c r="V80" s="107" t="n">
        <f aca="false">Y79</f>
        <v>3476</v>
      </c>
      <c r="W80" s="122" t="n">
        <f aca="false">V80*Paths!AA80</f>
        <v>0</v>
      </c>
      <c r="X80" s="107" t="n">
        <f aca="false">IF(A80=1918,(V80+E80)*russia_writeoff,0)</f>
        <v>0</v>
      </c>
      <c r="Y80" s="107" t="n">
        <f aca="false">V80+E80-W80-X80</f>
        <v>3476</v>
      </c>
      <c r="Z80" s="122" t="n">
        <f aca="false">V80*Paths!Z80*Paths!AB80</f>
        <v>173.8</v>
      </c>
      <c r="AA80" s="107" t="n">
        <f aca="false">O80+T80+Y80</f>
        <v>7480</v>
      </c>
      <c r="AB80" s="107" t="n">
        <f aca="false">P80+U80+Z80</f>
        <v>374</v>
      </c>
      <c r="AC80" s="124" t="n">
        <f aca="false">IF(E80=0,0,IF(ISNUMBER('Sources &amp; uses'!$E$29),MAX(0,E80-'Sources &amp; uses'!$E$29),"n.a."))</f>
        <v>0</v>
      </c>
      <c r="AD80" s="122" t="str">
        <f aca="false">IF(E80=0,"No new subscription",IF(ISNUMBER('Sources &amp; uses'!$E$29),"MODEL capacity tested","Unverified"))</f>
        <v>No new subscription</v>
      </c>
    </row>
    <row r="81" customFormat="false" ht="19.5" hidden="false" customHeight="true" outlineLevel="0" collapsed="false">
      <c r="A81" s="111" t="n">
        <v>1921</v>
      </c>
      <c r="B81" s="107" t="n">
        <f aca="false">IF(AND(A81&gt;=1914,A81&lt;=1918),entente_total*CHOOSE(A81-1913,0.05,0.1333,0.2333,0.3,0.2834),0)</f>
        <v>0</v>
      </c>
      <c r="C81" s="122" t="n">
        <f aca="false">IF(AND(A81&gt;=1914,A81&lt;=1918),Loans!L81,0)</f>
        <v>0</v>
      </c>
      <c r="D81" s="122" t="n">
        <f aca="false">Abroad!D81</f>
        <v>0</v>
      </c>
      <c r="E81" s="107" t="n">
        <f aca="false">B81*(1-entente_public-entente_private)</f>
        <v>0</v>
      </c>
      <c r="F81" s="123" t="n">
        <f aca="false">B81-SUM(C81:E81)</f>
        <v>0</v>
      </c>
      <c r="G81" s="107" t="n">
        <f aca="false">B81*uw_fee</f>
        <v>0</v>
      </c>
      <c r="H81" s="107" t="n">
        <f aca="false">B81-G81</f>
        <v>0</v>
      </c>
      <c r="I81" s="122" t="n">
        <f aca="false">H81*'Sources &amp; uses'!$E$31</f>
        <v>0</v>
      </c>
      <c r="J81" s="107" t="n">
        <f aca="false">H81-I81</f>
        <v>0</v>
      </c>
      <c r="K81" s="123" t="n">
        <f aca="false">B81-G81-I81-J81</f>
        <v>0</v>
      </c>
      <c r="L81" s="107" t="n">
        <f aca="false">O80</f>
        <v>1496</v>
      </c>
      <c r="M81" s="122" t="n">
        <f aca="false">L81*Paths!AA81</f>
        <v>0</v>
      </c>
      <c r="N81" s="107" t="n">
        <f aca="false">IF(A81=1918,(L81+C81)*russia_writeoff,0)</f>
        <v>0</v>
      </c>
      <c r="O81" s="107" t="n">
        <f aca="false">L81+C81-M81-N81</f>
        <v>1496</v>
      </c>
      <c r="P81" s="122" t="n">
        <f aca="false">L81*Paths!Z81*Paths!AB81</f>
        <v>74.8</v>
      </c>
      <c r="Q81" s="107" t="n">
        <f aca="false">T80</f>
        <v>2508</v>
      </c>
      <c r="R81" s="122" t="n">
        <f aca="false">Q81*Paths!AA81</f>
        <v>0</v>
      </c>
      <c r="S81" s="107" t="n">
        <f aca="false">IF(A81=1918,(Q81+D81)*russia_writeoff,0)</f>
        <v>0</v>
      </c>
      <c r="T81" s="107" t="n">
        <f aca="false">Q81+D81-R81-S81</f>
        <v>2508</v>
      </c>
      <c r="U81" s="122" t="n">
        <f aca="false">Q81*Paths!Z81*Paths!AB81</f>
        <v>125.4</v>
      </c>
      <c r="V81" s="107" t="n">
        <f aca="false">Y80</f>
        <v>3476</v>
      </c>
      <c r="W81" s="122" t="n">
        <f aca="false">V81*Paths!AA81</f>
        <v>0</v>
      </c>
      <c r="X81" s="107" t="n">
        <f aca="false">IF(A81=1918,(V81+E81)*russia_writeoff,0)</f>
        <v>0</v>
      </c>
      <c r="Y81" s="107" t="n">
        <f aca="false">V81+E81-W81-X81</f>
        <v>3476</v>
      </c>
      <c r="Z81" s="122" t="n">
        <f aca="false">V81*Paths!Z81*Paths!AB81</f>
        <v>173.8</v>
      </c>
      <c r="AA81" s="107" t="n">
        <f aca="false">O81+T81+Y81</f>
        <v>7480</v>
      </c>
      <c r="AB81" s="107" t="n">
        <f aca="false">P81+U81+Z81</f>
        <v>374</v>
      </c>
      <c r="AC81" s="124" t="n">
        <f aca="false">IF(E81=0,0,IF(ISNUMBER('Sources &amp; uses'!$E$29),MAX(0,E81-'Sources &amp; uses'!$E$29),"n.a."))</f>
        <v>0</v>
      </c>
      <c r="AD81" s="122" t="str">
        <f aca="false">IF(E81=0,"No new subscription",IF(ISNUMBER('Sources &amp; uses'!$E$29),"MODEL capacity tested","Unverified"))</f>
        <v>No new subscription</v>
      </c>
    </row>
    <row r="82" customFormat="false" ht="19.5" hidden="false" customHeight="true" outlineLevel="0" collapsed="false">
      <c r="A82" s="111" t="n">
        <v>1922</v>
      </c>
      <c r="B82" s="107" t="n">
        <f aca="false">IF(AND(A82&gt;=1914,A82&lt;=1918),entente_total*CHOOSE(A82-1913,0.05,0.1333,0.2333,0.3,0.2834),0)</f>
        <v>0</v>
      </c>
      <c r="C82" s="122" t="n">
        <f aca="false">IF(AND(A82&gt;=1914,A82&lt;=1918),Loans!L82,0)</f>
        <v>0</v>
      </c>
      <c r="D82" s="122" t="n">
        <f aca="false">Abroad!D82</f>
        <v>0</v>
      </c>
      <c r="E82" s="107" t="n">
        <f aca="false">B82*(1-entente_public-entente_private)</f>
        <v>0</v>
      </c>
      <c r="F82" s="123" t="n">
        <f aca="false">B82-SUM(C82:E82)</f>
        <v>0</v>
      </c>
      <c r="G82" s="107" t="n">
        <f aca="false">B82*uw_fee</f>
        <v>0</v>
      </c>
      <c r="H82" s="107" t="n">
        <f aca="false">B82-G82</f>
        <v>0</v>
      </c>
      <c r="I82" s="122" t="n">
        <f aca="false">H82*'Sources &amp; uses'!$E$31</f>
        <v>0</v>
      </c>
      <c r="J82" s="107" t="n">
        <f aca="false">H82-I82</f>
        <v>0</v>
      </c>
      <c r="K82" s="123" t="n">
        <f aca="false">B82-G82-I82-J82</f>
        <v>0</v>
      </c>
      <c r="L82" s="107" t="n">
        <f aca="false">O81</f>
        <v>1496</v>
      </c>
      <c r="M82" s="122" t="n">
        <f aca="false">L82*Paths!AA82</f>
        <v>0</v>
      </c>
      <c r="N82" s="107" t="n">
        <f aca="false">IF(A82=1918,(L82+C82)*russia_writeoff,0)</f>
        <v>0</v>
      </c>
      <c r="O82" s="107" t="n">
        <f aca="false">L82+C82-M82-N82</f>
        <v>1496</v>
      </c>
      <c r="P82" s="122" t="n">
        <f aca="false">L82*Paths!Z82*Paths!AB82</f>
        <v>74.8</v>
      </c>
      <c r="Q82" s="107" t="n">
        <f aca="false">T81</f>
        <v>2508</v>
      </c>
      <c r="R82" s="122" t="n">
        <f aca="false">Q82*Paths!AA82</f>
        <v>0</v>
      </c>
      <c r="S82" s="107" t="n">
        <f aca="false">IF(A82=1918,(Q82+D82)*russia_writeoff,0)</f>
        <v>0</v>
      </c>
      <c r="T82" s="107" t="n">
        <f aca="false">Q82+D82-R82-S82</f>
        <v>2508</v>
      </c>
      <c r="U82" s="122" t="n">
        <f aca="false">Q82*Paths!Z82*Paths!AB82</f>
        <v>125.4</v>
      </c>
      <c r="V82" s="107" t="n">
        <f aca="false">Y81</f>
        <v>3476</v>
      </c>
      <c r="W82" s="122" t="n">
        <f aca="false">V82*Paths!AA82</f>
        <v>0</v>
      </c>
      <c r="X82" s="107" t="n">
        <f aca="false">IF(A82=1918,(V82+E82)*russia_writeoff,0)</f>
        <v>0</v>
      </c>
      <c r="Y82" s="107" t="n">
        <f aca="false">V82+E82-W82-X82</f>
        <v>3476</v>
      </c>
      <c r="Z82" s="122" t="n">
        <f aca="false">V82*Paths!Z82*Paths!AB82</f>
        <v>173.8</v>
      </c>
      <c r="AA82" s="107" t="n">
        <f aca="false">O82+T82+Y82</f>
        <v>7480</v>
      </c>
      <c r="AB82" s="107" t="n">
        <f aca="false">P82+U82+Z82</f>
        <v>374</v>
      </c>
      <c r="AC82" s="124" t="n">
        <f aca="false">IF(E82=0,0,IF(ISNUMBER('Sources &amp; uses'!$E$29),MAX(0,E82-'Sources &amp; uses'!$E$29),"n.a."))</f>
        <v>0</v>
      </c>
      <c r="AD82" s="122" t="str">
        <f aca="false">IF(E82=0,"No new subscription",IF(ISNUMBER('Sources &amp; uses'!$E$29),"MODEL capacity tested","Unverified"))</f>
        <v>No new subscription</v>
      </c>
    </row>
    <row r="83" customFormat="false" ht="19.5" hidden="false" customHeight="true" outlineLevel="0" collapsed="false">
      <c r="A83" s="111" t="n">
        <v>1923</v>
      </c>
      <c r="B83" s="107" t="n">
        <f aca="false">IF(AND(A83&gt;=1914,A83&lt;=1918),entente_total*CHOOSE(A83-1913,0.05,0.1333,0.2333,0.3,0.2834),0)</f>
        <v>0</v>
      </c>
      <c r="C83" s="122" t="n">
        <f aca="false">IF(AND(A83&gt;=1914,A83&lt;=1918),Loans!L83,0)</f>
        <v>0</v>
      </c>
      <c r="D83" s="122" t="n">
        <f aca="false">Abroad!D83</f>
        <v>0</v>
      </c>
      <c r="E83" s="107" t="n">
        <f aca="false">B83*(1-entente_public-entente_private)</f>
        <v>0</v>
      </c>
      <c r="F83" s="123" t="n">
        <f aca="false">B83-SUM(C83:E83)</f>
        <v>0</v>
      </c>
      <c r="G83" s="107" t="n">
        <f aca="false">B83*uw_fee</f>
        <v>0</v>
      </c>
      <c r="H83" s="107" t="n">
        <f aca="false">B83-G83</f>
        <v>0</v>
      </c>
      <c r="I83" s="122" t="n">
        <f aca="false">H83*'Sources &amp; uses'!$E$31</f>
        <v>0</v>
      </c>
      <c r="J83" s="107" t="n">
        <f aca="false">H83-I83</f>
        <v>0</v>
      </c>
      <c r="K83" s="123" t="n">
        <f aca="false">B83-G83-I83-J83</f>
        <v>0</v>
      </c>
      <c r="L83" s="107" t="n">
        <f aca="false">O82</f>
        <v>1496</v>
      </c>
      <c r="M83" s="122" t="n">
        <f aca="false">L83*Paths!AA83</f>
        <v>23.936</v>
      </c>
      <c r="N83" s="107" t="n">
        <f aca="false">IF(A83=1918,(L83+C83)*russia_writeoff,0)</f>
        <v>0</v>
      </c>
      <c r="O83" s="107" t="n">
        <f aca="false">L83+C83-M83-N83</f>
        <v>1472.064</v>
      </c>
      <c r="P83" s="122" t="n">
        <f aca="false">L83*Paths!Z83*Paths!AB83</f>
        <v>49.368</v>
      </c>
      <c r="Q83" s="107" t="n">
        <f aca="false">T82</f>
        <v>2508</v>
      </c>
      <c r="R83" s="122" t="n">
        <f aca="false">Q83*Paths!AA83</f>
        <v>40.128</v>
      </c>
      <c r="S83" s="107" t="n">
        <f aca="false">IF(A83=1918,(Q83+D83)*russia_writeoff,0)</f>
        <v>0</v>
      </c>
      <c r="T83" s="107" t="n">
        <f aca="false">Q83+D83-R83-S83</f>
        <v>2467.872</v>
      </c>
      <c r="U83" s="122" t="n">
        <f aca="false">Q83*Paths!Z83*Paths!AB83</f>
        <v>82.764</v>
      </c>
      <c r="V83" s="107" t="n">
        <f aca="false">Y82</f>
        <v>3476</v>
      </c>
      <c r="W83" s="122" t="n">
        <f aca="false">V83*Paths!AA83</f>
        <v>55.616</v>
      </c>
      <c r="X83" s="107" t="n">
        <f aca="false">IF(A83=1918,(V83+E83)*russia_writeoff,0)</f>
        <v>0</v>
      </c>
      <c r="Y83" s="107" t="n">
        <f aca="false">V83+E83-W83-X83</f>
        <v>3420.384</v>
      </c>
      <c r="Z83" s="122" t="n">
        <f aca="false">V83*Paths!Z83*Paths!AB83</f>
        <v>114.708</v>
      </c>
      <c r="AA83" s="107" t="n">
        <f aca="false">O83+T83+Y83</f>
        <v>7360.32</v>
      </c>
      <c r="AB83" s="107" t="n">
        <f aca="false">P83+U83+Z83</f>
        <v>246.84</v>
      </c>
      <c r="AC83" s="124" t="n">
        <f aca="false">IF(E83=0,0,IF(ISNUMBER('Sources &amp; uses'!$E$29),MAX(0,E83-'Sources &amp; uses'!$E$29),"n.a."))</f>
        <v>0</v>
      </c>
      <c r="AD83" s="122" t="str">
        <f aca="false">IF(E83=0,"No new subscription",IF(ISNUMBER('Sources &amp; uses'!$E$29),"MODEL capacity tested","Unverified"))</f>
        <v>No new subscription</v>
      </c>
    </row>
    <row r="84" customFormat="false" ht="19.5" hidden="false" customHeight="true" outlineLevel="0" collapsed="false">
      <c r="A84" s="111" t="n">
        <v>1924</v>
      </c>
      <c r="B84" s="107" t="n">
        <f aca="false">IF(AND(A84&gt;=1914,A84&lt;=1918),entente_total*CHOOSE(A84-1913,0.05,0.1333,0.2333,0.3,0.2834),0)</f>
        <v>0</v>
      </c>
      <c r="C84" s="122" t="n">
        <f aca="false">IF(AND(A84&gt;=1914,A84&lt;=1918),Loans!L84,0)</f>
        <v>0</v>
      </c>
      <c r="D84" s="122" t="n">
        <f aca="false">Abroad!D84</f>
        <v>0</v>
      </c>
      <c r="E84" s="107" t="n">
        <f aca="false">B84*(1-entente_public-entente_private)</f>
        <v>0</v>
      </c>
      <c r="F84" s="123" t="n">
        <f aca="false">B84-SUM(C84:E84)</f>
        <v>0</v>
      </c>
      <c r="G84" s="107" t="n">
        <f aca="false">B84*uw_fee</f>
        <v>0</v>
      </c>
      <c r="H84" s="107" t="n">
        <f aca="false">B84-G84</f>
        <v>0</v>
      </c>
      <c r="I84" s="122" t="n">
        <f aca="false">H84*'Sources &amp; uses'!$E$31</f>
        <v>0</v>
      </c>
      <c r="J84" s="107" t="n">
        <f aca="false">H84-I84</f>
        <v>0</v>
      </c>
      <c r="K84" s="123" t="n">
        <f aca="false">B84-G84-I84-J84</f>
        <v>0</v>
      </c>
      <c r="L84" s="107" t="n">
        <f aca="false">O83</f>
        <v>1472.064</v>
      </c>
      <c r="M84" s="122" t="n">
        <f aca="false">L84*Paths!AA84</f>
        <v>23.553024</v>
      </c>
      <c r="N84" s="107" t="n">
        <f aca="false">IF(A84=1918,(L84+C84)*russia_writeoff,0)</f>
        <v>0</v>
      </c>
      <c r="O84" s="107" t="n">
        <f aca="false">L84+C84-M84-N84</f>
        <v>1448.510976</v>
      </c>
      <c r="P84" s="122" t="n">
        <f aca="false">L84*Paths!Z84*Paths!AB84</f>
        <v>48.578112</v>
      </c>
      <c r="Q84" s="107" t="n">
        <f aca="false">T83</f>
        <v>2467.872</v>
      </c>
      <c r="R84" s="122" t="n">
        <f aca="false">Q84*Paths!AA84</f>
        <v>39.485952</v>
      </c>
      <c r="S84" s="107" t="n">
        <f aca="false">IF(A84=1918,(Q84+D84)*russia_writeoff,0)</f>
        <v>0</v>
      </c>
      <c r="T84" s="107" t="n">
        <f aca="false">Q84+D84-R84-S84</f>
        <v>2428.386048</v>
      </c>
      <c r="U84" s="122" t="n">
        <f aca="false">Q84*Paths!Z84*Paths!AB84</f>
        <v>81.439776</v>
      </c>
      <c r="V84" s="107" t="n">
        <f aca="false">Y83</f>
        <v>3420.384</v>
      </c>
      <c r="W84" s="122" t="n">
        <f aca="false">V84*Paths!AA84</f>
        <v>54.726144</v>
      </c>
      <c r="X84" s="107" t="n">
        <f aca="false">IF(A84=1918,(V84+E84)*russia_writeoff,0)</f>
        <v>0</v>
      </c>
      <c r="Y84" s="107" t="n">
        <f aca="false">V84+E84-W84-X84</f>
        <v>3365.657856</v>
      </c>
      <c r="Z84" s="122" t="n">
        <f aca="false">V84*Paths!Z84*Paths!AB84</f>
        <v>112.872672</v>
      </c>
      <c r="AA84" s="107" t="n">
        <f aca="false">O84+T84+Y84</f>
        <v>7242.55488</v>
      </c>
      <c r="AB84" s="107" t="n">
        <f aca="false">P84+U84+Z84</f>
        <v>242.89056</v>
      </c>
      <c r="AC84" s="124" t="n">
        <f aca="false">IF(E84=0,0,IF(ISNUMBER('Sources &amp; uses'!$E$29),MAX(0,E84-'Sources &amp; uses'!$E$29),"n.a."))</f>
        <v>0</v>
      </c>
      <c r="AD84" s="122" t="str">
        <f aca="false">IF(E84=0,"No new subscription",IF(ISNUMBER('Sources &amp; uses'!$E$29),"MODEL capacity tested","Unverified"))</f>
        <v>No new subscription</v>
      </c>
    </row>
    <row r="85" customFormat="false" ht="19.5" hidden="false" customHeight="true" outlineLevel="0" collapsed="false">
      <c r="A85" s="111" t="n">
        <v>1925</v>
      </c>
      <c r="B85" s="107" t="n">
        <f aca="false">IF(AND(A85&gt;=1914,A85&lt;=1918),entente_total*CHOOSE(A85-1913,0.05,0.1333,0.2333,0.3,0.2834),0)</f>
        <v>0</v>
      </c>
      <c r="C85" s="122" t="n">
        <f aca="false">IF(AND(A85&gt;=1914,A85&lt;=1918),Loans!L85,0)</f>
        <v>0</v>
      </c>
      <c r="D85" s="122" t="n">
        <f aca="false">Abroad!D85</f>
        <v>0</v>
      </c>
      <c r="E85" s="107" t="n">
        <f aca="false">B85*(1-entente_public-entente_private)</f>
        <v>0</v>
      </c>
      <c r="F85" s="123" t="n">
        <f aca="false">B85-SUM(C85:E85)</f>
        <v>0</v>
      </c>
      <c r="G85" s="107" t="n">
        <f aca="false">B85*uw_fee</f>
        <v>0</v>
      </c>
      <c r="H85" s="107" t="n">
        <f aca="false">B85-G85</f>
        <v>0</v>
      </c>
      <c r="I85" s="122" t="n">
        <f aca="false">H85*'Sources &amp; uses'!$E$31</f>
        <v>0</v>
      </c>
      <c r="J85" s="107" t="n">
        <f aca="false">H85-I85</f>
        <v>0</v>
      </c>
      <c r="K85" s="123" t="n">
        <f aca="false">B85-G85-I85-J85</f>
        <v>0</v>
      </c>
      <c r="L85" s="107" t="n">
        <f aca="false">O84</f>
        <v>1448.510976</v>
      </c>
      <c r="M85" s="122" t="n">
        <f aca="false">L85*Paths!AA85</f>
        <v>23.176175616</v>
      </c>
      <c r="N85" s="107" t="n">
        <f aca="false">IF(A85=1918,(L85+C85)*russia_writeoff,0)</f>
        <v>0</v>
      </c>
      <c r="O85" s="107" t="n">
        <f aca="false">L85+C85-M85-N85</f>
        <v>1425.334800384</v>
      </c>
      <c r="P85" s="122" t="n">
        <f aca="false">L85*Paths!Z85*Paths!AB85</f>
        <v>47.800862208</v>
      </c>
      <c r="Q85" s="107" t="n">
        <f aca="false">T84</f>
        <v>2428.386048</v>
      </c>
      <c r="R85" s="122" t="n">
        <f aca="false">Q85*Paths!AA85</f>
        <v>38.854176768</v>
      </c>
      <c r="S85" s="107" t="n">
        <f aca="false">IF(A85=1918,(Q85+D85)*russia_writeoff,0)</f>
        <v>0</v>
      </c>
      <c r="T85" s="107" t="n">
        <f aca="false">Q85+D85-R85-S85</f>
        <v>2389.531871232</v>
      </c>
      <c r="U85" s="122" t="n">
        <f aca="false">Q85*Paths!Z85*Paths!AB85</f>
        <v>80.136739584</v>
      </c>
      <c r="V85" s="107" t="n">
        <f aca="false">Y84</f>
        <v>3365.657856</v>
      </c>
      <c r="W85" s="122" t="n">
        <f aca="false">V85*Paths!AA85</f>
        <v>53.850525696</v>
      </c>
      <c r="X85" s="107" t="n">
        <f aca="false">IF(A85=1918,(V85+E85)*russia_writeoff,0)</f>
        <v>0</v>
      </c>
      <c r="Y85" s="107" t="n">
        <f aca="false">V85+E85-W85-X85</f>
        <v>3311.807330304</v>
      </c>
      <c r="Z85" s="122" t="n">
        <f aca="false">V85*Paths!Z85*Paths!AB85</f>
        <v>111.066709248</v>
      </c>
      <c r="AA85" s="107" t="n">
        <f aca="false">O85+T85+Y85</f>
        <v>7126.67400192</v>
      </c>
      <c r="AB85" s="107" t="n">
        <f aca="false">P85+U85+Z85</f>
        <v>239.00431104</v>
      </c>
      <c r="AC85" s="124" t="n">
        <f aca="false">IF(E85=0,0,IF(ISNUMBER('Sources &amp; uses'!$E$29),MAX(0,E85-'Sources &amp; uses'!$E$29),"n.a."))</f>
        <v>0</v>
      </c>
      <c r="AD85" s="122" t="str">
        <f aca="false">IF(E85=0,"No new subscription",IF(ISNUMBER('Sources &amp; uses'!$E$29),"MODEL capacity tested","Unverified"))</f>
        <v>No new subscription</v>
      </c>
    </row>
    <row r="86" customFormat="false" ht="19.5" hidden="false" customHeight="true" outlineLevel="0" collapsed="false">
      <c r="A86" s="111" t="n">
        <v>1926</v>
      </c>
      <c r="B86" s="107" t="n">
        <f aca="false">IF(AND(A86&gt;=1914,A86&lt;=1918),entente_total*CHOOSE(A86-1913,0.05,0.1333,0.2333,0.3,0.2834),0)</f>
        <v>0</v>
      </c>
      <c r="C86" s="122" t="n">
        <f aca="false">IF(AND(A86&gt;=1914,A86&lt;=1918),Loans!L86,0)</f>
        <v>0</v>
      </c>
      <c r="D86" s="122" t="n">
        <f aca="false">Abroad!D86</f>
        <v>0</v>
      </c>
      <c r="E86" s="107" t="n">
        <f aca="false">B86*(1-entente_public-entente_private)</f>
        <v>0</v>
      </c>
      <c r="F86" s="123" t="n">
        <f aca="false">B86-SUM(C86:E86)</f>
        <v>0</v>
      </c>
      <c r="G86" s="107" t="n">
        <f aca="false">B86*uw_fee</f>
        <v>0</v>
      </c>
      <c r="H86" s="107" t="n">
        <f aca="false">B86-G86</f>
        <v>0</v>
      </c>
      <c r="I86" s="122" t="n">
        <f aca="false">H86*'Sources &amp; uses'!$E$31</f>
        <v>0</v>
      </c>
      <c r="J86" s="107" t="n">
        <f aca="false">H86-I86</f>
        <v>0</v>
      </c>
      <c r="K86" s="123" t="n">
        <f aca="false">B86-G86-I86-J86</f>
        <v>0</v>
      </c>
      <c r="L86" s="107" t="n">
        <f aca="false">O85</f>
        <v>1425.334800384</v>
      </c>
      <c r="M86" s="122" t="n">
        <f aca="false">L86*Paths!AA86</f>
        <v>22.805356806144</v>
      </c>
      <c r="N86" s="107" t="n">
        <f aca="false">IF(A86=1918,(L86+C86)*russia_writeoff,0)</f>
        <v>0</v>
      </c>
      <c r="O86" s="107" t="n">
        <f aca="false">L86+C86-M86-N86</f>
        <v>1402.52944357786</v>
      </c>
      <c r="P86" s="122" t="n">
        <f aca="false">L86*Paths!Z86*Paths!AB86</f>
        <v>47.036048412672</v>
      </c>
      <c r="Q86" s="107" t="n">
        <f aca="false">T85</f>
        <v>2389.531871232</v>
      </c>
      <c r="R86" s="122" t="n">
        <f aca="false">Q86*Paths!AA86</f>
        <v>38.232509939712</v>
      </c>
      <c r="S86" s="107" t="n">
        <f aca="false">IF(A86=1918,(Q86+D86)*russia_writeoff,0)</f>
        <v>0</v>
      </c>
      <c r="T86" s="107" t="n">
        <f aca="false">Q86+D86-R86-S86</f>
        <v>2351.29936129229</v>
      </c>
      <c r="U86" s="122" t="n">
        <f aca="false">Q86*Paths!Z86*Paths!AB86</f>
        <v>78.854551750656</v>
      </c>
      <c r="V86" s="107" t="n">
        <f aca="false">Y85</f>
        <v>3311.807330304</v>
      </c>
      <c r="W86" s="122" t="n">
        <f aca="false">V86*Paths!AA86</f>
        <v>52.988917284864</v>
      </c>
      <c r="X86" s="107" t="n">
        <f aca="false">IF(A86=1918,(V86+E86)*russia_writeoff,0)</f>
        <v>0</v>
      </c>
      <c r="Y86" s="107" t="n">
        <f aca="false">V86+E86-W86-X86</f>
        <v>3258.81841301914</v>
      </c>
      <c r="Z86" s="122" t="n">
        <f aca="false">V86*Paths!Z86*Paths!AB86</f>
        <v>109.289641900032</v>
      </c>
      <c r="AA86" s="107" t="n">
        <f aca="false">O86+T86+Y86</f>
        <v>7012.64721788928</v>
      </c>
      <c r="AB86" s="107" t="n">
        <f aca="false">P86+U86+Z86</f>
        <v>235.18024206336</v>
      </c>
      <c r="AC86" s="124" t="n">
        <f aca="false">IF(E86=0,0,IF(ISNUMBER('Sources &amp; uses'!$E$29),MAX(0,E86-'Sources &amp; uses'!$E$29),"n.a."))</f>
        <v>0</v>
      </c>
      <c r="AD86" s="122" t="str">
        <f aca="false">IF(E86=0,"No new subscription",IF(ISNUMBER('Sources &amp; uses'!$E$29),"MODEL capacity tested","Unverified"))</f>
        <v>No new subscription</v>
      </c>
    </row>
    <row r="87" customFormat="false" ht="19.5" hidden="false" customHeight="true" outlineLevel="0" collapsed="false">
      <c r="A87" s="111" t="n">
        <v>1927</v>
      </c>
      <c r="B87" s="107" t="n">
        <f aca="false">IF(AND(A87&gt;=1914,A87&lt;=1918),entente_total*CHOOSE(A87-1913,0.05,0.1333,0.2333,0.3,0.2834),0)</f>
        <v>0</v>
      </c>
      <c r="C87" s="122" t="n">
        <f aca="false">IF(AND(A87&gt;=1914,A87&lt;=1918),Loans!L87,0)</f>
        <v>0</v>
      </c>
      <c r="D87" s="122" t="n">
        <f aca="false">Abroad!D87</f>
        <v>0</v>
      </c>
      <c r="E87" s="107" t="n">
        <f aca="false">B87*(1-entente_public-entente_private)</f>
        <v>0</v>
      </c>
      <c r="F87" s="123" t="n">
        <f aca="false">B87-SUM(C87:E87)</f>
        <v>0</v>
      </c>
      <c r="G87" s="107" t="n">
        <f aca="false">B87*uw_fee</f>
        <v>0</v>
      </c>
      <c r="H87" s="107" t="n">
        <f aca="false">B87-G87</f>
        <v>0</v>
      </c>
      <c r="I87" s="122" t="n">
        <f aca="false">H87*'Sources &amp; uses'!$E$31</f>
        <v>0</v>
      </c>
      <c r="J87" s="107" t="n">
        <f aca="false">H87-I87</f>
        <v>0</v>
      </c>
      <c r="K87" s="123" t="n">
        <f aca="false">B87-G87-I87-J87</f>
        <v>0</v>
      </c>
      <c r="L87" s="107" t="n">
        <f aca="false">O86</f>
        <v>1402.52944357786</v>
      </c>
      <c r="M87" s="122" t="n">
        <f aca="false">L87*Paths!AA87</f>
        <v>22.4404710972457</v>
      </c>
      <c r="N87" s="107" t="n">
        <f aca="false">IF(A87=1918,(L87+C87)*russia_writeoff,0)</f>
        <v>0</v>
      </c>
      <c r="O87" s="107" t="n">
        <f aca="false">L87+C87-M87-N87</f>
        <v>1380.08897248061</v>
      </c>
      <c r="P87" s="122" t="n">
        <f aca="false">L87*Paths!Z87*Paths!AB87</f>
        <v>46.2834716380693</v>
      </c>
      <c r="Q87" s="107" t="n">
        <f aca="false">T86</f>
        <v>2351.29936129229</v>
      </c>
      <c r="R87" s="122" t="n">
        <f aca="false">Q87*Paths!AA87</f>
        <v>37.6207897806766</v>
      </c>
      <c r="S87" s="107" t="n">
        <f aca="false">IF(A87=1918,(Q87+D87)*russia_writeoff,0)</f>
        <v>0</v>
      </c>
      <c r="T87" s="107" t="n">
        <f aca="false">Q87+D87-R87-S87</f>
        <v>2313.67857151161</v>
      </c>
      <c r="U87" s="122" t="n">
        <f aca="false">Q87*Paths!Z87*Paths!AB87</f>
        <v>77.5928789226455</v>
      </c>
      <c r="V87" s="107" t="n">
        <f aca="false">Y86</f>
        <v>3258.81841301914</v>
      </c>
      <c r="W87" s="122" t="n">
        <f aca="false">V87*Paths!AA87</f>
        <v>52.1410946083062</v>
      </c>
      <c r="X87" s="107" t="n">
        <f aca="false">IF(A87=1918,(V87+E87)*russia_writeoff,0)</f>
        <v>0</v>
      </c>
      <c r="Y87" s="107" t="n">
        <f aca="false">V87+E87-W87-X87</f>
        <v>3206.67731841083</v>
      </c>
      <c r="Z87" s="122" t="n">
        <f aca="false">V87*Paths!Z87*Paths!AB87</f>
        <v>107.541007629631</v>
      </c>
      <c r="AA87" s="107" t="n">
        <f aca="false">O87+T87+Y87</f>
        <v>6900.44486240305</v>
      </c>
      <c r="AB87" s="107" t="n">
        <f aca="false">P87+U87+Z87</f>
        <v>231.417358190346</v>
      </c>
      <c r="AC87" s="124" t="n">
        <f aca="false">IF(E87=0,0,IF(ISNUMBER('Sources &amp; uses'!$E$29),MAX(0,E87-'Sources &amp; uses'!$E$29),"n.a."))</f>
        <v>0</v>
      </c>
      <c r="AD87" s="122" t="str">
        <f aca="false">IF(E87=0,"No new subscription",IF(ISNUMBER('Sources &amp; uses'!$E$29),"MODEL capacity tested","Unverified"))</f>
        <v>No new subscription</v>
      </c>
    </row>
    <row r="88" customFormat="false" ht="19.5" hidden="false" customHeight="true" outlineLevel="0" collapsed="false">
      <c r="A88" s="111" t="n">
        <v>1928</v>
      </c>
      <c r="B88" s="107" t="n">
        <f aca="false">IF(AND(A88&gt;=1914,A88&lt;=1918),entente_total*CHOOSE(A88-1913,0.05,0.1333,0.2333,0.3,0.2834),0)</f>
        <v>0</v>
      </c>
      <c r="C88" s="122" t="n">
        <f aca="false">IF(AND(A88&gt;=1914,A88&lt;=1918),Loans!L88,0)</f>
        <v>0</v>
      </c>
      <c r="D88" s="122" t="n">
        <f aca="false">Abroad!D88</f>
        <v>0</v>
      </c>
      <c r="E88" s="107" t="n">
        <f aca="false">B88*(1-entente_public-entente_private)</f>
        <v>0</v>
      </c>
      <c r="F88" s="123" t="n">
        <f aca="false">B88-SUM(C88:E88)</f>
        <v>0</v>
      </c>
      <c r="G88" s="107" t="n">
        <f aca="false">B88*uw_fee</f>
        <v>0</v>
      </c>
      <c r="H88" s="107" t="n">
        <f aca="false">B88-G88</f>
        <v>0</v>
      </c>
      <c r="I88" s="122" t="n">
        <f aca="false">H88*'Sources &amp; uses'!$E$31</f>
        <v>0</v>
      </c>
      <c r="J88" s="107" t="n">
        <f aca="false">H88-I88</f>
        <v>0</v>
      </c>
      <c r="K88" s="123" t="n">
        <f aca="false">B88-G88-I88-J88</f>
        <v>0</v>
      </c>
      <c r="L88" s="107" t="n">
        <f aca="false">O87</f>
        <v>1380.08897248061</v>
      </c>
      <c r="M88" s="122" t="n">
        <f aca="false">L88*Paths!AA88</f>
        <v>22.0814235596898</v>
      </c>
      <c r="N88" s="107" t="n">
        <f aca="false">IF(A88=1918,(L88+C88)*russia_writeoff,0)</f>
        <v>0</v>
      </c>
      <c r="O88" s="107" t="n">
        <f aca="false">L88+C88-M88-N88</f>
        <v>1358.00754892092</v>
      </c>
      <c r="P88" s="122" t="n">
        <f aca="false">L88*Paths!Z88*Paths!AB88</f>
        <v>45.5429360918602</v>
      </c>
      <c r="Q88" s="107" t="n">
        <f aca="false">T87</f>
        <v>2313.67857151161</v>
      </c>
      <c r="R88" s="122" t="n">
        <f aca="false">Q88*Paths!AA88</f>
        <v>37.0188571441858</v>
      </c>
      <c r="S88" s="107" t="n">
        <f aca="false">IF(A88=1918,(Q88+D88)*russia_writeoff,0)</f>
        <v>0</v>
      </c>
      <c r="T88" s="107" t="n">
        <f aca="false">Q88+D88-R88-S88</f>
        <v>2276.65971436743</v>
      </c>
      <c r="U88" s="122" t="n">
        <f aca="false">Q88*Paths!Z88*Paths!AB88</f>
        <v>76.3513928598832</v>
      </c>
      <c r="V88" s="107" t="n">
        <f aca="false">Y87</f>
        <v>3206.67731841083</v>
      </c>
      <c r="W88" s="122" t="n">
        <f aca="false">V88*Paths!AA88</f>
        <v>51.3068370945733</v>
      </c>
      <c r="X88" s="107" t="n">
        <f aca="false">IF(A88=1918,(V88+E88)*russia_writeoff,0)</f>
        <v>0</v>
      </c>
      <c r="Y88" s="107" t="n">
        <f aca="false">V88+E88-W88-X88</f>
        <v>3155.37048131626</v>
      </c>
      <c r="Z88" s="122" t="n">
        <f aca="false">V88*Paths!Z88*Paths!AB88</f>
        <v>105.820351507557</v>
      </c>
      <c r="AA88" s="107" t="n">
        <f aca="false">O88+T88+Y88</f>
        <v>6790.0377446046</v>
      </c>
      <c r="AB88" s="107" t="n">
        <f aca="false">P88+U88+Z88</f>
        <v>227.714680459301</v>
      </c>
      <c r="AC88" s="124" t="n">
        <f aca="false">IF(E88=0,0,IF(ISNUMBER('Sources &amp; uses'!$E$29),MAX(0,E88-'Sources &amp; uses'!$E$29),"n.a."))</f>
        <v>0</v>
      </c>
      <c r="AD88" s="122" t="str">
        <f aca="false">IF(E88=0,"No new subscription",IF(ISNUMBER('Sources &amp; uses'!$E$29),"MODEL capacity tested","Unverified"))</f>
        <v>No new subscription</v>
      </c>
    </row>
    <row r="89" customFormat="false" ht="19.5" hidden="false" customHeight="true" outlineLevel="0" collapsed="false">
      <c r="A89" s="111" t="n">
        <v>1929</v>
      </c>
      <c r="B89" s="107" t="n">
        <f aca="false">IF(AND(A89&gt;=1914,A89&lt;=1918),entente_total*CHOOSE(A89-1913,0.05,0.1333,0.2333,0.3,0.2834),0)</f>
        <v>0</v>
      </c>
      <c r="C89" s="122" t="n">
        <f aca="false">IF(AND(A89&gt;=1914,A89&lt;=1918),Loans!L89,0)</f>
        <v>0</v>
      </c>
      <c r="D89" s="122" t="n">
        <f aca="false">Abroad!D89</f>
        <v>0</v>
      </c>
      <c r="E89" s="107" t="n">
        <f aca="false">B89*(1-entente_public-entente_private)</f>
        <v>0</v>
      </c>
      <c r="F89" s="123" t="n">
        <f aca="false">B89-SUM(C89:E89)</f>
        <v>0</v>
      </c>
      <c r="G89" s="107" t="n">
        <f aca="false">B89*uw_fee</f>
        <v>0</v>
      </c>
      <c r="H89" s="107" t="n">
        <f aca="false">B89-G89</f>
        <v>0</v>
      </c>
      <c r="I89" s="122" t="n">
        <f aca="false">H89*'Sources &amp; uses'!$E$31</f>
        <v>0</v>
      </c>
      <c r="J89" s="107" t="n">
        <f aca="false">H89-I89</f>
        <v>0</v>
      </c>
      <c r="K89" s="123" t="n">
        <f aca="false">B89-G89-I89-J89</f>
        <v>0</v>
      </c>
      <c r="L89" s="107" t="n">
        <f aca="false">O88</f>
        <v>1358.00754892092</v>
      </c>
      <c r="M89" s="122" t="n">
        <f aca="false">L89*Paths!AA89</f>
        <v>21.7281207827347</v>
      </c>
      <c r="N89" s="107" t="n">
        <f aca="false">IF(A89=1918,(L89+C89)*russia_writeoff,0)</f>
        <v>0</v>
      </c>
      <c r="O89" s="107" t="n">
        <f aca="false">L89+C89-M89-N89</f>
        <v>1336.27942813819</v>
      </c>
      <c r="P89" s="122" t="n">
        <f aca="false">L89*Paths!Z89*Paths!AB89</f>
        <v>44.8142491143904</v>
      </c>
      <c r="Q89" s="107" t="n">
        <f aca="false">T88</f>
        <v>2276.65971436743</v>
      </c>
      <c r="R89" s="122" t="n">
        <f aca="false">Q89*Paths!AA89</f>
        <v>36.4265554298788</v>
      </c>
      <c r="S89" s="107" t="n">
        <f aca="false">IF(A89=1918,(Q89+D89)*russia_writeoff,0)</f>
        <v>0</v>
      </c>
      <c r="T89" s="107" t="n">
        <f aca="false">Q89+D89-R89-S89</f>
        <v>2240.23315893755</v>
      </c>
      <c r="U89" s="122" t="n">
        <f aca="false">Q89*Paths!Z89*Paths!AB89</f>
        <v>75.129770574125</v>
      </c>
      <c r="V89" s="107" t="n">
        <f aca="false">Y88</f>
        <v>3155.37048131626</v>
      </c>
      <c r="W89" s="122" t="n">
        <f aca="false">V89*Paths!AA89</f>
        <v>50.4859277010601</v>
      </c>
      <c r="X89" s="107" t="n">
        <f aca="false">IF(A89=1918,(V89+E89)*russia_writeoff,0)</f>
        <v>0</v>
      </c>
      <c r="Y89" s="107" t="n">
        <f aca="false">V89+E89-W89-X89</f>
        <v>3104.8845536152</v>
      </c>
      <c r="Z89" s="122" t="n">
        <f aca="false">V89*Paths!Z89*Paths!AB89</f>
        <v>104.127225883436</v>
      </c>
      <c r="AA89" s="107" t="n">
        <f aca="false">O89+T89+Y89</f>
        <v>6681.39714069093</v>
      </c>
      <c r="AB89" s="107" t="n">
        <f aca="false">P89+U89+Z89</f>
        <v>224.071245571952</v>
      </c>
      <c r="AC89" s="124" t="n">
        <f aca="false">IF(E89=0,0,IF(ISNUMBER('Sources &amp; uses'!$E$29),MAX(0,E89-'Sources &amp; uses'!$E$29),"n.a."))</f>
        <v>0</v>
      </c>
      <c r="AD89" s="122" t="str">
        <f aca="false">IF(E89=0,"No new subscription",IF(ISNUMBER('Sources &amp; uses'!$E$29),"MODEL capacity tested","Unverified"))</f>
        <v>No new subscription</v>
      </c>
    </row>
    <row r="90" customFormat="false" ht="19.5" hidden="false" customHeight="true" outlineLevel="0" collapsed="false">
      <c r="A90" s="111" t="n">
        <v>1930</v>
      </c>
      <c r="B90" s="107" t="n">
        <f aca="false">IF(AND(A90&gt;=1914,A90&lt;=1918),entente_total*CHOOSE(A90-1913,0.05,0.1333,0.2333,0.3,0.2834),0)</f>
        <v>0</v>
      </c>
      <c r="C90" s="122" t="n">
        <f aca="false">IF(AND(A90&gt;=1914,A90&lt;=1918),Loans!L90,0)</f>
        <v>0</v>
      </c>
      <c r="D90" s="122" t="n">
        <f aca="false">Abroad!D90</f>
        <v>0</v>
      </c>
      <c r="E90" s="107" t="n">
        <f aca="false">B90*(1-entente_public-entente_private)</f>
        <v>0</v>
      </c>
      <c r="F90" s="123" t="n">
        <f aca="false">B90-SUM(C90:E90)</f>
        <v>0</v>
      </c>
      <c r="G90" s="107" t="n">
        <f aca="false">B90*uw_fee</f>
        <v>0</v>
      </c>
      <c r="H90" s="107" t="n">
        <f aca="false">B90-G90</f>
        <v>0</v>
      </c>
      <c r="I90" s="122" t="n">
        <f aca="false">H90*'Sources &amp; uses'!$E$31</f>
        <v>0</v>
      </c>
      <c r="J90" s="107" t="n">
        <f aca="false">H90-I90</f>
        <v>0</v>
      </c>
      <c r="K90" s="123" t="n">
        <f aca="false">B90-G90-I90-J90</f>
        <v>0</v>
      </c>
      <c r="L90" s="107" t="n">
        <f aca="false">O89</f>
        <v>1336.27942813819</v>
      </c>
      <c r="M90" s="122" t="n">
        <f aca="false">L90*Paths!AA90</f>
        <v>21.380470850211</v>
      </c>
      <c r="N90" s="107" t="n">
        <f aca="false">IF(A90=1918,(L90+C90)*russia_writeoff,0)</f>
        <v>0</v>
      </c>
      <c r="O90" s="107" t="n">
        <f aca="false">L90+C90-M90-N90</f>
        <v>1314.89895728798</v>
      </c>
      <c r="P90" s="122" t="n">
        <f aca="false">L90*Paths!Z90*Paths!AB90</f>
        <v>44.0972211285601</v>
      </c>
      <c r="Q90" s="107" t="n">
        <f aca="false">T89</f>
        <v>2240.23315893755</v>
      </c>
      <c r="R90" s="122" t="n">
        <f aca="false">Q90*Paths!AA90</f>
        <v>35.8437305430007</v>
      </c>
      <c r="S90" s="107" t="n">
        <f aca="false">IF(A90=1918,(Q90+D90)*russia_writeoff,0)</f>
        <v>0</v>
      </c>
      <c r="T90" s="107" t="n">
        <f aca="false">Q90+D90-R90-S90</f>
        <v>2204.38942839455</v>
      </c>
      <c r="U90" s="122" t="n">
        <f aca="false">Q90*Paths!Z90*Paths!AB90</f>
        <v>73.9276942449391</v>
      </c>
      <c r="V90" s="107" t="n">
        <f aca="false">Y89</f>
        <v>3104.8845536152</v>
      </c>
      <c r="W90" s="122" t="n">
        <f aca="false">V90*Paths!AA90</f>
        <v>49.6781528578431</v>
      </c>
      <c r="X90" s="107" t="n">
        <f aca="false">IF(A90=1918,(V90+E90)*russia_writeoff,0)</f>
        <v>0</v>
      </c>
      <c r="Y90" s="107" t="n">
        <f aca="false">V90+E90-W90-X90</f>
        <v>3055.20640075735</v>
      </c>
      <c r="Z90" s="122" t="n">
        <f aca="false">V90*Paths!Z90*Paths!AB90</f>
        <v>102.461190269301</v>
      </c>
      <c r="AA90" s="107" t="n">
        <f aca="false">O90+T90+Y90</f>
        <v>6574.49478643988</v>
      </c>
      <c r="AB90" s="107" t="n">
        <f aca="false">P90+U90+Z90</f>
        <v>220.486105642801</v>
      </c>
      <c r="AC90" s="124" t="n">
        <f aca="false">IF(E90=0,0,IF(ISNUMBER('Sources &amp; uses'!$E$29),MAX(0,E90-'Sources &amp; uses'!$E$29),"n.a."))</f>
        <v>0</v>
      </c>
      <c r="AD90" s="122" t="str">
        <f aca="false">IF(E90=0,"No new subscription",IF(ISNUMBER('Sources &amp; uses'!$E$29),"MODEL capacity tested","Unverified"))</f>
        <v>No new subscription</v>
      </c>
    </row>
    <row r="91" customFormat="false" ht="19.5" hidden="false" customHeight="true" outlineLevel="0" collapsed="false">
      <c r="A91" s="111" t="n">
        <v>1931</v>
      </c>
      <c r="B91" s="107" t="n">
        <f aca="false">IF(AND(A91&gt;=1914,A91&lt;=1918),entente_total*CHOOSE(A91-1913,0.05,0.1333,0.2333,0.3,0.2834),0)</f>
        <v>0</v>
      </c>
      <c r="C91" s="122" t="n">
        <f aca="false">IF(AND(A91&gt;=1914,A91&lt;=1918),Loans!L91,0)</f>
        <v>0</v>
      </c>
      <c r="D91" s="122" t="n">
        <f aca="false">Abroad!D91</f>
        <v>0</v>
      </c>
      <c r="E91" s="107" t="n">
        <f aca="false">B91*(1-entente_public-entente_private)</f>
        <v>0</v>
      </c>
      <c r="F91" s="123" t="n">
        <f aca="false">B91-SUM(C91:E91)</f>
        <v>0</v>
      </c>
      <c r="G91" s="107" t="n">
        <f aca="false">B91*uw_fee</f>
        <v>0</v>
      </c>
      <c r="H91" s="107" t="n">
        <f aca="false">B91-G91</f>
        <v>0</v>
      </c>
      <c r="I91" s="122" t="n">
        <f aca="false">H91*'Sources &amp; uses'!$E$31</f>
        <v>0</v>
      </c>
      <c r="J91" s="107" t="n">
        <f aca="false">H91-I91</f>
        <v>0</v>
      </c>
      <c r="K91" s="123" t="n">
        <f aca="false">B91-G91-I91-J91</f>
        <v>0</v>
      </c>
      <c r="L91" s="107" t="n">
        <f aca="false">O90</f>
        <v>1314.89895728798</v>
      </c>
      <c r="M91" s="122" t="n">
        <f aca="false">L91*Paths!AA91</f>
        <v>0</v>
      </c>
      <c r="N91" s="107" t="n">
        <f aca="false">IF(A91=1918,(L91+C91)*russia_writeoff,0)</f>
        <v>0</v>
      </c>
      <c r="O91" s="107" t="n">
        <f aca="false">L91+C91-M91-N91</f>
        <v>1314.89895728798</v>
      </c>
      <c r="P91" s="122" t="n">
        <f aca="false">L91*Paths!Z91*Paths!AB91</f>
        <v>0</v>
      </c>
      <c r="Q91" s="107" t="n">
        <f aca="false">T90</f>
        <v>2204.38942839455</v>
      </c>
      <c r="R91" s="122" t="n">
        <f aca="false">Q91*Paths!AA91</f>
        <v>0</v>
      </c>
      <c r="S91" s="107" t="n">
        <f aca="false">IF(A91=1918,(Q91+D91)*russia_writeoff,0)</f>
        <v>0</v>
      </c>
      <c r="T91" s="107" t="n">
        <f aca="false">Q91+D91-R91-S91</f>
        <v>2204.38942839455</v>
      </c>
      <c r="U91" s="122" t="n">
        <f aca="false">Q91*Paths!Z91*Paths!AB91</f>
        <v>0</v>
      </c>
      <c r="V91" s="107" t="n">
        <f aca="false">Y90</f>
        <v>3055.20640075735</v>
      </c>
      <c r="W91" s="122" t="n">
        <f aca="false">V91*Paths!AA91</f>
        <v>0</v>
      </c>
      <c r="X91" s="107" t="n">
        <f aca="false">IF(A91=1918,(V91+E91)*russia_writeoff,0)</f>
        <v>0</v>
      </c>
      <c r="Y91" s="107" t="n">
        <f aca="false">V91+E91-W91-X91</f>
        <v>3055.20640075735</v>
      </c>
      <c r="Z91" s="122" t="n">
        <f aca="false">V91*Paths!Z91*Paths!AB91</f>
        <v>0</v>
      </c>
      <c r="AA91" s="107" t="n">
        <f aca="false">O91+T91+Y91</f>
        <v>6574.49478643988</v>
      </c>
      <c r="AB91" s="107" t="n">
        <f aca="false">P91+U91+Z91</f>
        <v>0</v>
      </c>
      <c r="AC91" s="124" t="n">
        <f aca="false">IF(E91=0,0,IF(ISNUMBER('Sources &amp; uses'!$E$29),MAX(0,E91-'Sources &amp; uses'!$E$29),"n.a."))</f>
        <v>0</v>
      </c>
      <c r="AD91" s="122" t="str">
        <f aca="false">IF(E91=0,"No new subscription",IF(ISNUMBER('Sources &amp; uses'!$E$29),"MODEL capacity tested","Unverified"))</f>
        <v>No new subscription</v>
      </c>
    </row>
    <row r="92" customFormat="false" ht="19.5" hidden="false" customHeight="true" outlineLevel="0" collapsed="false">
      <c r="A92" s="111" t="n">
        <v>1932</v>
      </c>
      <c r="B92" s="107" t="n">
        <f aca="false">IF(AND(A92&gt;=1914,A92&lt;=1918),entente_total*CHOOSE(A92-1913,0.05,0.1333,0.2333,0.3,0.2834),0)</f>
        <v>0</v>
      </c>
      <c r="C92" s="122" t="n">
        <f aca="false">IF(AND(A92&gt;=1914,A92&lt;=1918),Loans!L92,0)</f>
        <v>0</v>
      </c>
      <c r="D92" s="122" t="n">
        <f aca="false">Abroad!D92</f>
        <v>0</v>
      </c>
      <c r="E92" s="107" t="n">
        <f aca="false">B92*(1-entente_public-entente_private)</f>
        <v>0</v>
      </c>
      <c r="F92" s="123" t="n">
        <f aca="false">B92-SUM(C92:E92)</f>
        <v>0</v>
      </c>
      <c r="G92" s="107" t="n">
        <f aca="false">B92*uw_fee</f>
        <v>0</v>
      </c>
      <c r="H92" s="107" t="n">
        <f aca="false">B92-G92</f>
        <v>0</v>
      </c>
      <c r="I92" s="122" t="n">
        <f aca="false">H92*'Sources &amp; uses'!$E$31</f>
        <v>0</v>
      </c>
      <c r="J92" s="107" t="n">
        <f aca="false">H92-I92</f>
        <v>0</v>
      </c>
      <c r="K92" s="123" t="n">
        <f aca="false">B92-G92-I92-J92</f>
        <v>0</v>
      </c>
      <c r="L92" s="107" t="n">
        <f aca="false">O91</f>
        <v>1314.89895728798</v>
      </c>
      <c r="M92" s="122" t="n">
        <f aca="false">L92*Paths!AA92</f>
        <v>0</v>
      </c>
      <c r="N92" s="107" t="n">
        <f aca="false">IF(A92=1918,(L92+C92)*russia_writeoff,0)</f>
        <v>0</v>
      </c>
      <c r="O92" s="107" t="n">
        <f aca="false">L92+C92-M92-N92</f>
        <v>1314.89895728798</v>
      </c>
      <c r="P92" s="122" t="n">
        <f aca="false">L92*Paths!Z92*Paths!AB92</f>
        <v>0</v>
      </c>
      <c r="Q92" s="107" t="n">
        <f aca="false">T91</f>
        <v>2204.38942839455</v>
      </c>
      <c r="R92" s="122" t="n">
        <f aca="false">Q92*Paths!AA92</f>
        <v>0</v>
      </c>
      <c r="S92" s="107" t="n">
        <f aca="false">IF(A92=1918,(Q92+D92)*russia_writeoff,0)</f>
        <v>0</v>
      </c>
      <c r="T92" s="107" t="n">
        <f aca="false">Q92+D92-R92-S92</f>
        <v>2204.38942839455</v>
      </c>
      <c r="U92" s="122" t="n">
        <f aca="false">Q92*Paths!Z92*Paths!AB92</f>
        <v>0</v>
      </c>
      <c r="V92" s="107" t="n">
        <f aca="false">Y91</f>
        <v>3055.20640075735</v>
      </c>
      <c r="W92" s="122" t="n">
        <f aca="false">V92*Paths!AA92</f>
        <v>0</v>
      </c>
      <c r="X92" s="107" t="n">
        <f aca="false">IF(A92=1918,(V92+E92)*russia_writeoff,0)</f>
        <v>0</v>
      </c>
      <c r="Y92" s="107" t="n">
        <f aca="false">V92+E92-W92-X92</f>
        <v>3055.20640075735</v>
      </c>
      <c r="Z92" s="122" t="n">
        <f aca="false">V92*Paths!Z92*Paths!AB92</f>
        <v>0</v>
      </c>
      <c r="AA92" s="107" t="n">
        <f aca="false">O92+T92+Y92</f>
        <v>6574.49478643988</v>
      </c>
      <c r="AB92" s="107" t="n">
        <f aca="false">P92+U92+Z92</f>
        <v>0</v>
      </c>
      <c r="AC92" s="124" t="n">
        <f aca="false">IF(E92=0,0,IF(ISNUMBER('Sources &amp; uses'!$E$29),MAX(0,E92-'Sources &amp; uses'!$E$29),"n.a."))</f>
        <v>0</v>
      </c>
      <c r="AD92" s="122"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99" t="s">
        <v>2309</v>
      </c>
      <c r="B1" s="100"/>
      <c r="C1" s="100"/>
      <c r="D1" s="100"/>
      <c r="E1" s="100"/>
      <c r="F1" s="100"/>
      <c r="G1" s="100"/>
      <c r="H1" s="100"/>
      <c r="I1" s="100"/>
      <c r="J1" s="100"/>
      <c r="K1" s="100"/>
      <c r="L1" s="100"/>
      <c r="M1" s="100"/>
      <c r="N1" s="100"/>
      <c r="O1" s="100"/>
      <c r="P1" s="100"/>
      <c r="Q1" s="100"/>
      <c r="R1" s="100"/>
      <c r="S1" s="100"/>
      <c r="T1" s="100"/>
      <c r="U1" s="100"/>
      <c r="V1" s="100"/>
    </row>
    <row r="2" customFormat="false" ht="19.5" hidden="false" customHeight="true" outlineLevel="0" collapsed="false">
      <c r="A2" s="101" t="s">
        <v>2310</v>
      </c>
      <c r="B2" s="100"/>
      <c r="C2" s="100"/>
      <c r="D2" s="100"/>
      <c r="E2" s="100"/>
      <c r="F2" s="100"/>
      <c r="G2" s="100"/>
      <c r="H2" s="100"/>
      <c r="I2" s="100"/>
      <c r="J2" s="100"/>
      <c r="K2" s="100"/>
      <c r="L2" s="100"/>
      <c r="M2" s="100"/>
      <c r="N2" s="100"/>
      <c r="O2" s="100"/>
      <c r="P2" s="100"/>
      <c r="Q2" s="100"/>
      <c r="R2" s="100"/>
      <c r="S2" s="100"/>
      <c r="T2" s="100"/>
      <c r="U2" s="100"/>
      <c r="V2" s="100"/>
    </row>
    <row r="3" customFormat="false" ht="19.5" hidden="false" customHeight="true" outlineLevel="0" collapsed="false">
      <c r="A3" s="100" t="s">
        <v>2039</v>
      </c>
      <c r="B3" s="100"/>
      <c r="C3" s="100"/>
      <c r="D3" s="100"/>
      <c r="E3" s="119" t="str">
        <f aca="false">Levers!F4</f>
        <v>Story case</v>
      </c>
      <c r="F3" s="100"/>
      <c r="G3" s="100"/>
      <c r="H3" s="100"/>
      <c r="I3" s="100"/>
      <c r="J3" s="100"/>
      <c r="K3" s="100"/>
      <c r="L3" s="100"/>
      <c r="M3" s="100"/>
      <c r="N3" s="100"/>
      <c r="O3" s="100"/>
      <c r="P3" s="100"/>
      <c r="Q3" s="100"/>
      <c r="R3" s="100"/>
      <c r="S3" s="100"/>
      <c r="T3" s="100"/>
      <c r="U3" s="100"/>
      <c r="V3" s="100"/>
    </row>
    <row r="4" customFormat="false" ht="19.5" hidden="false" customHeight="true" outlineLevel="0" collapsed="false">
      <c r="A4" s="100"/>
      <c r="B4" s="100"/>
      <c r="C4" s="100"/>
      <c r="D4" s="100"/>
      <c r="E4" s="100"/>
      <c r="F4" s="100"/>
      <c r="G4" s="100"/>
      <c r="H4" s="100"/>
      <c r="I4" s="100"/>
      <c r="J4" s="100"/>
      <c r="K4" s="100"/>
      <c r="L4" s="100"/>
      <c r="M4" s="100"/>
      <c r="N4" s="100"/>
      <c r="O4" s="100"/>
      <c r="P4" s="100"/>
      <c r="Q4" s="100"/>
      <c r="R4" s="100"/>
      <c r="S4" s="100"/>
      <c r="T4" s="100"/>
      <c r="U4" s="100"/>
      <c r="V4" s="100"/>
    </row>
    <row r="5" customFormat="false" ht="57.75" hidden="false" customHeight="true" outlineLevel="0" collapsed="false">
      <c r="A5" s="76" t="s">
        <v>2311</v>
      </c>
      <c r="B5" s="113"/>
      <c r="C5" s="113" t="s">
        <v>2058</v>
      </c>
      <c r="D5" s="113" t="s">
        <v>2059</v>
      </c>
      <c r="E5" s="113" t="s">
        <v>194</v>
      </c>
      <c r="F5" s="113" t="s">
        <v>1943</v>
      </c>
      <c r="G5" s="103"/>
      <c r="H5" s="103"/>
      <c r="I5" s="103"/>
      <c r="J5" s="103"/>
      <c r="K5" s="103"/>
      <c r="L5" s="103"/>
      <c r="M5" s="103"/>
      <c r="N5" s="103"/>
      <c r="O5" s="103"/>
      <c r="P5" s="103"/>
      <c r="Q5" s="103"/>
      <c r="R5" s="103"/>
      <c r="S5" s="103"/>
      <c r="T5" s="103"/>
      <c r="U5" s="103"/>
      <c r="V5" s="103"/>
    </row>
    <row r="6" customFormat="false" ht="27" hidden="false" customHeight="true" outlineLevel="0" collapsed="false">
      <c r="A6" s="100" t="s">
        <v>2312</v>
      </c>
      <c r="B6" s="103"/>
      <c r="C6" s="106" t="n">
        <v>1500</v>
      </c>
      <c r="D6" s="106" t="n">
        <v>1500</v>
      </c>
      <c r="E6" s="122" t="n">
        <f aca="false">IF(Levers!$E$4=1,C6,D6)</f>
        <v>1500</v>
      </c>
      <c r="F6" s="121" t="s">
        <v>2313</v>
      </c>
      <c r="G6" s="103"/>
      <c r="H6" s="103"/>
      <c r="I6" s="103"/>
      <c r="J6" s="103"/>
      <c r="K6" s="103"/>
      <c r="L6" s="103"/>
      <c r="M6" s="103"/>
      <c r="N6" s="103"/>
      <c r="O6" s="103"/>
      <c r="P6" s="103"/>
      <c r="Q6" s="103"/>
      <c r="R6" s="103"/>
      <c r="S6" s="103"/>
      <c r="T6" s="103"/>
      <c r="U6" s="103"/>
      <c r="V6" s="103"/>
    </row>
    <row r="7" customFormat="false" ht="27" hidden="false" customHeight="true" outlineLevel="0" collapsed="false">
      <c r="A7" s="100" t="s">
        <v>2314</v>
      </c>
      <c r="B7" s="103"/>
      <c r="C7" s="106" t="n">
        <v>1200</v>
      </c>
      <c r="D7" s="106" t="n">
        <v>1200</v>
      </c>
      <c r="E7" s="122" t="n">
        <f aca="false">IF(Levers!$E$4=1,C7,D7)</f>
        <v>1200</v>
      </c>
      <c r="F7" s="121"/>
      <c r="G7" s="103"/>
      <c r="H7" s="103"/>
      <c r="I7" s="103"/>
      <c r="J7" s="103"/>
      <c r="K7" s="103"/>
      <c r="L7" s="103"/>
      <c r="M7" s="103"/>
      <c r="N7" s="103"/>
      <c r="O7" s="103"/>
      <c r="P7" s="103"/>
      <c r="Q7" s="103"/>
      <c r="R7" s="103"/>
      <c r="S7" s="103"/>
      <c r="T7" s="103"/>
      <c r="U7" s="103"/>
      <c r="V7" s="103"/>
    </row>
    <row r="8" customFormat="false" ht="27" hidden="false" customHeight="true" outlineLevel="0" collapsed="false">
      <c r="A8" s="100" t="s">
        <v>2315</v>
      </c>
      <c r="B8" s="103"/>
      <c r="C8" s="106" t="n">
        <v>400</v>
      </c>
      <c r="D8" s="106" t="n">
        <v>400</v>
      </c>
      <c r="E8" s="122" t="n">
        <f aca="false">IF(Levers!$E$4=1,C8,D8)</f>
        <v>400</v>
      </c>
      <c r="F8" s="121"/>
      <c r="G8" s="103"/>
      <c r="H8" s="103"/>
      <c r="I8" s="103"/>
      <c r="J8" s="103"/>
      <c r="K8" s="103"/>
      <c r="L8" s="103"/>
      <c r="M8" s="103"/>
      <c r="N8" s="103"/>
      <c r="O8" s="103"/>
      <c r="P8" s="103"/>
      <c r="Q8" s="103"/>
      <c r="R8" s="103"/>
      <c r="S8" s="103"/>
      <c r="T8" s="103"/>
      <c r="U8" s="103"/>
      <c r="V8" s="103"/>
    </row>
    <row r="9" customFormat="false" ht="27" hidden="false" customHeight="true" outlineLevel="0" collapsed="false">
      <c r="A9" s="100" t="s">
        <v>2316</v>
      </c>
      <c r="B9" s="103"/>
      <c r="C9" s="106" t="n">
        <v>200</v>
      </c>
      <c r="D9" s="106" t="n">
        <v>200</v>
      </c>
      <c r="E9" s="122" t="n">
        <f aca="false">IF(Levers!$E$4=1,C9,D9)</f>
        <v>200</v>
      </c>
      <c r="F9" s="121"/>
      <c r="G9" s="103"/>
      <c r="H9" s="103"/>
      <c r="I9" s="103"/>
      <c r="J9" s="103"/>
      <c r="K9" s="103"/>
      <c r="L9" s="103"/>
      <c r="M9" s="103"/>
      <c r="N9" s="103"/>
      <c r="O9" s="103"/>
      <c r="P9" s="103"/>
      <c r="Q9" s="103"/>
      <c r="R9" s="103"/>
      <c r="S9" s="103"/>
      <c r="T9" s="103"/>
      <c r="U9" s="103"/>
      <c r="V9" s="103"/>
    </row>
    <row r="10" customFormat="false" ht="27" hidden="false" customHeight="true" outlineLevel="0" collapsed="false">
      <c r="A10" s="100" t="s">
        <v>2317</v>
      </c>
      <c r="B10" s="103"/>
      <c r="C10" s="106" t="n">
        <v>200</v>
      </c>
      <c r="D10" s="106" t="n">
        <v>200</v>
      </c>
      <c r="E10" s="122" t="n">
        <f aca="false">IF(Levers!$E$4=1,C10,D10)</f>
        <v>200</v>
      </c>
      <c r="F10" s="121"/>
      <c r="G10" s="103"/>
      <c r="H10" s="103"/>
      <c r="I10" s="103"/>
      <c r="J10" s="103"/>
      <c r="K10" s="103"/>
      <c r="L10" s="103"/>
      <c r="M10" s="103"/>
      <c r="N10" s="103"/>
      <c r="O10" s="103"/>
      <c r="P10" s="103"/>
      <c r="Q10" s="103"/>
      <c r="R10" s="103"/>
      <c r="S10" s="103"/>
      <c r="T10" s="103"/>
      <c r="U10" s="103"/>
      <c r="V10" s="103"/>
    </row>
    <row r="11" customFormat="false" ht="27" hidden="false" customHeight="true" outlineLevel="0" collapsed="false">
      <c r="A11" s="100" t="s">
        <v>2318</v>
      </c>
      <c r="B11" s="103"/>
      <c r="C11" s="106" t="n">
        <v>200</v>
      </c>
      <c r="D11" s="106" t="n">
        <v>200</v>
      </c>
      <c r="E11" s="122" t="n">
        <f aca="false">IF(Levers!$E$4=1,C11,D11)</f>
        <v>200</v>
      </c>
      <c r="F11" s="121"/>
      <c r="G11" s="103"/>
      <c r="H11" s="103"/>
      <c r="I11" s="103"/>
      <c r="J11" s="103"/>
      <c r="K11" s="103"/>
      <c r="L11" s="103"/>
      <c r="M11" s="103"/>
      <c r="N11" s="103"/>
      <c r="O11" s="103"/>
      <c r="P11" s="103"/>
      <c r="Q11" s="103"/>
      <c r="R11" s="103"/>
      <c r="S11" s="103"/>
      <c r="T11" s="103"/>
      <c r="U11" s="103"/>
      <c r="V11" s="103"/>
    </row>
    <row r="12" customFormat="false" ht="27" hidden="false" customHeight="true" outlineLevel="0" collapsed="false">
      <c r="A12" s="100" t="s">
        <v>2319</v>
      </c>
      <c r="B12" s="103"/>
      <c r="C12" s="106" t="n">
        <v>1898.3125</v>
      </c>
      <c r="D12" s="106" t="n">
        <v>2194.1125</v>
      </c>
      <c r="E12" s="122" t="n">
        <f aca="false">IF(Levers!$E$4=1,C12,D12)</f>
        <v>1898.3125</v>
      </c>
      <c r="F12" s="121"/>
      <c r="G12" s="103"/>
      <c r="H12" s="103"/>
      <c r="I12" s="103"/>
      <c r="J12" s="103"/>
      <c r="K12" s="103"/>
      <c r="L12" s="103"/>
      <c r="M12" s="103"/>
      <c r="N12" s="103"/>
      <c r="O12" s="103"/>
      <c r="P12" s="103"/>
      <c r="Q12" s="103"/>
      <c r="R12" s="103"/>
      <c r="S12" s="103"/>
      <c r="T12" s="103"/>
      <c r="U12" s="103"/>
      <c r="V12" s="103"/>
    </row>
    <row r="13" customFormat="false" ht="27" hidden="false" customHeight="true" outlineLevel="0" collapsed="false">
      <c r="A13" s="100" t="s">
        <v>2320</v>
      </c>
      <c r="B13" s="103"/>
      <c r="C13" s="106" t="n">
        <v>900</v>
      </c>
      <c r="D13" s="106" t="n">
        <v>900</v>
      </c>
      <c r="E13" s="122" t="n">
        <f aca="false">IF(Levers!$E$4=1,C13,D13)</f>
        <v>900</v>
      </c>
      <c r="F13" s="121"/>
      <c r="G13" s="103"/>
      <c r="H13" s="103"/>
      <c r="I13" s="103"/>
      <c r="J13" s="103"/>
      <c r="K13" s="103"/>
      <c r="L13" s="103"/>
      <c r="M13" s="103"/>
      <c r="N13" s="103"/>
      <c r="O13" s="103"/>
      <c r="P13" s="103"/>
      <c r="Q13" s="103"/>
      <c r="R13" s="103"/>
      <c r="S13" s="103"/>
      <c r="T13" s="103"/>
      <c r="U13" s="103"/>
      <c r="V13" s="103"/>
    </row>
    <row r="14" customFormat="false" ht="27" hidden="false" customHeight="true" outlineLevel="0" collapsed="false">
      <c r="A14" s="100" t="s">
        <v>2321</v>
      </c>
      <c r="B14" s="103"/>
      <c r="C14" s="106" t="n">
        <v>1600</v>
      </c>
      <c r="D14" s="106" t="n">
        <v>1600</v>
      </c>
      <c r="E14" s="122" t="n">
        <f aca="false">IF(Levers!$E$4=1,C14,D14)</f>
        <v>1600</v>
      </c>
      <c r="F14" s="121"/>
      <c r="G14" s="103"/>
      <c r="H14" s="103"/>
      <c r="I14" s="103"/>
      <c r="J14" s="103"/>
      <c r="K14" s="103"/>
      <c r="L14" s="103"/>
      <c r="M14" s="103"/>
      <c r="N14" s="103"/>
      <c r="O14" s="103"/>
      <c r="P14" s="103"/>
      <c r="Q14" s="103"/>
      <c r="R14" s="103"/>
      <c r="S14" s="103"/>
      <c r="T14" s="103"/>
      <c r="U14" s="103"/>
      <c r="V14" s="103"/>
    </row>
    <row r="15" customFormat="false" ht="27" hidden="false" customHeight="true" outlineLevel="0" collapsed="false">
      <c r="A15" s="100" t="s">
        <v>2322</v>
      </c>
      <c r="B15" s="103"/>
      <c r="C15" s="106" t="n">
        <v>600</v>
      </c>
      <c r="D15" s="106" t="n">
        <v>600</v>
      </c>
      <c r="E15" s="122" t="n">
        <f aca="false">IF(Levers!$E$4=1,C15,D15)</f>
        <v>600</v>
      </c>
      <c r="F15" s="121"/>
      <c r="G15" s="103"/>
      <c r="H15" s="103"/>
      <c r="I15" s="103"/>
      <c r="J15" s="103"/>
      <c r="K15" s="103"/>
      <c r="L15" s="103"/>
      <c r="M15" s="103"/>
      <c r="N15" s="103"/>
      <c r="O15" s="103"/>
      <c r="P15" s="103"/>
      <c r="Q15" s="103"/>
      <c r="R15" s="103"/>
      <c r="S15" s="103"/>
      <c r="T15" s="103"/>
      <c r="U15" s="103"/>
      <c r="V15" s="103"/>
    </row>
    <row r="16" customFormat="false" ht="27" hidden="false" customHeight="true" outlineLevel="0" collapsed="false">
      <c r="A16" s="100" t="s">
        <v>2323</v>
      </c>
      <c r="B16" s="103"/>
      <c r="C16" s="106" t="n">
        <v>50</v>
      </c>
      <c r="D16" s="106" t="n">
        <v>50</v>
      </c>
      <c r="E16" s="122" t="n">
        <f aca="false">IF(Levers!$E$4=1,C16,D16)</f>
        <v>50</v>
      </c>
      <c r="F16" s="121"/>
      <c r="G16" s="103"/>
      <c r="H16" s="103"/>
      <c r="I16" s="103"/>
      <c r="J16" s="103"/>
      <c r="K16" s="103"/>
      <c r="L16" s="103"/>
      <c r="M16" s="103"/>
      <c r="N16" s="103"/>
      <c r="O16" s="103"/>
      <c r="P16" s="103"/>
      <c r="Q16" s="103"/>
      <c r="R16" s="103"/>
      <c r="S16" s="103"/>
      <c r="T16" s="103"/>
      <c r="U16" s="103"/>
      <c r="V16" s="103"/>
    </row>
    <row r="17" customFormat="false" ht="27" hidden="false" customHeight="true" outlineLevel="0" collapsed="false">
      <c r="A17" s="100" t="s">
        <v>2324</v>
      </c>
      <c r="B17" s="103"/>
      <c r="C17" s="106" t="n">
        <v>100</v>
      </c>
      <c r="D17" s="106" t="n">
        <v>100</v>
      </c>
      <c r="E17" s="122" t="n">
        <f aca="false">IF(Levers!$E$4=1,C17,D17)</f>
        <v>100</v>
      </c>
      <c r="F17" s="121"/>
      <c r="G17" s="103"/>
      <c r="H17" s="103"/>
      <c r="I17" s="103"/>
      <c r="J17" s="103"/>
      <c r="K17" s="103"/>
      <c r="L17" s="103"/>
      <c r="M17" s="103"/>
      <c r="N17" s="103"/>
      <c r="O17" s="103"/>
      <c r="P17" s="103"/>
      <c r="Q17" s="103"/>
      <c r="R17" s="103"/>
      <c r="S17" s="103"/>
      <c r="T17" s="103"/>
      <c r="U17" s="103"/>
      <c r="V17" s="103"/>
    </row>
    <row r="18" customFormat="false" ht="27" hidden="false" customHeight="true" outlineLevel="0" collapsed="false">
      <c r="A18" s="100" t="s">
        <v>2325</v>
      </c>
      <c r="B18" s="103"/>
      <c r="C18" s="106" t="n">
        <v>1600</v>
      </c>
      <c r="D18" s="106" t="n">
        <v>1700</v>
      </c>
      <c r="E18" s="122" t="n">
        <f aca="false">IF(Levers!$E$4=1,C18,D18)</f>
        <v>1600</v>
      </c>
      <c r="F18" s="121" t="s">
        <v>2326</v>
      </c>
      <c r="G18" s="103"/>
      <c r="H18" s="103"/>
      <c r="I18" s="103"/>
      <c r="J18" s="103"/>
      <c r="K18" s="103"/>
      <c r="L18" s="103"/>
      <c r="M18" s="103"/>
      <c r="N18" s="103"/>
      <c r="O18" s="103"/>
      <c r="P18" s="103"/>
      <c r="Q18" s="103"/>
      <c r="R18" s="103"/>
      <c r="S18" s="103"/>
      <c r="T18" s="103"/>
      <c r="U18" s="103"/>
      <c r="V18" s="103"/>
    </row>
    <row r="19" customFormat="false" ht="27" hidden="false" customHeight="true" outlineLevel="0" collapsed="false">
      <c r="A19" s="100" t="s">
        <v>2327</v>
      </c>
      <c r="B19" s="103"/>
      <c r="C19" s="106" t="n">
        <v>800</v>
      </c>
      <c r="D19" s="106" t="n">
        <v>1000</v>
      </c>
      <c r="E19" s="122" t="n">
        <f aca="false">IF(Levers!$E$4=1,C19,D19)</f>
        <v>800</v>
      </c>
      <c r="F19" s="121"/>
      <c r="G19" s="103"/>
      <c r="H19" s="103"/>
      <c r="I19" s="103"/>
      <c r="J19" s="103"/>
      <c r="K19" s="103"/>
      <c r="L19" s="103"/>
      <c r="M19" s="103"/>
      <c r="N19" s="103"/>
      <c r="O19" s="103"/>
      <c r="P19" s="103"/>
      <c r="Q19" s="103"/>
      <c r="R19" s="103"/>
      <c r="S19" s="103"/>
      <c r="T19" s="103"/>
      <c r="U19" s="103"/>
      <c r="V19" s="103"/>
    </row>
    <row r="20" customFormat="false" ht="27" hidden="false" customHeight="true" outlineLevel="0" collapsed="false">
      <c r="A20" s="100" t="s">
        <v>2328</v>
      </c>
      <c r="B20" s="103"/>
      <c r="C20" s="109" t="n">
        <v>0.15</v>
      </c>
      <c r="D20" s="109" t="n">
        <v>0.2</v>
      </c>
      <c r="E20" s="120" t="n">
        <f aca="false">IF(Levers!$E$4=1,C20,D20)</f>
        <v>0.15</v>
      </c>
      <c r="F20" s="121"/>
      <c r="G20" s="103"/>
      <c r="H20" s="103"/>
      <c r="I20" s="103"/>
      <c r="J20" s="103"/>
      <c r="K20" s="103"/>
      <c r="L20" s="103"/>
      <c r="M20" s="103"/>
      <c r="N20" s="103"/>
      <c r="O20" s="103"/>
      <c r="P20" s="103"/>
      <c r="Q20" s="103"/>
      <c r="R20" s="103"/>
      <c r="S20" s="103"/>
      <c r="T20" s="103"/>
      <c r="U20" s="103"/>
      <c r="V20" s="103"/>
    </row>
    <row r="21" customFormat="false" ht="27" hidden="false" customHeight="true" outlineLevel="0" collapsed="false">
      <c r="A21" s="100" t="s">
        <v>2329</v>
      </c>
      <c r="B21" s="103"/>
      <c r="C21" s="109" t="n">
        <v>0.2</v>
      </c>
      <c r="D21" s="109" t="n">
        <v>0.26</v>
      </c>
      <c r="E21" s="120" t="n">
        <f aca="false">IF(Levers!$E$4=1,C21,D21)</f>
        <v>0.2</v>
      </c>
      <c r="F21" s="121"/>
      <c r="G21" s="103"/>
      <c r="H21" s="103"/>
      <c r="I21" s="103"/>
      <c r="J21" s="103"/>
      <c r="K21" s="103"/>
      <c r="L21" s="103"/>
      <c r="M21" s="103"/>
      <c r="N21" s="103"/>
      <c r="O21" s="103"/>
      <c r="P21" s="103"/>
      <c r="Q21" s="103"/>
      <c r="R21" s="103"/>
      <c r="S21" s="103"/>
      <c r="T21" s="103"/>
      <c r="U21" s="103"/>
      <c r="V21" s="103"/>
    </row>
    <row r="22" customFormat="false" ht="27" hidden="false" customHeight="true" outlineLevel="0" collapsed="false">
      <c r="A22" s="100" t="s">
        <v>2330</v>
      </c>
      <c r="B22" s="103"/>
      <c r="C22" s="106" t="n">
        <v>1657.5</v>
      </c>
      <c r="D22" s="106" t="n">
        <v>1249.5</v>
      </c>
      <c r="E22" s="122" t="n">
        <f aca="false">IF(Levers!$E$4=1,C22,D22)</f>
        <v>1657.5</v>
      </c>
      <c r="F22" s="121"/>
      <c r="G22" s="103"/>
      <c r="H22" s="103"/>
      <c r="I22" s="103"/>
      <c r="J22" s="103"/>
      <c r="K22" s="103"/>
      <c r="L22" s="103"/>
      <c r="M22" s="103"/>
      <c r="N22" s="103"/>
      <c r="O22" s="103"/>
      <c r="P22" s="103"/>
      <c r="Q22" s="103"/>
      <c r="R22" s="103"/>
      <c r="S22" s="103"/>
      <c r="T22" s="103"/>
      <c r="U22" s="103"/>
      <c r="V22" s="103"/>
    </row>
    <row r="23" customFormat="false" ht="27" hidden="false" customHeight="true" outlineLevel="0" collapsed="false">
      <c r="A23" s="100" t="s">
        <v>2331</v>
      </c>
      <c r="B23" s="103"/>
      <c r="C23" s="109" t="n">
        <v>0.6</v>
      </c>
      <c r="D23" s="109" t="n">
        <v>0.6</v>
      </c>
      <c r="E23" s="120" t="n">
        <f aca="false">IF(Levers!$E$4=1,C23,D23)</f>
        <v>0.6</v>
      </c>
      <c r="F23" s="121"/>
      <c r="G23" s="103"/>
      <c r="H23" s="103"/>
      <c r="I23" s="103"/>
      <c r="J23" s="103"/>
      <c r="K23" s="103"/>
      <c r="L23" s="103"/>
      <c r="M23" s="103"/>
      <c r="N23" s="103"/>
      <c r="O23" s="103"/>
      <c r="P23" s="103"/>
      <c r="Q23" s="103"/>
      <c r="R23" s="103"/>
      <c r="S23" s="103"/>
      <c r="T23" s="103"/>
      <c r="U23" s="103"/>
      <c r="V23" s="103"/>
    </row>
    <row r="24" customFormat="false" ht="19.5" hidden="false" customHeight="true" outlineLevel="0" collapsed="false">
      <c r="A24" s="100" t="s">
        <v>2332</v>
      </c>
      <c r="B24" s="103"/>
      <c r="C24" s="106" t="n">
        <v>1000</v>
      </c>
      <c r="D24" s="106" t="n">
        <v>1000</v>
      </c>
      <c r="E24" s="122" t="n">
        <f aca="false">IF(Levers!$E$4=1,C24,D24)</f>
        <v>1000</v>
      </c>
      <c r="F24" s="103"/>
      <c r="G24" s="103"/>
      <c r="H24" s="103"/>
      <c r="I24" s="103"/>
      <c r="J24" s="103"/>
      <c r="K24" s="103"/>
      <c r="L24" s="103"/>
      <c r="M24" s="103"/>
      <c r="N24" s="103"/>
      <c r="O24" s="103"/>
      <c r="P24" s="103"/>
      <c r="Q24" s="103"/>
      <c r="R24" s="103"/>
      <c r="S24" s="103"/>
      <c r="T24" s="103"/>
      <c r="U24" s="103"/>
      <c r="V24" s="103"/>
    </row>
    <row r="25" customFormat="false" ht="19.5" hidden="false" customHeight="true" outlineLevel="0" collapsed="false">
      <c r="A25" s="100" t="s">
        <v>2333</v>
      </c>
      <c r="B25" s="103"/>
      <c r="C25" s="103"/>
      <c r="D25" s="103" t="n">
        <f aca="false">SUM('War credit'!I74:I78)</f>
        <v>1657.5</v>
      </c>
      <c r="E25" s="103"/>
      <c r="F25" s="103"/>
      <c r="G25" s="103"/>
      <c r="H25" s="103"/>
      <c r="I25" s="103"/>
      <c r="J25" s="103"/>
      <c r="K25" s="103"/>
      <c r="L25" s="103"/>
      <c r="M25" s="103"/>
      <c r="N25" s="103"/>
      <c r="O25" s="103"/>
      <c r="P25" s="103"/>
      <c r="Q25" s="103"/>
      <c r="R25" s="103"/>
      <c r="S25" s="103"/>
      <c r="T25" s="103"/>
      <c r="U25" s="103"/>
      <c r="V25" s="103"/>
    </row>
    <row r="26" customFormat="false" ht="19.5" hidden="false" customHeight="true" outlineLevel="0" collapsed="false">
      <c r="A26" s="100" t="s">
        <v>2334</v>
      </c>
      <c r="B26" s="103"/>
      <c r="C26" s="103"/>
      <c r="D26" s="103" t="n">
        <f aca="false">D25*'Sources &amp; uses'!E32</f>
        <v>580.125</v>
      </c>
      <c r="E26" s="103"/>
      <c r="F26" s="103"/>
      <c r="G26" s="103"/>
      <c r="H26" s="103"/>
      <c r="I26" s="103"/>
      <c r="J26" s="103"/>
      <c r="K26" s="103"/>
      <c r="L26" s="103"/>
      <c r="M26" s="103"/>
      <c r="N26" s="103"/>
      <c r="O26" s="103"/>
      <c r="P26" s="103"/>
      <c r="Q26" s="103"/>
      <c r="R26" s="103"/>
      <c r="S26" s="103"/>
      <c r="T26" s="103"/>
      <c r="U26" s="103"/>
      <c r="V26" s="103"/>
    </row>
    <row r="27" customFormat="false" ht="19.5" hidden="false" customHeight="true" outlineLevel="0" collapsed="false">
      <c r="A27" s="100" t="s">
        <v>2335</v>
      </c>
      <c r="B27" s="103"/>
      <c r="C27" s="103"/>
      <c r="D27" s="103" t="n">
        <f aca="false">D25*'Sources &amp; uses'!E33</f>
        <v>828.75</v>
      </c>
      <c r="E27" s="103"/>
      <c r="F27" s="103"/>
      <c r="G27" s="103"/>
      <c r="H27" s="103"/>
      <c r="I27" s="103"/>
      <c r="J27" s="103"/>
      <c r="K27" s="103"/>
      <c r="L27" s="103"/>
      <c r="M27" s="103"/>
      <c r="N27" s="103"/>
      <c r="O27" s="103"/>
      <c r="P27" s="103"/>
      <c r="Q27" s="103"/>
      <c r="R27" s="103"/>
      <c r="S27" s="103"/>
      <c r="T27" s="103"/>
      <c r="U27" s="103"/>
      <c r="V27" s="103"/>
    </row>
    <row r="28" customFormat="false" ht="19.5" hidden="false" customHeight="true" outlineLevel="0" collapsed="false">
      <c r="A28" s="100" t="s">
        <v>2336</v>
      </c>
      <c r="B28" s="103"/>
      <c r="C28" s="103"/>
      <c r="D28" s="103" t="n">
        <f aca="false">D25-D26-D27</f>
        <v>248.625</v>
      </c>
      <c r="E28" s="103"/>
      <c r="F28" s="103"/>
      <c r="G28" s="103"/>
      <c r="H28" s="103"/>
      <c r="I28" s="103"/>
      <c r="J28" s="103"/>
      <c r="K28" s="103"/>
      <c r="L28" s="103"/>
      <c r="M28" s="103"/>
      <c r="N28" s="103"/>
      <c r="O28" s="103"/>
      <c r="P28" s="103"/>
      <c r="Q28" s="103"/>
      <c r="R28" s="103"/>
      <c r="S28" s="103"/>
      <c r="T28" s="103"/>
      <c r="U28" s="103"/>
      <c r="V28" s="103"/>
    </row>
    <row r="29" customFormat="false" ht="19.5" hidden="false" customHeight="true" outlineLevel="0" collapsed="false">
      <c r="A29" s="100" t="s">
        <v>2337</v>
      </c>
      <c r="B29" s="103"/>
      <c r="C29" s="103"/>
      <c r="D29" s="103" t="n">
        <f aca="false">D28*'Sources &amp; uses'!E34</f>
        <v>124.3125</v>
      </c>
      <c r="E29" s="103"/>
      <c r="F29" s="103"/>
      <c r="G29" s="103"/>
      <c r="H29" s="103"/>
      <c r="I29" s="103"/>
      <c r="J29" s="103"/>
      <c r="K29" s="103"/>
      <c r="L29" s="103"/>
      <c r="M29" s="103"/>
      <c r="N29" s="103"/>
      <c r="O29" s="103"/>
      <c r="P29" s="103"/>
      <c r="Q29" s="103"/>
      <c r="R29" s="103"/>
      <c r="S29" s="103"/>
      <c r="T29" s="103"/>
      <c r="U29" s="103"/>
      <c r="V29" s="103"/>
    </row>
    <row r="30" customFormat="false" ht="19.5" hidden="false" customHeight="true" outlineLevel="0" collapsed="false">
      <c r="A30" s="100" t="s">
        <v>2338</v>
      </c>
      <c r="B30" s="103"/>
      <c r="C30" s="103"/>
      <c r="D30" s="103" t="n">
        <f aca="false">D25*'Sources &amp; uses'!E35</f>
        <v>1326</v>
      </c>
      <c r="E30" s="103"/>
      <c r="F30" s="103"/>
      <c r="G30" s="103"/>
      <c r="H30" s="103"/>
      <c r="I30" s="103"/>
      <c r="J30" s="103"/>
      <c r="K30" s="103"/>
      <c r="L30" s="103"/>
      <c r="M30" s="103"/>
      <c r="N30" s="103"/>
      <c r="O30" s="103"/>
      <c r="P30" s="103"/>
      <c r="Q30" s="103"/>
      <c r="R30" s="103"/>
      <c r="S30" s="103"/>
      <c r="T30" s="103"/>
      <c r="U30" s="103"/>
      <c r="V30" s="103"/>
    </row>
    <row r="31" customFormat="false" ht="19.5" hidden="false" customHeight="true" outlineLevel="0" collapsed="false">
      <c r="A31" s="100" t="s">
        <v>2339</v>
      </c>
      <c r="B31" s="103"/>
      <c r="C31" s="103"/>
      <c r="D31" s="103" t="n">
        <f aca="false">MAX(0,D30-D29)</f>
        <v>1201.6875</v>
      </c>
      <c r="E31" s="103"/>
      <c r="F31" s="103"/>
      <c r="G31" s="103"/>
      <c r="H31" s="103"/>
      <c r="I31" s="103"/>
      <c r="J31" s="103"/>
      <c r="K31" s="103"/>
      <c r="L31" s="103"/>
      <c r="M31" s="103"/>
      <c r="N31" s="103"/>
      <c r="O31" s="103"/>
      <c r="P31" s="103"/>
      <c r="Q31" s="103"/>
      <c r="R31" s="103"/>
      <c r="S31" s="103"/>
      <c r="T31" s="103"/>
      <c r="U31" s="103"/>
      <c r="V31" s="103"/>
    </row>
    <row r="32" customFormat="false" ht="19.5" hidden="false" customHeight="true" outlineLevel="0" collapsed="false">
      <c r="A32" s="100" t="s">
        <v>2340</v>
      </c>
      <c r="B32" s="103"/>
      <c r="C32" s="103"/>
      <c r="D32" s="103" t="n">
        <f aca="false">E12</f>
        <v>1898.3125</v>
      </c>
      <c r="E32" s="103"/>
      <c r="F32" s="103"/>
      <c r="G32" s="103"/>
      <c r="H32" s="103"/>
      <c r="I32" s="103"/>
      <c r="J32" s="103"/>
      <c r="K32" s="103"/>
      <c r="L32" s="103"/>
      <c r="M32" s="103"/>
      <c r="N32" s="103"/>
      <c r="O32" s="103"/>
      <c r="P32" s="103"/>
      <c r="Q32" s="103"/>
      <c r="R32" s="103"/>
      <c r="S32" s="103"/>
      <c r="T32" s="103"/>
      <c r="U32" s="103"/>
      <c r="V32" s="103"/>
    </row>
    <row r="33" customFormat="false" ht="19.5" hidden="false" customHeight="true" outlineLevel="0" collapsed="false">
      <c r="A33" s="100" t="s">
        <v>2341</v>
      </c>
      <c r="B33" s="103"/>
      <c r="C33" s="103"/>
      <c r="D33" s="103" t="n">
        <f aca="false">F65</f>
        <v>5400</v>
      </c>
      <c r="E33" s="103"/>
      <c r="F33" s="103"/>
      <c r="G33" s="103"/>
      <c r="H33" s="103"/>
      <c r="I33" s="103"/>
      <c r="J33" s="103"/>
      <c r="K33" s="103"/>
      <c r="L33" s="103"/>
      <c r="M33" s="103"/>
      <c r="N33" s="103"/>
      <c r="O33" s="103"/>
      <c r="P33" s="103"/>
      <c r="Q33" s="103"/>
      <c r="R33" s="103"/>
      <c r="S33" s="103"/>
      <c r="T33" s="103"/>
      <c r="U33" s="103"/>
      <c r="V33" s="103"/>
    </row>
    <row r="34" customFormat="false" ht="19.5" hidden="false" customHeight="true" outlineLevel="0" collapsed="false">
      <c r="A34" s="100" t="s">
        <v>2342</v>
      </c>
      <c r="B34" s="103"/>
      <c r="C34" s="103"/>
      <c r="D34" s="103" t="n">
        <f aca="false">M65</f>
        <v>3700</v>
      </c>
      <c r="E34" s="103"/>
      <c r="F34" s="103"/>
      <c r="G34" s="103"/>
      <c r="H34" s="103"/>
      <c r="I34" s="103"/>
      <c r="J34" s="103"/>
      <c r="K34" s="103"/>
      <c r="L34" s="103"/>
      <c r="M34" s="103"/>
      <c r="N34" s="103"/>
      <c r="O34" s="103"/>
      <c r="P34" s="103"/>
      <c r="Q34" s="103"/>
      <c r="R34" s="103"/>
      <c r="S34" s="103"/>
      <c r="T34" s="103"/>
      <c r="U34" s="103"/>
      <c r="V34" s="103"/>
    </row>
    <row r="35" customFormat="false" ht="19.5" hidden="false" customHeight="true" outlineLevel="0" collapsed="false">
      <c r="A35" s="100" t="s">
        <v>2343</v>
      </c>
      <c r="B35" s="103"/>
      <c r="C35" s="103"/>
      <c r="D35" s="103" t="n">
        <f aca="false">N65</f>
        <v>2000</v>
      </c>
      <c r="E35" s="103"/>
      <c r="F35" s="103"/>
      <c r="G35" s="103"/>
      <c r="H35" s="103"/>
      <c r="I35" s="103"/>
      <c r="J35" s="103"/>
      <c r="K35" s="103"/>
      <c r="L35" s="103"/>
      <c r="M35" s="103"/>
      <c r="N35" s="103"/>
      <c r="O35" s="103"/>
      <c r="P35" s="103"/>
      <c r="Q35" s="103"/>
      <c r="R35" s="103"/>
      <c r="S35" s="103"/>
      <c r="T35" s="103"/>
      <c r="U35" s="103"/>
      <c r="V35" s="103"/>
    </row>
    <row r="36" customFormat="false" ht="19.5" hidden="false" customHeight="true" outlineLevel="0" collapsed="false">
      <c r="A36" s="100" t="s">
        <v>2344</v>
      </c>
      <c r="B36" s="103"/>
      <c r="C36" s="103"/>
      <c r="D36" s="103" t="n">
        <f aca="false">P65</f>
        <v>400</v>
      </c>
      <c r="E36" s="103"/>
      <c r="F36" s="103"/>
      <c r="G36" s="103"/>
      <c r="H36" s="103"/>
      <c r="I36" s="103"/>
      <c r="J36" s="103"/>
      <c r="K36" s="103"/>
      <c r="L36" s="103"/>
      <c r="M36" s="103"/>
      <c r="N36" s="103"/>
      <c r="O36" s="103"/>
      <c r="P36" s="103"/>
      <c r="Q36" s="103"/>
      <c r="R36" s="103"/>
      <c r="S36" s="103"/>
      <c r="T36" s="103"/>
      <c r="U36" s="103"/>
      <c r="V36" s="103"/>
    </row>
    <row r="37" customFormat="false" ht="19.5" hidden="false" customHeight="true" outlineLevel="0" collapsed="false">
      <c r="A37" s="100" t="s">
        <v>2345</v>
      </c>
      <c r="B37" s="103"/>
      <c r="C37" s="103"/>
      <c r="D37" s="103" t="n">
        <f aca="false">R65</f>
        <v>600</v>
      </c>
      <c r="E37" s="103"/>
      <c r="F37" s="103"/>
      <c r="G37" s="103"/>
      <c r="H37" s="103"/>
      <c r="I37" s="103"/>
      <c r="J37" s="103"/>
      <c r="K37" s="103"/>
      <c r="L37" s="103"/>
      <c r="M37" s="103"/>
      <c r="N37" s="103"/>
      <c r="O37" s="103"/>
      <c r="P37" s="103"/>
      <c r="Q37" s="103"/>
      <c r="R37" s="103"/>
      <c r="S37" s="103"/>
      <c r="T37" s="103"/>
      <c r="U37" s="103"/>
      <c r="V37" s="103"/>
    </row>
    <row r="38" customFormat="false" ht="19.5" hidden="false" customHeight="true" outlineLevel="0" collapsed="false">
      <c r="A38" s="100" t="s">
        <v>2346</v>
      </c>
      <c r="B38" s="103"/>
      <c r="C38" s="103"/>
      <c r="D38" s="103" t="n">
        <f aca="false">Q65</f>
        <v>400</v>
      </c>
      <c r="E38" s="103"/>
      <c r="F38" s="103"/>
      <c r="G38" s="103"/>
      <c r="H38" s="103"/>
      <c r="I38" s="103"/>
      <c r="J38" s="103"/>
      <c r="K38" s="103"/>
      <c r="L38" s="103"/>
      <c r="M38" s="103"/>
      <c r="N38" s="103"/>
      <c r="O38" s="103"/>
      <c r="P38" s="103"/>
      <c r="Q38" s="103"/>
      <c r="R38" s="103"/>
      <c r="S38" s="103"/>
      <c r="T38" s="103"/>
      <c r="U38" s="103"/>
      <c r="V38" s="103"/>
    </row>
    <row r="39" customFormat="false" ht="19.5" hidden="false" customHeight="true" outlineLevel="0" collapsed="false">
      <c r="A39" s="100" t="s">
        <v>2347</v>
      </c>
      <c r="B39" s="103"/>
      <c r="C39" s="103"/>
      <c r="D39" s="103" t="n">
        <f aca="false">MIN(E18,E24+D31)*E20+E19*E21</f>
        <v>400</v>
      </c>
      <c r="E39" s="103"/>
      <c r="F39" s="103"/>
      <c r="G39" s="103"/>
      <c r="H39" s="103"/>
      <c r="I39" s="103"/>
      <c r="J39" s="103"/>
      <c r="K39" s="103"/>
      <c r="L39" s="103"/>
      <c r="M39" s="103"/>
      <c r="N39" s="103"/>
      <c r="O39" s="103"/>
      <c r="P39" s="103"/>
      <c r="Q39" s="103"/>
      <c r="R39" s="103"/>
      <c r="S39" s="103"/>
      <c r="T39" s="103"/>
      <c r="U39" s="103"/>
      <c r="V39" s="103"/>
    </row>
    <row r="40" customFormat="false" ht="19.5" hidden="false" customHeight="true" outlineLevel="0" collapsed="false">
      <c r="A40" s="100" t="s">
        <v>2348</v>
      </c>
      <c r="B40" s="103"/>
      <c r="C40" s="103"/>
      <c r="D40" s="103" t="n">
        <f aca="false">F65-MIN(E18,E24+D31)-E19</f>
        <v>3000</v>
      </c>
      <c r="E40" s="103"/>
      <c r="F40" s="103"/>
      <c r="G40" s="103"/>
      <c r="H40" s="103"/>
      <c r="I40" s="103"/>
      <c r="J40" s="103"/>
      <c r="K40" s="103"/>
      <c r="L40" s="103"/>
      <c r="M40" s="103"/>
      <c r="N40" s="103"/>
      <c r="O40" s="103"/>
      <c r="P40" s="103"/>
      <c r="Q40" s="103"/>
      <c r="R40" s="103"/>
      <c r="S40" s="103"/>
      <c r="T40" s="103"/>
      <c r="U40" s="103"/>
      <c r="V40" s="103"/>
    </row>
    <row r="41" customFormat="false" ht="19.5" hidden="false" customHeight="true" outlineLevel="0" collapsed="false">
      <c r="A41" s="100" t="s">
        <v>2349</v>
      </c>
      <c r="B41" s="103"/>
      <c r="C41" s="103"/>
      <c r="D41" s="103" t="n">
        <f aca="false">N65*'Sources &amp; uses'!E36</f>
        <v>1200</v>
      </c>
      <c r="E41" s="103"/>
      <c r="F41" s="103"/>
      <c r="G41" s="103"/>
      <c r="H41" s="103"/>
      <c r="I41" s="103"/>
      <c r="J41" s="103"/>
      <c r="K41" s="103"/>
      <c r="L41" s="103"/>
      <c r="M41" s="103"/>
      <c r="N41" s="103"/>
      <c r="O41" s="103"/>
      <c r="P41" s="103"/>
      <c r="Q41" s="103"/>
      <c r="R41" s="103"/>
      <c r="S41" s="103"/>
      <c r="T41" s="103"/>
      <c r="U41" s="103"/>
      <c r="V41" s="103"/>
    </row>
    <row r="42" customFormat="false" ht="19.5" hidden="false" customHeight="true" outlineLevel="0" collapsed="false">
      <c r="A42" s="100" t="s">
        <v>2350</v>
      </c>
      <c r="B42" s="103"/>
      <c r="C42" s="103"/>
      <c r="D42" s="103" t="n">
        <f aca="false">N65-D41</f>
        <v>800</v>
      </c>
      <c r="E42" s="103"/>
      <c r="F42" s="103"/>
      <c r="G42" s="103"/>
      <c r="H42" s="103"/>
      <c r="I42" s="103"/>
      <c r="J42" s="103"/>
      <c r="K42" s="103"/>
      <c r="L42" s="103"/>
      <c r="M42" s="103"/>
      <c r="N42" s="103"/>
      <c r="O42" s="103"/>
      <c r="P42" s="103"/>
      <c r="Q42" s="103"/>
      <c r="R42" s="103"/>
      <c r="S42" s="103"/>
      <c r="T42" s="103"/>
      <c r="U42" s="103"/>
      <c r="V42" s="103"/>
    </row>
    <row r="43" customFormat="false" ht="19.5" hidden="false" customHeight="true" outlineLevel="0" collapsed="false">
      <c r="A43" s="100" t="s">
        <v>2351</v>
      </c>
      <c r="B43" s="103"/>
      <c r="C43" s="103"/>
      <c r="D43" s="125" t="n">
        <f aca="false">IF(ISNUMBER('Sources &amp; uses'!E30),MAX(0,D42-'Sources &amp; uses'!E30),"n.a.")</f>
        <v>0</v>
      </c>
      <c r="E43" s="103"/>
      <c r="F43" s="103"/>
      <c r="G43" s="103"/>
      <c r="H43" s="103"/>
      <c r="I43" s="103"/>
      <c r="J43" s="103"/>
      <c r="K43" s="103"/>
      <c r="L43" s="103"/>
      <c r="M43" s="103"/>
      <c r="N43" s="103"/>
      <c r="O43" s="103"/>
      <c r="P43" s="103"/>
      <c r="Q43" s="103"/>
      <c r="R43" s="103"/>
      <c r="S43" s="103"/>
      <c r="T43" s="103"/>
      <c r="U43" s="103"/>
      <c r="V43" s="103"/>
    </row>
    <row r="44" customFormat="false" ht="19.5" hidden="false" customHeight="true" outlineLevel="0" collapsed="false">
      <c r="A44" s="100" t="s">
        <v>2352</v>
      </c>
      <c r="B44" s="103"/>
      <c r="C44" s="103"/>
      <c r="D44" s="103" t="n">
        <f aca="false">'Japan rescue'!D10</f>
        <v>496.861234517947</v>
      </c>
      <c r="E44" s="103"/>
      <c r="F44" s="103"/>
      <c r="G44" s="103"/>
      <c r="H44" s="103"/>
      <c r="I44" s="103"/>
      <c r="J44" s="103"/>
      <c r="K44" s="103"/>
      <c r="L44" s="103"/>
      <c r="M44" s="103"/>
      <c r="N44" s="103"/>
      <c r="O44" s="103"/>
      <c r="P44" s="103"/>
      <c r="Q44" s="103"/>
      <c r="R44" s="103"/>
      <c r="S44" s="103"/>
      <c r="T44" s="103"/>
      <c r="U44" s="103"/>
      <c r="V44" s="103"/>
    </row>
    <row r="45" customFormat="false" ht="19.5" hidden="false" customHeight="true" outlineLevel="0" collapsed="false">
      <c r="A45" s="100" t="s">
        <v>2353</v>
      </c>
      <c r="B45" s="103"/>
      <c r="C45" s="103"/>
      <c r="D45" s="103" t="n">
        <f aca="false">'Japan rescue'!D59+'Japan rescue'!D65+'Japan rescue'!D10</f>
        <v>1191.86123451795</v>
      </c>
      <c r="E45" s="103"/>
      <c r="F45" s="103"/>
      <c r="G45" s="103"/>
      <c r="H45" s="103"/>
      <c r="I45" s="103"/>
      <c r="J45" s="103"/>
      <c r="K45" s="103"/>
      <c r="L45" s="103"/>
      <c r="M45" s="103"/>
      <c r="N45" s="103"/>
      <c r="O45" s="103"/>
      <c r="P45" s="103"/>
      <c r="Q45" s="103"/>
      <c r="R45" s="103"/>
      <c r="S45" s="103"/>
      <c r="T45" s="103"/>
      <c r="U45" s="103"/>
      <c r="V45" s="103"/>
    </row>
    <row r="46" customFormat="false" ht="19.5" hidden="false" customHeight="true" outlineLevel="0" collapsed="false">
      <c r="A46" s="100" t="s">
        <v>2354</v>
      </c>
      <c r="B46" s="103"/>
      <c r="C46" s="103" t="n">
        <v>400</v>
      </c>
      <c r="D46" s="103" t="n">
        <f aca="false">C46*$D$42/$C$50</f>
        <v>400</v>
      </c>
      <c r="E46" s="103" t="n">
        <f aca="false">IF(Levers!$E$4=1,C46,D46)</f>
        <v>400</v>
      </c>
      <c r="F46" s="103"/>
      <c r="G46" s="103"/>
      <c r="H46" s="103"/>
      <c r="I46" s="103"/>
      <c r="J46" s="103"/>
      <c r="K46" s="103"/>
      <c r="L46" s="103"/>
      <c r="M46" s="103"/>
      <c r="N46" s="103"/>
      <c r="O46" s="103"/>
      <c r="P46" s="103"/>
      <c r="Q46" s="103"/>
      <c r="R46" s="103"/>
      <c r="S46" s="103"/>
      <c r="T46" s="103"/>
      <c r="U46" s="103"/>
      <c r="V46" s="103"/>
    </row>
    <row r="47" customFormat="false" ht="19.5" hidden="false" customHeight="true" outlineLevel="0" collapsed="false">
      <c r="A47" s="100" t="s">
        <v>2355</v>
      </c>
      <c r="B47" s="103"/>
      <c r="C47" s="103" t="n">
        <v>250</v>
      </c>
      <c r="D47" s="103" t="n">
        <f aca="false">C47*$D$42/$C$50</f>
        <v>250</v>
      </c>
      <c r="E47" s="103" t="n">
        <f aca="false">IF(Levers!$E$4=1,C47,D47)</f>
        <v>250</v>
      </c>
      <c r="F47" s="103"/>
      <c r="G47" s="103"/>
      <c r="H47" s="103"/>
      <c r="I47" s="103"/>
      <c r="J47" s="103"/>
      <c r="K47" s="103"/>
      <c r="L47" s="103"/>
      <c r="M47" s="103"/>
      <c r="N47" s="103"/>
      <c r="O47" s="103"/>
      <c r="P47" s="103"/>
      <c r="Q47" s="103"/>
      <c r="R47" s="103"/>
      <c r="S47" s="103"/>
      <c r="T47" s="103"/>
      <c r="U47" s="103"/>
      <c r="V47" s="103"/>
    </row>
    <row r="48" customFormat="false" ht="19.5" hidden="false" customHeight="true" outlineLevel="0" collapsed="false">
      <c r="A48" s="100" t="s">
        <v>2356</v>
      </c>
      <c r="B48" s="103"/>
      <c r="C48" s="103" t="n">
        <v>100</v>
      </c>
      <c r="D48" s="103" t="n">
        <f aca="false">C48*$D$42/$C$50</f>
        <v>100</v>
      </c>
      <c r="E48" s="103" t="n">
        <f aca="false">IF(Levers!$E$4=1,C48,D48)</f>
        <v>100</v>
      </c>
      <c r="F48" s="103"/>
      <c r="G48" s="103"/>
      <c r="H48" s="103"/>
      <c r="I48" s="103"/>
      <c r="J48" s="103"/>
      <c r="K48" s="103"/>
      <c r="L48" s="103"/>
      <c r="M48" s="103"/>
      <c r="N48" s="103"/>
      <c r="O48" s="103"/>
      <c r="P48" s="103"/>
      <c r="Q48" s="103"/>
      <c r="R48" s="103"/>
      <c r="S48" s="103"/>
      <c r="T48" s="103"/>
      <c r="U48" s="103"/>
      <c r="V48" s="103"/>
    </row>
    <row r="49" customFormat="false" ht="19.5" hidden="false" customHeight="true" outlineLevel="0" collapsed="false">
      <c r="A49" s="100" t="s">
        <v>2357</v>
      </c>
      <c r="B49" s="103"/>
      <c r="C49" s="103" t="n">
        <v>50</v>
      </c>
      <c r="D49" s="103" t="n">
        <f aca="false">C49*$D$42/$C$50</f>
        <v>50</v>
      </c>
      <c r="E49" s="103" t="n">
        <f aca="false">IF(Levers!$E$4=1,C49,D49)</f>
        <v>50</v>
      </c>
      <c r="F49" s="103"/>
      <c r="G49" s="103"/>
      <c r="H49" s="103"/>
      <c r="I49" s="103"/>
      <c r="J49" s="103"/>
      <c r="K49" s="103"/>
      <c r="L49" s="103"/>
      <c r="M49" s="103"/>
      <c r="N49" s="103"/>
      <c r="O49" s="103"/>
      <c r="P49" s="103"/>
      <c r="Q49" s="103"/>
      <c r="R49" s="103"/>
      <c r="S49" s="103"/>
      <c r="T49" s="103"/>
      <c r="U49" s="103"/>
      <c r="V49" s="103"/>
    </row>
    <row r="50" customFormat="false" ht="19.5" hidden="false" customHeight="true" outlineLevel="0" collapsed="false">
      <c r="A50" s="100" t="s">
        <v>2358</v>
      </c>
      <c r="B50" s="103"/>
      <c r="C50" s="103" t="n">
        <f aca="false">SUM(C46:C49)</f>
        <v>800</v>
      </c>
      <c r="D50" s="103" t="n">
        <f aca="false">SUM(D46:D49)</f>
        <v>800</v>
      </c>
      <c r="E50" s="103" t="n">
        <f aca="false">SUM(E46:E49)</f>
        <v>800</v>
      </c>
      <c r="F50" s="103"/>
      <c r="G50" s="103"/>
      <c r="H50" s="103"/>
      <c r="I50" s="103"/>
      <c r="J50" s="103"/>
      <c r="K50" s="103"/>
      <c r="L50" s="103"/>
      <c r="M50" s="103"/>
      <c r="N50" s="103"/>
      <c r="O50" s="103"/>
      <c r="P50" s="103"/>
      <c r="Q50" s="103"/>
      <c r="R50" s="103"/>
      <c r="S50" s="103"/>
      <c r="T50" s="103"/>
      <c r="U50" s="103"/>
      <c r="V50" s="103"/>
    </row>
    <row r="51" customFormat="false" ht="57.75" hidden="false" customHeight="true" outlineLevel="0" collapsed="false">
      <c r="A51" s="76" t="s">
        <v>103</v>
      </c>
      <c r="B51" s="113" t="s">
        <v>2359</v>
      </c>
      <c r="C51" s="113" t="s">
        <v>2360</v>
      </c>
      <c r="D51" s="113" t="s">
        <v>2361</v>
      </c>
      <c r="E51" s="113" t="s">
        <v>2362</v>
      </c>
      <c r="F51" s="113" t="s">
        <v>2363</v>
      </c>
      <c r="G51" s="113" t="s">
        <v>2364</v>
      </c>
      <c r="H51" s="113" t="s">
        <v>2365</v>
      </c>
      <c r="I51" s="113" t="s">
        <v>2366</v>
      </c>
      <c r="J51" s="113" t="s">
        <v>2367</v>
      </c>
      <c r="K51" s="113" t="s">
        <v>2368</v>
      </c>
      <c r="L51" s="113" t="s">
        <v>2369</v>
      </c>
      <c r="M51" s="113" t="s">
        <v>2342</v>
      </c>
      <c r="N51" s="113" t="s">
        <v>2370</v>
      </c>
      <c r="O51" s="113" t="s">
        <v>2371</v>
      </c>
      <c r="P51" s="113" t="s">
        <v>2372</v>
      </c>
      <c r="Q51" s="113" t="s">
        <v>2373</v>
      </c>
      <c r="R51" s="113" t="s">
        <v>2374</v>
      </c>
      <c r="S51" s="113" t="s">
        <v>2375</v>
      </c>
      <c r="T51" s="113" t="s">
        <v>2376</v>
      </c>
      <c r="U51" s="113" t="s">
        <v>2377</v>
      </c>
      <c r="V51" s="113" t="s">
        <v>2378</v>
      </c>
    </row>
    <row r="52" customFormat="false" ht="19.5" hidden="false" customHeight="true" outlineLevel="0" collapsed="false">
      <c r="A52" s="111" t="n">
        <v>1913</v>
      </c>
      <c r="B52" s="107" t="n">
        <f aca="false">E6</f>
        <v>1500</v>
      </c>
      <c r="C52" s="107" t="n">
        <f aca="false">0</f>
        <v>0</v>
      </c>
      <c r="D52" s="107" t="n">
        <f aca="false">0</f>
        <v>0</v>
      </c>
      <c r="E52" s="107" t="n">
        <f aca="false">0</f>
        <v>0</v>
      </c>
      <c r="F52" s="107" t="n">
        <f aca="false">B52</f>
        <v>1500</v>
      </c>
      <c r="G52" s="107" t="n">
        <f aca="false">0</f>
        <v>0</v>
      </c>
      <c r="H52" s="107" t="n">
        <f aca="false">0</f>
        <v>0</v>
      </c>
      <c r="I52" s="107" t="n">
        <f aca="false">0</f>
        <v>0</v>
      </c>
      <c r="J52" s="107" t="n">
        <f aca="false">0</f>
        <v>0</v>
      </c>
      <c r="K52" s="107" t="n">
        <f aca="false">0</f>
        <v>0</v>
      </c>
      <c r="L52" s="107" t="n">
        <f aca="false">0</f>
        <v>0</v>
      </c>
      <c r="M52" s="107" t="n">
        <f aca="false">E7</f>
        <v>1200</v>
      </c>
      <c r="N52" s="107" t="n">
        <f aca="false">E8</f>
        <v>400</v>
      </c>
      <c r="O52" s="107" t="n">
        <f aca="false">E9</f>
        <v>200</v>
      </c>
      <c r="P52" s="107" t="n">
        <f aca="false">E10</f>
        <v>200</v>
      </c>
      <c r="Q52" s="107" t="n">
        <f aca="false">E11</f>
        <v>200</v>
      </c>
      <c r="R52" s="107" t="n">
        <f aca="false">M52+N52+O52+P52-F52-Q52</f>
        <v>300</v>
      </c>
      <c r="S52" s="107" t="n">
        <f aca="false">F52+Q52+R52-M52-N52-O52-P52</f>
        <v>0</v>
      </c>
      <c r="T52" s="122" t="n">
        <f aca="false">N52*'Sources &amp; uses'!E36</f>
        <v>240</v>
      </c>
      <c r="U52" s="122" t="n">
        <f aca="false">Abroad!H73-T52</f>
        <v>1914.85136316895</v>
      </c>
      <c r="V52" s="107" t="n">
        <f aca="false">F52-N52</f>
        <v>1100</v>
      </c>
    </row>
    <row r="53" customFormat="false" ht="19.5" hidden="false" customHeight="true" outlineLevel="0" collapsed="false">
      <c r="A53" s="111" t="n">
        <v>1914</v>
      </c>
      <c r="B53" s="107" t="n">
        <f aca="false">F52</f>
        <v>1500</v>
      </c>
      <c r="C53" s="122" t="n">
        <f aca="false">($E$12+$D$31)*'War credit'!B74/entente_total</f>
        <v>155</v>
      </c>
      <c r="D53" s="122" t="n">
        <f aca="false">$E$13*'War credit'!B74/entente_total</f>
        <v>45</v>
      </c>
      <c r="E53" s="106" t="n">
        <v>0</v>
      </c>
      <c r="F53" s="107" t="n">
        <f aca="false">B53+C53-D53-E53</f>
        <v>1610</v>
      </c>
      <c r="G53" s="122" t="n">
        <f aca="false">$E$14*'War credit'!B74/entente_total</f>
        <v>80</v>
      </c>
      <c r="H53" s="122" t="n">
        <f aca="false">$E$15*(1-$E$23+$E$23*$D$25/$E$22)*'War credit'!B74/entente_total</f>
        <v>30</v>
      </c>
      <c r="I53" s="122" t="n">
        <f aca="false">$E$16*'War credit'!B74/entente_total</f>
        <v>2.5</v>
      </c>
      <c r="J53" s="122" t="n">
        <f aca="false">$E$17*'War credit'!B74/entente_total</f>
        <v>5</v>
      </c>
      <c r="K53" s="107" t="n">
        <f aca="false">Q53-Q52</f>
        <v>10</v>
      </c>
      <c r="L53" s="107" t="n">
        <f aca="false">G53+H53+I53+J53+D53-C53-K53-(R53-R52)</f>
        <v>0</v>
      </c>
      <c r="M53" s="107" t="n">
        <f aca="false">M52+G53</f>
        <v>1280</v>
      </c>
      <c r="N53" s="107" t="n">
        <f aca="false">N52+H53</f>
        <v>430</v>
      </c>
      <c r="O53" s="107" t="n">
        <f aca="false">O52+I53</f>
        <v>202.5</v>
      </c>
      <c r="P53" s="107" t="n">
        <f aca="false">P52+J53</f>
        <v>205</v>
      </c>
      <c r="Q53" s="122" t="n">
        <f aca="false">200+200*SUM('War credit'!$B$74:B74)/entente_total</f>
        <v>210</v>
      </c>
      <c r="R53" s="107" t="n">
        <f aca="false">R52+G53+H53+I53+J53+D53-C53-K53</f>
        <v>297.5</v>
      </c>
      <c r="S53" s="107" t="n">
        <f aca="false">F53+Q53+R53-M53-N53-O53-P53</f>
        <v>0</v>
      </c>
      <c r="T53" s="122" t="n">
        <f aca="false">N53*'Sources &amp; uses'!$E$36</f>
        <v>258</v>
      </c>
      <c r="U53" s="122" t="n">
        <f aca="false">Abroad!H74-'War credit'!T74-T53</f>
        <v>1970.9584317956</v>
      </c>
      <c r="V53" s="107" t="n">
        <f aca="false">F53-N53</f>
        <v>1180</v>
      </c>
    </row>
    <row r="54" customFormat="false" ht="19.5" hidden="false" customHeight="true" outlineLevel="0" collapsed="false">
      <c r="A54" s="111" t="n">
        <v>1915</v>
      </c>
      <c r="B54" s="107" t="n">
        <f aca="false">F53</f>
        <v>1610</v>
      </c>
      <c r="C54" s="122" t="n">
        <f aca="false">($E$12+$D$31)*'War credit'!B75/entente_total</f>
        <v>413.23</v>
      </c>
      <c r="D54" s="122" t="n">
        <f aca="false">$E$13*'War credit'!B75/entente_total</f>
        <v>119.97</v>
      </c>
      <c r="E54" s="106" t="n">
        <v>0</v>
      </c>
      <c r="F54" s="107" t="n">
        <f aca="false">B54+C54-D54-E54</f>
        <v>1903.26</v>
      </c>
      <c r="G54" s="122" t="n">
        <f aca="false">$E$14*'War credit'!B75/entente_total</f>
        <v>213.28</v>
      </c>
      <c r="H54" s="122" t="n">
        <f aca="false">$E$15*(1-$E$23+$E$23*$D$25/$E$22)*'War credit'!B75/entente_total</f>
        <v>79.98</v>
      </c>
      <c r="I54" s="122" t="n">
        <f aca="false">$E$16*'War credit'!B75/entente_total</f>
        <v>6.665</v>
      </c>
      <c r="J54" s="122" t="n">
        <f aca="false">$E$17*'War credit'!B75/entente_total</f>
        <v>13.33</v>
      </c>
      <c r="K54" s="107" t="n">
        <f aca="false">Q54-Q53</f>
        <v>26.66</v>
      </c>
      <c r="L54" s="107" t="n">
        <f aca="false">G54+H54+I54+J54+D54-C54-K54-(R54-R53)</f>
        <v>-2.8421709430404E-014</v>
      </c>
      <c r="M54" s="107" t="n">
        <f aca="false">M53+G54</f>
        <v>1493.28</v>
      </c>
      <c r="N54" s="107" t="n">
        <f aca="false">N53+H54</f>
        <v>509.98</v>
      </c>
      <c r="O54" s="107" t="n">
        <f aca="false">O53+I54</f>
        <v>209.165</v>
      </c>
      <c r="P54" s="107" t="n">
        <f aca="false">P53+J54</f>
        <v>218.33</v>
      </c>
      <c r="Q54" s="122" t="n">
        <f aca="false">200+200*SUM('War credit'!$B$74:B75)/entente_total</f>
        <v>236.66</v>
      </c>
      <c r="R54" s="107" t="n">
        <f aca="false">R53+G54+H54+I54+J54+D54-C54-K54</f>
        <v>290.835</v>
      </c>
      <c r="S54" s="107" t="n">
        <f aca="false">F54+Q54+R54-M54-N54-O54-P54</f>
        <v>0</v>
      </c>
      <c r="T54" s="122" t="n">
        <f aca="false">N54*'Sources &amp; uses'!$E$36</f>
        <v>305.988</v>
      </c>
      <c r="U54" s="122" t="n">
        <f aca="false">Abroad!H75-'War credit'!T75-T54</f>
        <v>2011.36562732754</v>
      </c>
      <c r="V54" s="107" t="n">
        <f aca="false">F54-N54</f>
        <v>1393.28</v>
      </c>
    </row>
    <row r="55" customFormat="false" ht="19.5" hidden="false" customHeight="true" outlineLevel="0" collapsed="false">
      <c r="A55" s="111" t="n">
        <v>1916</v>
      </c>
      <c r="B55" s="107" t="n">
        <f aca="false">F54</f>
        <v>1903.26</v>
      </c>
      <c r="C55" s="122" t="n">
        <f aca="false">($E$12+$D$31)*'War credit'!B76/entente_total</f>
        <v>723.23</v>
      </c>
      <c r="D55" s="122" t="n">
        <f aca="false">$E$13*'War credit'!B76/entente_total</f>
        <v>209.97</v>
      </c>
      <c r="E55" s="106" t="n">
        <v>0</v>
      </c>
      <c r="F55" s="107" t="n">
        <f aca="false">B55+C55-D55-E55</f>
        <v>2416.52</v>
      </c>
      <c r="G55" s="122" t="n">
        <f aca="false">$E$14*'War credit'!B76/entente_total</f>
        <v>373.28</v>
      </c>
      <c r="H55" s="122" t="n">
        <f aca="false">$E$15*(1-$E$23+$E$23*$D$25/$E$22)*'War credit'!B76/entente_total</f>
        <v>139.98</v>
      </c>
      <c r="I55" s="122" t="n">
        <f aca="false">$E$16*'War credit'!B76/entente_total</f>
        <v>11.665</v>
      </c>
      <c r="J55" s="122" t="n">
        <f aca="false">$E$17*'War credit'!B76/entente_total</f>
        <v>23.33</v>
      </c>
      <c r="K55" s="107" t="n">
        <f aca="false">Q55-Q54</f>
        <v>46.66</v>
      </c>
      <c r="L55" s="107" t="n">
        <f aca="false">G55+H55+I55+J55+D55-C55-K55-(R55-R54)</f>
        <v>8.5265128291212E-014</v>
      </c>
      <c r="M55" s="107" t="n">
        <f aca="false">M54+G55</f>
        <v>1866.56</v>
      </c>
      <c r="N55" s="107" t="n">
        <f aca="false">N54+H55</f>
        <v>649.96</v>
      </c>
      <c r="O55" s="107" t="n">
        <f aca="false">O54+I55</f>
        <v>220.83</v>
      </c>
      <c r="P55" s="107" t="n">
        <f aca="false">P54+J55</f>
        <v>241.66</v>
      </c>
      <c r="Q55" s="122" t="n">
        <f aca="false">200+200*SUM('War credit'!$B$74:B76)/entente_total</f>
        <v>283.32</v>
      </c>
      <c r="R55" s="107" t="n">
        <f aca="false">R54+G55+H55+I55+J55+D55-C55-K55</f>
        <v>279.17</v>
      </c>
      <c r="S55" s="107" t="n">
        <f aca="false">F55+Q55+R55-M55-N55-O55-P55</f>
        <v>0</v>
      </c>
      <c r="T55" s="122" t="n">
        <f aca="false">N55*'Sources &amp; uses'!$E$36</f>
        <v>389.976</v>
      </c>
      <c r="U55" s="122" t="n">
        <f aca="false">Abroad!H76-'War credit'!T76-T55</f>
        <v>2042.03072308563</v>
      </c>
      <c r="V55" s="107" t="n">
        <f aca="false">F55-N55</f>
        <v>1766.56</v>
      </c>
    </row>
    <row r="56" customFormat="false" ht="19.5" hidden="false" customHeight="true" outlineLevel="0" collapsed="false">
      <c r="A56" s="111" t="n">
        <v>1917</v>
      </c>
      <c r="B56" s="107" t="n">
        <f aca="false">F55</f>
        <v>2416.52</v>
      </c>
      <c r="C56" s="122" t="n">
        <f aca="false">($E$12+$D$31)*'War credit'!B77/entente_total</f>
        <v>930</v>
      </c>
      <c r="D56" s="122" t="n">
        <f aca="false">$E$13*'War credit'!B77/entente_total</f>
        <v>270</v>
      </c>
      <c r="E56" s="106" t="n">
        <v>0</v>
      </c>
      <c r="F56" s="107" t="n">
        <f aca="false">B56+C56-D56-E56</f>
        <v>3076.52</v>
      </c>
      <c r="G56" s="122" t="n">
        <f aca="false">$E$14*'War credit'!B77/entente_total</f>
        <v>480</v>
      </c>
      <c r="H56" s="122" t="n">
        <f aca="false">$E$15*(1-$E$23+$E$23*$D$25/$E$22)*'War credit'!B77/entente_total</f>
        <v>180</v>
      </c>
      <c r="I56" s="122" t="n">
        <f aca="false">$E$16*'War credit'!B77/entente_total</f>
        <v>15</v>
      </c>
      <c r="J56" s="122" t="n">
        <f aca="false">$E$17*'War credit'!B77/entente_total</f>
        <v>30</v>
      </c>
      <c r="K56" s="107" t="n">
        <f aca="false">Q56-Q55</f>
        <v>60</v>
      </c>
      <c r="L56" s="107" t="n">
        <f aca="false">G56+H56+I56+J56+D56-C56-K56-(R56-R55)</f>
        <v>-1.13686837721616E-013</v>
      </c>
      <c r="M56" s="107" t="n">
        <f aca="false">M55+G56</f>
        <v>2346.56</v>
      </c>
      <c r="N56" s="107" t="n">
        <f aca="false">N55+H56</f>
        <v>829.96</v>
      </c>
      <c r="O56" s="107" t="n">
        <f aca="false">O55+I56</f>
        <v>235.83</v>
      </c>
      <c r="P56" s="107" t="n">
        <f aca="false">P55+J56</f>
        <v>271.66</v>
      </c>
      <c r="Q56" s="122" t="n">
        <f aca="false">200+200*SUM('War credit'!$B$74:B77)/entente_total</f>
        <v>343.32</v>
      </c>
      <c r="R56" s="107" t="n">
        <f aca="false">R55+G56+H56+I56+J56+D56-C56-K56</f>
        <v>264.17</v>
      </c>
      <c r="S56" s="107" t="n">
        <f aca="false">F56+Q56+R56-M56-N56-O56-P56</f>
        <v>0</v>
      </c>
      <c r="T56" s="122" t="n">
        <f aca="false">N56*'Sources &amp; uses'!$E$36</f>
        <v>497.976</v>
      </c>
      <c r="U56" s="122" t="n">
        <f aca="false">Abroad!H77-'War credit'!T77-T56</f>
        <v>2092.72335290629</v>
      </c>
      <c r="V56" s="107" t="n">
        <f aca="false">F56-N56</f>
        <v>2246.56</v>
      </c>
    </row>
    <row r="57" customFormat="false" ht="19.5" hidden="false" customHeight="true" outlineLevel="0" collapsed="false">
      <c r="A57" s="111" t="n">
        <v>1918</v>
      </c>
      <c r="B57" s="107" t="n">
        <f aca="false">F56</f>
        <v>3076.52</v>
      </c>
      <c r="C57" s="122" t="n">
        <f aca="false">($E$12+$D$31)*'War credit'!B78/entente_total</f>
        <v>878.54</v>
      </c>
      <c r="D57" s="122" t="n">
        <f aca="false">$E$13*'War credit'!B78/entente_total</f>
        <v>255.06</v>
      </c>
      <c r="E57" s="106" t="n">
        <v>0</v>
      </c>
      <c r="F57" s="107" t="n">
        <f aca="false">B57+C57-D57-E57</f>
        <v>3700</v>
      </c>
      <c r="G57" s="122" t="n">
        <f aca="false">$E$14*'War credit'!B78/entente_total</f>
        <v>453.44</v>
      </c>
      <c r="H57" s="122" t="n">
        <f aca="false">$E$15*(1-$E$23+$E$23*$D$25/$E$22)*'War credit'!B78/entente_total</f>
        <v>170.04</v>
      </c>
      <c r="I57" s="122" t="n">
        <f aca="false">$E$16*'War credit'!B78/entente_total</f>
        <v>14.17</v>
      </c>
      <c r="J57" s="122" t="n">
        <f aca="false">$E$17*'War credit'!B78/entente_total</f>
        <v>28.34</v>
      </c>
      <c r="K57" s="107" t="n">
        <f aca="false">Q57-Q56</f>
        <v>56.68</v>
      </c>
      <c r="L57" s="107" t="n">
        <f aca="false">G57+H57+I57+J57+D57-C57-K57-(R57-R56)</f>
        <v>0</v>
      </c>
      <c r="M57" s="107" t="n">
        <f aca="false">M56+G57</f>
        <v>2800</v>
      </c>
      <c r="N57" s="107" t="n">
        <f aca="false">N56+H57</f>
        <v>1000</v>
      </c>
      <c r="O57" s="107" t="n">
        <f aca="false">O56+I57</f>
        <v>250</v>
      </c>
      <c r="P57" s="107" t="n">
        <f aca="false">P56+J57</f>
        <v>300</v>
      </c>
      <c r="Q57" s="122" t="n">
        <f aca="false">200+200*SUM('War credit'!$B$74:B78)/entente_total</f>
        <v>400</v>
      </c>
      <c r="R57" s="107" t="n">
        <f aca="false">R56+G57+H57+I57+J57+D57-C57-K57</f>
        <v>250</v>
      </c>
      <c r="S57" s="107" t="n">
        <f aca="false">F57+Q57+R57-M57-N57-O57-P57</f>
        <v>0</v>
      </c>
      <c r="T57" s="122" t="n">
        <f aca="false">N57*'Sources &amp; uses'!$E$36</f>
        <v>600</v>
      </c>
      <c r="U57" s="122" t="n">
        <f aca="false">Abroad!H78-'War credit'!T78-T57</f>
        <v>2191.65020134572</v>
      </c>
      <c r="V57" s="107" t="n">
        <f aca="false">F57-N57</f>
        <v>2700</v>
      </c>
    </row>
    <row r="58" customFormat="false" ht="19.5" hidden="false" customHeight="true" outlineLevel="0" collapsed="false">
      <c r="A58" s="111" t="n">
        <v>1919</v>
      </c>
      <c r="B58" s="107" t="n">
        <f aca="false">F57</f>
        <v>3700</v>
      </c>
      <c r="C58" s="106" t="n">
        <v>150</v>
      </c>
      <c r="D58" s="106" t="n">
        <v>250</v>
      </c>
      <c r="E58" s="106" t="n">
        <v>0</v>
      </c>
      <c r="F58" s="107" t="n">
        <f aca="false">B58+C58-D58-E58</f>
        <v>3600</v>
      </c>
      <c r="G58" s="106" t="n">
        <v>50</v>
      </c>
      <c r="H58" s="106" t="n">
        <f aca="false">IF(Levers!$E$4=1,100,100)</f>
        <v>100</v>
      </c>
      <c r="I58" s="106" t="n">
        <v>0</v>
      </c>
      <c r="J58" s="106" t="n">
        <v>12.5</v>
      </c>
      <c r="K58" s="107" t="n">
        <f aca="false">Q58-Q57</f>
        <v>50</v>
      </c>
      <c r="L58" s="107" t="n">
        <f aca="false">G58+H58+I58+J58+D58-C58-K58-(R58-R57)</f>
        <v>0</v>
      </c>
      <c r="M58" s="107" t="n">
        <f aca="false">M57+G58</f>
        <v>2850</v>
      </c>
      <c r="N58" s="107" t="n">
        <f aca="false">N57+H58</f>
        <v>1100</v>
      </c>
      <c r="O58" s="107" t="n">
        <f aca="false">O57+I58</f>
        <v>250</v>
      </c>
      <c r="P58" s="107" t="n">
        <f aca="false">P57+J58</f>
        <v>312.5</v>
      </c>
      <c r="Q58" s="107" t="n">
        <f aca="false">400+(A58-1918)*50</f>
        <v>450</v>
      </c>
      <c r="R58" s="107" t="n">
        <f aca="false">R57+G58+H58+I58+J58+D58-C58-K58</f>
        <v>462.5</v>
      </c>
      <c r="S58" s="107" t="n">
        <f aca="false">F58+Q58+R58-M58-N58-O58-P58</f>
        <v>0</v>
      </c>
      <c r="T58" s="122" t="n">
        <f aca="false">N58*'Sources &amp; uses'!$E$36</f>
        <v>660</v>
      </c>
      <c r="U58" s="122" t="n">
        <f aca="false">Abroad!H79-'War credit'!T79-T58</f>
        <v>3156.03889593084</v>
      </c>
      <c r="V58" s="107" t="n">
        <f aca="false">F58-N58</f>
        <v>2500</v>
      </c>
    </row>
    <row r="59" customFormat="false" ht="19.5" hidden="false" customHeight="true" outlineLevel="0" collapsed="false">
      <c r="A59" s="111" t="n">
        <v>1920</v>
      </c>
      <c r="B59" s="107" t="n">
        <f aca="false">F58</f>
        <v>3600</v>
      </c>
      <c r="C59" s="106" t="n">
        <v>150</v>
      </c>
      <c r="D59" s="106" t="n">
        <v>250</v>
      </c>
      <c r="E59" s="106" t="n">
        <v>0</v>
      </c>
      <c r="F59" s="107" t="n">
        <f aca="false">B59+C59-D59-E59</f>
        <v>3500</v>
      </c>
      <c r="G59" s="106" t="n">
        <v>50</v>
      </c>
      <c r="H59" s="106" t="n">
        <f aca="false">IF(Levers!$E$4=1,100,100)</f>
        <v>100</v>
      </c>
      <c r="I59" s="106" t="n">
        <v>0</v>
      </c>
      <c r="J59" s="106" t="n">
        <v>12.5</v>
      </c>
      <c r="K59" s="107" t="n">
        <f aca="false">Q59-Q58</f>
        <v>50</v>
      </c>
      <c r="L59" s="107" t="n">
        <f aca="false">G59+H59+I59+J59+D59-C59-K59-(R59-R58)</f>
        <v>0</v>
      </c>
      <c r="M59" s="107" t="n">
        <f aca="false">M58+G59</f>
        <v>2900</v>
      </c>
      <c r="N59" s="107" t="n">
        <f aca="false">N58+H59</f>
        <v>1200</v>
      </c>
      <c r="O59" s="107" t="n">
        <f aca="false">O58+I59</f>
        <v>250</v>
      </c>
      <c r="P59" s="107" t="n">
        <f aca="false">P58+J59</f>
        <v>325</v>
      </c>
      <c r="Q59" s="107" t="n">
        <f aca="false">400+(A59-1918)*50</f>
        <v>500</v>
      </c>
      <c r="R59" s="107" t="n">
        <f aca="false">R58+G59+H59+I59+J59+D59-C59-K59</f>
        <v>675</v>
      </c>
      <c r="S59" s="107" t="n">
        <f aca="false">F59+Q59+R59-M59-N59-O59-P59</f>
        <v>0</v>
      </c>
      <c r="T59" s="122" t="n">
        <f aca="false">N59*'Sources &amp; uses'!$E$36</f>
        <v>720</v>
      </c>
      <c r="U59" s="122" t="n">
        <f aca="false">Abroad!H80-'War credit'!T80-T59</f>
        <v>4279.59604053955</v>
      </c>
      <c r="V59" s="107" t="n">
        <f aca="false">F59-N59</f>
        <v>2300</v>
      </c>
    </row>
    <row r="60" customFormat="false" ht="19.5" hidden="false" customHeight="true" outlineLevel="0" collapsed="false">
      <c r="A60" s="111" t="n">
        <v>1921</v>
      </c>
      <c r="B60" s="107" t="n">
        <f aca="false">F59</f>
        <v>3500</v>
      </c>
      <c r="C60" s="106" t="n">
        <v>150</v>
      </c>
      <c r="D60" s="106" t="n">
        <v>250</v>
      </c>
      <c r="E60" s="106" t="n">
        <v>0</v>
      </c>
      <c r="F60" s="107" t="n">
        <f aca="false">B60+C60-D60-E60</f>
        <v>3400</v>
      </c>
      <c r="G60" s="106" t="n">
        <v>50</v>
      </c>
      <c r="H60" s="106" t="n">
        <f aca="false">IF(Levers!$E$4=1,75,100)</f>
        <v>75</v>
      </c>
      <c r="I60" s="106" t="n">
        <v>0</v>
      </c>
      <c r="J60" s="106" t="n">
        <v>12.5</v>
      </c>
      <c r="K60" s="107" t="n">
        <f aca="false">Q60-Q59</f>
        <v>50</v>
      </c>
      <c r="L60" s="107" t="n">
        <f aca="false">G60+H60+I60+J60+D60-C60-K60-(R60-R59)</f>
        <v>0</v>
      </c>
      <c r="M60" s="107" t="n">
        <f aca="false">M59+G60</f>
        <v>2950</v>
      </c>
      <c r="N60" s="107" t="n">
        <f aca="false">N59+H60</f>
        <v>1275</v>
      </c>
      <c r="O60" s="107" t="n">
        <f aca="false">O59+I60</f>
        <v>250</v>
      </c>
      <c r="P60" s="107" t="n">
        <f aca="false">P59+J60</f>
        <v>337.5</v>
      </c>
      <c r="Q60" s="107" t="n">
        <f aca="false">400+(A60-1918)*50</f>
        <v>550</v>
      </c>
      <c r="R60" s="107" t="n">
        <f aca="false">R59+G60+H60+I60+J60+D60-C60-K60</f>
        <v>862.5</v>
      </c>
      <c r="S60" s="107" t="n">
        <f aca="false">F60+Q60+R60-M60-N60-O60-P60</f>
        <v>0</v>
      </c>
      <c r="T60" s="122" t="n">
        <f aca="false">N60*'Sources &amp; uses'!$E$36</f>
        <v>765</v>
      </c>
      <c r="U60" s="122" t="n">
        <f aca="false">Abroad!H81-'War credit'!T81-T60</f>
        <v>5145.5544552881</v>
      </c>
      <c r="V60" s="107" t="n">
        <f aca="false">F60-N60</f>
        <v>2125</v>
      </c>
    </row>
    <row r="61" customFormat="false" ht="19.5" hidden="false" customHeight="true" outlineLevel="0" collapsed="false">
      <c r="A61" s="111" t="n">
        <v>1922</v>
      </c>
      <c r="B61" s="107" t="n">
        <f aca="false">F60</f>
        <v>3400</v>
      </c>
      <c r="C61" s="106" t="n">
        <v>150</v>
      </c>
      <c r="D61" s="106" t="n">
        <v>250</v>
      </c>
      <c r="E61" s="106" t="n">
        <v>0</v>
      </c>
      <c r="F61" s="107" t="n">
        <f aca="false">B61+C61-D61-E61</f>
        <v>3300</v>
      </c>
      <c r="G61" s="106" t="n">
        <v>50</v>
      </c>
      <c r="H61" s="106" t="n">
        <f aca="false">IF(Levers!$E$4=1,75,100)</f>
        <v>75</v>
      </c>
      <c r="I61" s="106" t="n">
        <v>0</v>
      </c>
      <c r="J61" s="106" t="n">
        <v>12.5</v>
      </c>
      <c r="K61" s="107" t="n">
        <f aca="false">Q61-Q60</f>
        <v>50</v>
      </c>
      <c r="L61" s="107" t="n">
        <f aca="false">G61+H61+I61+J61+D61-C61-K61-(R61-R60)</f>
        <v>0</v>
      </c>
      <c r="M61" s="107" t="n">
        <f aca="false">M60+G61</f>
        <v>3000</v>
      </c>
      <c r="N61" s="107" t="n">
        <f aca="false">N60+H61</f>
        <v>1350</v>
      </c>
      <c r="O61" s="107" t="n">
        <f aca="false">O60+I61</f>
        <v>250</v>
      </c>
      <c r="P61" s="107" t="n">
        <f aca="false">P60+J61</f>
        <v>350</v>
      </c>
      <c r="Q61" s="107" t="n">
        <f aca="false">400+(A61-1918)*50</f>
        <v>600</v>
      </c>
      <c r="R61" s="107" t="n">
        <f aca="false">R60+G61+H61+I61+J61+D61-C61-K61</f>
        <v>1050</v>
      </c>
      <c r="S61" s="107" t="n">
        <f aca="false">F61+Q61+R61-M61-N61-O61-P61</f>
        <v>0</v>
      </c>
      <c r="T61" s="122" t="n">
        <f aca="false">N61*'Sources &amp; uses'!$E$36</f>
        <v>810</v>
      </c>
      <c r="U61" s="122" t="n">
        <f aca="false">Abroad!H82-'War credit'!T82-T61</f>
        <v>6023.92453367771</v>
      </c>
      <c r="V61" s="107" t="n">
        <f aca="false">F61-N61</f>
        <v>1950</v>
      </c>
    </row>
    <row r="62" customFormat="false" ht="19.5" hidden="false" customHeight="true" outlineLevel="0" collapsed="false">
      <c r="A62" s="111" t="n">
        <v>1923</v>
      </c>
      <c r="B62" s="107" t="n">
        <f aca="false">F61</f>
        <v>3300</v>
      </c>
      <c r="C62" s="122" t="n">
        <f aca="false">IF(Levers!$E$4=1,1000,1062.5)</f>
        <v>1000</v>
      </c>
      <c r="D62" s="106" t="n">
        <v>100</v>
      </c>
      <c r="E62" s="106" t="n">
        <v>0</v>
      </c>
      <c r="F62" s="107" t="n">
        <f aca="false">B62+C62-D62-E62</f>
        <v>4200</v>
      </c>
      <c r="G62" s="106" t="n">
        <v>200</v>
      </c>
      <c r="H62" s="122" t="n">
        <f aca="false">IF(Levers!$E$4=1,300,350)</f>
        <v>300</v>
      </c>
      <c r="I62" s="106" t="n">
        <v>20</v>
      </c>
      <c r="J62" s="106" t="n">
        <v>10</v>
      </c>
      <c r="K62" s="107" t="n">
        <f aca="false">Q62-Q61</f>
        <v>-50</v>
      </c>
      <c r="L62" s="107" t="n">
        <f aca="false">G62+H62+I62+J62+D62-C62-K62-(R62-R61)</f>
        <v>0</v>
      </c>
      <c r="M62" s="107" t="n">
        <f aca="false">M61+G62</f>
        <v>3200</v>
      </c>
      <c r="N62" s="107" t="n">
        <f aca="false">N61+H62</f>
        <v>1650</v>
      </c>
      <c r="O62" s="107" t="n">
        <f aca="false">O61+I62</f>
        <v>270</v>
      </c>
      <c r="P62" s="107" t="n">
        <f aca="false">P61+J62</f>
        <v>360</v>
      </c>
      <c r="Q62" s="122" t="n">
        <f aca="false">600-(A62-1922)*IF(Levers!$E$4=1,50,62.5)</f>
        <v>550</v>
      </c>
      <c r="R62" s="107" t="n">
        <f aca="false">R61+G62+H62+I62+J62+D62-C62-K62</f>
        <v>730</v>
      </c>
      <c r="S62" s="107" t="n">
        <f aca="false">F62+Q62+R62-M62-N62-O62-P62</f>
        <v>0</v>
      </c>
      <c r="T62" s="122" t="n">
        <f aca="false">N62*'Sources &amp; uses'!$E$36</f>
        <v>990</v>
      </c>
      <c r="U62" s="122" t="n">
        <f aca="false">Abroad!H83-'War credit'!T83-T62</f>
        <v>6884.23838145969</v>
      </c>
      <c r="V62" s="107" t="n">
        <f aca="false">F62-N62</f>
        <v>2550</v>
      </c>
    </row>
    <row r="63" customFormat="false" ht="19.5" hidden="false" customHeight="true" outlineLevel="0" collapsed="false">
      <c r="A63" s="111" t="n">
        <v>1924</v>
      </c>
      <c r="B63" s="107" t="n">
        <f aca="false">F62</f>
        <v>4200</v>
      </c>
      <c r="C63" s="122" t="n">
        <f aca="false">IF(Levers!$E$4=1,800,862.5)</f>
        <v>800</v>
      </c>
      <c r="D63" s="106" t="n">
        <v>150</v>
      </c>
      <c r="E63" s="106" t="n">
        <v>0</v>
      </c>
      <c r="F63" s="107" t="n">
        <f aca="false">B63+C63-D63-E63</f>
        <v>4850</v>
      </c>
      <c r="G63" s="106" t="n">
        <v>200</v>
      </c>
      <c r="H63" s="122" t="n">
        <f aca="false">IF(Levers!$E$4=1,200,250)</f>
        <v>200</v>
      </c>
      <c r="I63" s="106" t="n">
        <v>10</v>
      </c>
      <c r="J63" s="106" t="n">
        <v>10</v>
      </c>
      <c r="K63" s="107" t="n">
        <f aca="false">Q63-Q62</f>
        <v>-50</v>
      </c>
      <c r="L63" s="107" t="n">
        <f aca="false">G63+H63+I63+J63+D63-C63-K63-(R63-R62)</f>
        <v>0</v>
      </c>
      <c r="M63" s="107" t="n">
        <f aca="false">M62+G63</f>
        <v>3400</v>
      </c>
      <c r="N63" s="107" t="n">
        <f aca="false">N62+H63</f>
        <v>1850</v>
      </c>
      <c r="O63" s="107" t="n">
        <f aca="false">O62+I63</f>
        <v>280</v>
      </c>
      <c r="P63" s="107" t="n">
        <f aca="false">P62+J63</f>
        <v>370</v>
      </c>
      <c r="Q63" s="122" t="n">
        <f aca="false">600-(A63-1922)*IF(Levers!$E$4=1,50,62.5)</f>
        <v>500</v>
      </c>
      <c r="R63" s="107" t="n">
        <f aca="false">R62+G63+H63+I63+J63+D63-C63-K63</f>
        <v>550</v>
      </c>
      <c r="S63" s="107" t="n">
        <f aca="false">F63+Q63+R63-M63-N63-O63-P63</f>
        <v>0</v>
      </c>
      <c r="T63" s="122" t="n">
        <f aca="false">N63*'Sources &amp; uses'!$E$36</f>
        <v>1110</v>
      </c>
      <c r="U63" s="122" t="n">
        <f aca="false">Abroad!H84-'War credit'!T84-T63</f>
        <v>7859.69914193216</v>
      </c>
      <c r="V63" s="107" t="n">
        <f aca="false">F63-N63</f>
        <v>3000</v>
      </c>
    </row>
    <row r="64" customFormat="false" ht="19.5" hidden="false" customHeight="true" outlineLevel="0" collapsed="false">
      <c r="A64" s="111" t="n">
        <v>1925</v>
      </c>
      <c r="B64" s="107" t="n">
        <f aca="false">F63</f>
        <v>4850</v>
      </c>
      <c r="C64" s="122" t="n">
        <f aca="false">IF(Levers!$E$4=1,600,662.5)</f>
        <v>600</v>
      </c>
      <c r="D64" s="106" t="n">
        <v>200</v>
      </c>
      <c r="E64" s="106" t="n">
        <v>0</v>
      </c>
      <c r="F64" s="107" t="n">
        <f aca="false">B64+C64-D64-E64</f>
        <v>5250</v>
      </c>
      <c r="G64" s="106" t="n">
        <v>150</v>
      </c>
      <c r="H64" s="122" t="n">
        <f aca="false">IF(Levers!$E$4=1,75,100)</f>
        <v>75</v>
      </c>
      <c r="I64" s="106" t="n">
        <v>10</v>
      </c>
      <c r="J64" s="106" t="n">
        <v>15</v>
      </c>
      <c r="K64" s="107" t="n">
        <f aca="false">Q64-Q63</f>
        <v>-50</v>
      </c>
      <c r="L64" s="107" t="n">
        <f aca="false">G64+H64+I64+J64+D64-C64-K64-(R64-R63)</f>
        <v>0</v>
      </c>
      <c r="M64" s="107" t="n">
        <f aca="false">M63+G64</f>
        <v>3550</v>
      </c>
      <c r="N64" s="107" t="n">
        <f aca="false">N63+H64</f>
        <v>1925</v>
      </c>
      <c r="O64" s="107" t="n">
        <f aca="false">O63+I64</f>
        <v>290</v>
      </c>
      <c r="P64" s="107" t="n">
        <f aca="false">P63+J64</f>
        <v>385</v>
      </c>
      <c r="Q64" s="122" t="n">
        <f aca="false">600-(A64-1922)*IF(Levers!$E$4=1,50,62.5)</f>
        <v>450</v>
      </c>
      <c r="R64" s="107" t="n">
        <f aca="false">R63+G64+H64+I64+J64+D64-C64-K64</f>
        <v>450</v>
      </c>
      <c r="S64" s="107" t="n">
        <f aca="false">F64+Q64+R64-M64-N64-O64-P64</f>
        <v>0</v>
      </c>
      <c r="T64" s="122" t="n">
        <f aca="false">N64*'Sources &amp; uses'!$E$36</f>
        <v>1155</v>
      </c>
      <c r="U64" s="122" t="n">
        <f aca="false">Abroad!H85-'War credit'!T85-T64</f>
        <v>8986.34329286802</v>
      </c>
      <c r="V64" s="107" t="n">
        <f aca="false">F64-N64</f>
        <v>3325</v>
      </c>
    </row>
    <row r="65" customFormat="false" ht="19.5" hidden="false" customHeight="true" outlineLevel="0" collapsed="false">
      <c r="A65" s="111" t="n">
        <v>1926</v>
      </c>
      <c r="B65" s="107" t="n">
        <f aca="false">F64</f>
        <v>5250</v>
      </c>
      <c r="C65" s="122" t="n">
        <f aca="false">IF(Levers!$E$4=1,400,462.5)</f>
        <v>400</v>
      </c>
      <c r="D65" s="106" t="n">
        <v>250</v>
      </c>
      <c r="E65" s="106" t="n">
        <v>0</v>
      </c>
      <c r="F65" s="107" t="n">
        <f aca="false">B65+C65-D65-E65</f>
        <v>5400</v>
      </c>
      <c r="G65" s="106" t="n">
        <v>150</v>
      </c>
      <c r="H65" s="122" t="n">
        <f aca="false">IF(Levers!$E$4=1,75,100)</f>
        <v>75</v>
      </c>
      <c r="I65" s="106" t="n">
        <v>10</v>
      </c>
      <c r="J65" s="106" t="n">
        <v>15</v>
      </c>
      <c r="K65" s="107" t="n">
        <f aca="false">Q65-Q64</f>
        <v>-50</v>
      </c>
      <c r="L65" s="107" t="n">
        <f aca="false">G65+H65+I65+J65+D65-C65-K65-(R65-R64)</f>
        <v>0</v>
      </c>
      <c r="M65" s="107" t="n">
        <f aca="false">M64+G65</f>
        <v>3700</v>
      </c>
      <c r="N65" s="107" t="n">
        <f aca="false">N64+H65</f>
        <v>2000</v>
      </c>
      <c r="O65" s="107" t="n">
        <f aca="false">O64+I65</f>
        <v>300</v>
      </c>
      <c r="P65" s="107" t="n">
        <f aca="false">P64+J65</f>
        <v>400</v>
      </c>
      <c r="Q65" s="122" t="n">
        <f aca="false">600-(A65-1922)*IF(Levers!$E$4=1,50,62.5)</f>
        <v>400</v>
      </c>
      <c r="R65" s="107" t="n">
        <f aca="false">R64+G65+H65+I65+J65+D65-C65-K65</f>
        <v>600</v>
      </c>
      <c r="S65" s="107" t="n">
        <f aca="false">F65+Q65+R65-M65-N65-O65-P65</f>
        <v>0</v>
      </c>
      <c r="T65" s="122" t="n">
        <f aca="false">N65*'Sources &amp; uses'!$E$36</f>
        <v>1200</v>
      </c>
      <c r="U65" s="122" t="n">
        <f aca="false">Abroad!H86-'War credit'!T86-T65</f>
        <v>10141.3654150775</v>
      </c>
      <c r="V65" s="107" t="n">
        <f aca="false">F65-N65</f>
        <v>3400</v>
      </c>
    </row>
    <row r="66" customFormat="false" ht="19.5" hidden="false" customHeight="true" outlineLevel="0" collapsed="false">
      <c r="A66" s="100"/>
      <c r="B66" s="103"/>
      <c r="C66" s="103"/>
      <c r="D66" s="103"/>
      <c r="E66" s="103"/>
      <c r="F66" s="103"/>
      <c r="G66" s="103"/>
      <c r="H66" s="103"/>
      <c r="I66" s="103"/>
      <c r="J66" s="103"/>
      <c r="K66" s="103"/>
      <c r="L66" s="103"/>
      <c r="M66" s="103"/>
      <c r="N66" s="103"/>
      <c r="O66" s="103"/>
      <c r="P66" s="103"/>
      <c r="Q66" s="103"/>
      <c r="R66" s="103"/>
      <c r="S66" s="103"/>
      <c r="T66" s="103"/>
      <c r="U66" s="103"/>
      <c r="V66" s="103"/>
    </row>
    <row r="67" customFormat="false" ht="19.5" hidden="false" customHeight="true" outlineLevel="0" collapsed="false">
      <c r="A67" s="100"/>
      <c r="B67" s="103"/>
      <c r="C67" s="103"/>
      <c r="D67" s="103"/>
      <c r="E67" s="103"/>
      <c r="F67" s="103"/>
      <c r="G67" s="103"/>
      <c r="H67" s="103"/>
      <c r="I67" s="103"/>
      <c r="J67" s="103"/>
      <c r="K67" s="103"/>
      <c r="L67" s="103"/>
      <c r="M67" s="103"/>
      <c r="N67" s="103"/>
      <c r="O67" s="103"/>
      <c r="P67" s="103"/>
      <c r="Q67" s="103"/>
      <c r="R67" s="103"/>
      <c r="S67" s="103"/>
      <c r="T67" s="103"/>
      <c r="U67" s="103"/>
      <c r="V67" s="103"/>
    </row>
    <row r="68" customFormat="false" ht="19.5" hidden="false" customHeight="true" outlineLevel="0" collapsed="false">
      <c r="A68" s="100" t="s">
        <v>2379</v>
      </c>
      <c r="B68" s="103"/>
      <c r="C68" s="103"/>
      <c r="D68" s="103"/>
      <c r="E68" s="103"/>
      <c r="F68" s="103"/>
      <c r="G68" s="103"/>
      <c r="H68" s="103"/>
      <c r="I68" s="103"/>
      <c r="J68" s="103"/>
      <c r="K68" s="103"/>
      <c r="L68" s="103"/>
      <c r="M68" s="103"/>
      <c r="N68" s="103"/>
      <c r="O68" s="103"/>
      <c r="P68" s="103"/>
      <c r="Q68" s="103"/>
      <c r="R68" s="103"/>
      <c r="S68" s="103"/>
      <c r="T68" s="103"/>
      <c r="U68" s="103"/>
      <c r="V68" s="103"/>
    </row>
    <row r="69" customFormat="false" ht="19.5" hidden="false" customHeight="true" outlineLevel="0" collapsed="false">
      <c r="A69" s="100" t="s">
        <v>2380</v>
      </c>
      <c r="B69" s="103"/>
      <c r="C69" s="103"/>
      <c r="D69" s="103"/>
      <c r="E69" s="103"/>
      <c r="F69" s="103"/>
      <c r="G69" s="103"/>
      <c r="H69" s="103"/>
      <c r="I69" s="103"/>
      <c r="J69" s="103"/>
      <c r="K69" s="103"/>
      <c r="L69" s="103"/>
      <c r="M69" s="103"/>
      <c r="N69" s="103"/>
      <c r="O69" s="103"/>
      <c r="P69" s="103"/>
      <c r="Q69" s="103"/>
      <c r="R69" s="103"/>
      <c r="S69" s="103"/>
      <c r="T69" s="103"/>
      <c r="U69" s="103"/>
      <c r="V69" s="103"/>
    </row>
    <row r="70" customFormat="false" ht="19.5" hidden="false" customHeight="true" outlineLevel="0" collapsed="false">
      <c r="A70" s="100" t="s">
        <v>2381</v>
      </c>
      <c r="B70" s="103"/>
      <c r="C70" s="103"/>
      <c r="D70" s="103"/>
      <c r="E70" s="103"/>
      <c r="F70" s="103"/>
      <c r="G70" s="103"/>
      <c r="H70" s="103"/>
      <c r="I70" s="103"/>
      <c r="J70" s="103"/>
      <c r="K70" s="103"/>
      <c r="L70" s="103"/>
      <c r="M70" s="103"/>
      <c r="N70" s="103"/>
      <c r="O70" s="103"/>
      <c r="P70" s="103"/>
      <c r="Q70" s="103"/>
      <c r="R70" s="103"/>
      <c r="S70" s="103"/>
      <c r="T70" s="103"/>
      <c r="U70" s="103"/>
      <c r="V70" s="103"/>
    </row>
    <row r="71" customFormat="false" ht="19.5" hidden="false" customHeight="true" outlineLevel="0" collapsed="false">
      <c r="A71" s="100" t="s">
        <v>2382</v>
      </c>
      <c r="B71" s="103"/>
      <c r="C71" s="103"/>
      <c r="D71" s="103"/>
      <c r="E71" s="103"/>
      <c r="F71" s="103"/>
      <c r="G71" s="103"/>
      <c r="H71" s="103"/>
      <c r="I71" s="103"/>
      <c r="J71" s="103"/>
      <c r="K71" s="103"/>
      <c r="L71" s="103"/>
      <c r="M71" s="103"/>
      <c r="N71" s="103"/>
      <c r="O71" s="103"/>
      <c r="P71" s="103"/>
      <c r="Q71" s="103"/>
      <c r="R71" s="103"/>
      <c r="S71" s="103"/>
      <c r="T71" s="103"/>
      <c r="U71" s="103"/>
      <c r="V71" s="103"/>
    </row>
    <row r="72" customFormat="false" ht="19.5" hidden="false" customHeight="true" outlineLevel="0" collapsed="false">
      <c r="A72" s="100" t="s">
        <v>2383</v>
      </c>
      <c r="B72" s="103"/>
      <c r="C72" s="103"/>
      <c r="D72" s="103"/>
      <c r="E72" s="103"/>
      <c r="F72" s="103"/>
      <c r="G72" s="103"/>
      <c r="H72" s="103"/>
      <c r="I72" s="103"/>
      <c r="J72" s="103"/>
      <c r="K72" s="103"/>
      <c r="L72" s="103"/>
      <c r="M72" s="103"/>
      <c r="N72" s="103"/>
      <c r="O72" s="103"/>
      <c r="P72" s="103"/>
      <c r="Q72" s="103"/>
      <c r="R72" s="103"/>
      <c r="S72" s="103"/>
      <c r="T72" s="103"/>
      <c r="U72" s="103"/>
      <c r="V72" s="10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99" t="s">
        <v>2384</v>
      </c>
      <c r="B1" s="100"/>
      <c r="C1" s="100"/>
      <c r="D1" s="100"/>
      <c r="E1" s="100"/>
      <c r="F1" s="100"/>
      <c r="G1" s="100"/>
      <c r="H1" s="100"/>
      <c r="I1" s="100"/>
      <c r="J1" s="100"/>
      <c r="K1" s="100"/>
      <c r="L1" s="100"/>
      <c r="M1" s="100"/>
      <c r="N1" s="100"/>
      <c r="O1" s="100"/>
      <c r="P1" s="100"/>
      <c r="Q1" s="100"/>
      <c r="R1" s="100"/>
      <c r="S1" s="100"/>
      <c r="T1" s="100"/>
      <c r="U1" s="100"/>
      <c r="V1" s="100"/>
      <c r="W1" s="100"/>
      <c r="X1" s="100"/>
      <c r="Y1" s="100"/>
      <c r="Z1" s="100"/>
    </row>
    <row r="2" customFormat="false" ht="19.5" hidden="false" customHeight="true" outlineLevel="0" collapsed="false">
      <c r="A2" s="101" t="s">
        <v>2385</v>
      </c>
      <c r="B2" s="100"/>
      <c r="C2" s="100"/>
      <c r="D2" s="100"/>
      <c r="E2" s="100"/>
      <c r="F2" s="100"/>
      <c r="G2" s="100"/>
      <c r="H2" s="100"/>
      <c r="I2" s="100"/>
      <c r="J2" s="100"/>
      <c r="K2" s="100"/>
      <c r="L2" s="100"/>
      <c r="M2" s="100"/>
      <c r="N2" s="100"/>
      <c r="O2" s="100"/>
      <c r="P2" s="100"/>
      <c r="Q2" s="100"/>
      <c r="R2" s="100"/>
      <c r="S2" s="100"/>
      <c r="T2" s="100"/>
      <c r="U2" s="100"/>
      <c r="V2" s="100"/>
      <c r="W2" s="100"/>
      <c r="X2" s="100"/>
      <c r="Y2" s="100"/>
      <c r="Z2" s="100"/>
    </row>
    <row r="3" customFormat="false" ht="19.5" hidden="false" customHeight="true" outlineLevel="0" collapsed="false">
      <c r="A3" s="100" t="s">
        <v>2039</v>
      </c>
      <c r="B3" s="100"/>
      <c r="C3" s="100"/>
      <c r="D3" s="100"/>
      <c r="E3" s="119" t="str">
        <f aca="false">Levers!F4</f>
        <v>Story case</v>
      </c>
      <c r="F3" s="100"/>
      <c r="G3" s="100"/>
      <c r="H3" s="100"/>
      <c r="I3" s="100"/>
      <c r="J3" s="100"/>
      <c r="K3" s="100"/>
      <c r="L3" s="100"/>
      <c r="M3" s="100"/>
      <c r="N3" s="100"/>
      <c r="O3" s="100"/>
      <c r="P3" s="100"/>
      <c r="Q3" s="100"/>
      <c r="R3" s="100"/>
      <c r="S3" s="100"/>
      <c r="T3" s="100"/>
      <c r="U3" s="100"/>
      <c r="V3" s="100"/>
      <c r="W3" s="100"/>
      <c r="X3" s="100"/>
      <c r="Y3" s="100"/>
      <c r="Z3" s="100"/>
    </row>
    <row r="4" customFormat="false" ht="19.5" hidden="false" customHeight="true" outlineLevel="0" collapsed="false">
      <c r="A4" s="100"/>
      <c r="B4" s="100"/>
      <c r="C4" s="100"/>
      <c r="D4" s="100"/>
      <c r="E4" s="100"/>
      <c r="F4" s="100"/>
      <c r="G4" s="100"/>
      <c r="H4" s="100"/>
      <c r="I4" s="100"/>
      <c r="J4" s="100"/>
      <c r="K4" s="100"/>
      <c r="L4" s="100"/>
      <c r="M4" s="100"/>
      <c r="N4" s="100"/>
      <c r="O4" s="100"/>
      <c r="P4" s="100"/>
      <c r="Q4" s="100"/>
      <c r="R4" s="100"/>
      <c r="S4" s="100"/>
      <c r="T4" s="100"/>
      <c r="U4" s="100"/>
      <c r="V4" s="100"/>
      <c r="W4" s="100"/>
      <c r="X4" s="100"/>
      <c r="Y4" s="100"/>
      <c r="Z4" s="100"/>
    </row>
    <row r="5" customFormat="false" ht="57.75" hidden="false" customHeight="true" outlineLevel="0" collapsed="false">
      <c r="A5" s="76" t="s">
        <v>103</v>
      </c>
      <c r="B5" s="113" t="s">
        <v>2386</v>
      </c>
      <c r="C5" s="113" t="s">
        <v>2387</v>
      </c>
      <c r="D5" s="113" t="s">
        <v>2388</v>
      </c>
      <c r="E5" s="113" t="s">
        <v>2389</v>
      </c>
      <c r="F5" s="113" t="s">
        <v>2390</v>
      </c>
      <c r="G5" s="113" t="s">
        <v>2391</v>
      </c>
      <c r="H5" s="113" t="s">
        <v>2392</v>
      </c>
      <c r="I5" s="113" t="s">
        <v>2393</v>
      </c>
      <c r="J5" s="113" t="s">
        <v>2394</v>
      </c>
      <c r="K5" s="113" t="s">
        <v>2395</v>
      </c>
      <c r="L5" s="113" t="s">
        <v>2396</v>
      </c>
      <c r="M5" s="113" t="s">
        <v>2397</v>
      </c>
      <c r="N5" s="113" t="s">
        <v>2398</v>
      </c>
      <c r="O5" s="113" t="s">
        <v>2399</v>
      </c>
      <c r="P5" s="113" t="s">
        <v>2400</v>
      </c>
      <c r="Q5" s="113" t="s">
        <v>2401</v>
      </c>
      <c r="R5" s="113" t="s">
        <v>2402</v>
      </c>
      <c r="S5" s="113" t="s">
        <v>2403</v>
      </c>
      <c r="T5" s="113" t="s">
        <v>2404</v>
      </c>
      <c r="U5" s="113" t="s">
        <v>2405</v>
      </c>
      <c r="V5" s="113" t="s">
        <v>2406</v>
      </c>
      <c r="W5" s="113" t="s">
        <v>2407</v>
      </c>
      <c r="X5" s="113" t="s">
        <v>2408</v>
      </c>
      <c r="Y5" s="113" t="s">
        <v>2409</v>
      </c>
      <c r="Z5" s="113" t="s">
        <v>2410</v>
      </c>
    </row>
    <row r="6" customFormat="false" ht="19.5" hidden="false" customHeight="true" outlineLevel="0" collapsed="false">
      <c r="A6" s="111" t="n">
        <v>1846</v>
      </c>
      <c r="B6" s="107" t="n">
        <f aca="false">0</f>
        <v>0</v>
      </c>
      <c r="C6" s="122" t="n">
        <f aca="false">Champions!AY6-Champions!Q6</f>
        <v>0</v>
      </c>
      <c r="D6" s="107" t="n">
        <f aca="false">MAX(0,C6-B6)</f>
        <v>0</v>
      </c>
      <c r="E6" s="107" t="n">
        <f aca="false">MAX(0,B6-C6)</f>
        <v>0</v>
      </c>
      <c r="F6" s="123" t="n">
        <f aca="false">B6+D6-E6-C6</f>
        <v>0</v>
      </c>
      <c r="G6" s="107" t="n">
        <f aca="false">0</f>
        <v>0</v>
      </c>
      <c r="H6" s="122" t="n">
        <f aca="false">Champions!Q6</f>
        <v>0</v>
      </c>
      <c r="I6" s="107" t="n">
        <f aca="false">H6-G6</f>
        <v>0</v>
      </c>
      <c r="J6" s="122" t="n">
        <f aca="false">MAX(0,Champions!BA6)*(1-crown_payout)</f>
        <v>0</v>
      </c>
      <c r="K6" s="122" t="n">
        <f aca="false">J6*'Sources &amp; uses'!$E$28</f>
        <v>0</v>
      </c>
      <c r="L6" s="107" t="n">
        <f aca="false">ABS('Champion funding'!S6)</f>
        <v>0</v>
      </c>
      <c r="M6" s="122" t="n">
        <f aca="false">Abroad!C6+Abroad!D6</f>
        <v>0.03820065</v>
      </c>
      <c r="N6" s="122" t="n">
        <f aca="false">Abroad!F6</f>
        <v>0</v>
      </c>
      <c r="O6" s="122" t="n">
        <f aca="false">Abroad!G6</f>
        <v>0</v>
      </c>
      <c r="P6" s="122" t="n">
        <f aca="false">Abroad!H6</f>
        <v>0.03820065</v>
      </c>
      <c r="Q6" s="122" t="n">
        <f aca="false">Abroad!S6</f>
        <v>0</v>
      </c>
      <c r="R6" s="122" t="n">
        <f aca="false">Abroad!C6-Q6</f>
        <v>0.03820065</v>
      </c>
      <c r="S6" s="107" t="n">
        <f aca="false">0</f>
        <v>0</v>
      </c>
      <c r="T6" s="122" t="n">
        <f aca="false">P6-'War credit'!T6-Abroad!U6-S6</f>
        <v>0.03820065</v>
      </c>
      <c r="U6" s="107" t="str">
        <f aca="false">IF(A6=1901,"Carnegie Steel bought for $480m in Pacifica Steel 5% gold bonds and 7% preference shares","No separately priced acquisition")</f>
        <v>No separately priced acquisition</v>
      </c>
      <c r="V6" s="107" t="n">
        <f aca="false">0</f>
        <v>0</v>
      </c>
      <c r="W6" s="107" t="n">
        <f aca="false">V6+K6</f>
        <v>0</v>
      </c>
      <c r="X6" s="107" t="n">
        <f aca="false">MIN('Champion funding'!D6-'Champion funding'!F6,W6)</f>
        <v>0</v>
      </c>
      <c r="Y6" s="107" t="n">
        <f aca="false">W6-X6</f>
        <v>0</v>
      </c>
      <c r="Z6" s="123" t="n">
        <f aca="false">V6+K6-X6-Y6</f>
        <v>0</v>
      </c>
    </row>
    <row r="7" customFormat="false" ht="19.5" hidden="false" customHeight="true" outlineLevel="0" collapsed="false">
      <c r="A7" s="111" t="n">
        <v>1847</v>
      </c>
      <c r="B7" s="107" t="n">
        <f aca="false">C6</f>
        <v>0</v>
      </c>
      <c r="C7" s="122" t="n">
        <f aca="false">Champions!AY7-Champions!Q7</f>
        <v>0</v>
      </c>
      <c r="D7" s="107" t="n">
        <f aca="false">MAX(0,C7-B7)</f>
        <v>0</v>
      </c>
      <c r="E7" s="107" t="n">
        <f aca="false">MAX(0,B7-C7)</f>
        <v>0</v>
      </c>
      <c r="F7" s="123" t="n">
        <f aca="false">B7+D7-E7-C7</f>
        <v>0</v>
      </c>
      <c r="G7" s="107" t="n">
        <f aca="false">H6</f>
        <v>0</v>
      </c>
      <c r="H7" s="122" t="n">
        <f aca="false">Champions!Q7</f>
        <v>0</v>
      </c>
      <c r="I7" s="107" t="n">
        <f aca="false">H7-G7</f>
        <v>0</v>
      </c>
      <c r="J7" s="122" t="n">
        <f aca="false">MAX(0,Champions!BA7)*(1-crown_payout)</f>
        <v>0</v>
      </c>
      <c r="K7" s="122" t="n">
        <f aca="false">J7*'Sources &amp; uses'!$E$28</f>
        <v>0</v>
      </c>
      <c r="L7" s="107" t="n">
        <f aca="false">ABS('Champion funding'!S7)</f>
        <v>0</v>
      </c>
      <c r="M7" s="122" t="n">
        <f aca="false">Abroad!C7+Abroad!D7</f>
        <v>0.04078636614</v>
      </c>
      <c r="N7" s="122" t="n">
        <f aca="false">Abroad!F7</f>
        <v>0.0011460195</v>
      </c>
      <c r="O7" s="122" t="n">
        <f aca="false">Abroad!G7</f>
        <v>0</v>
      </c>
      <c r="P7" s="122" t="n">
        <f aca="false">Abroad!H7</f>
        <v>0.07784099664</v>
      </c>
      <c r="Q7" s="122" t="n">
        <f aca="false">Abroad!S7</f>
        <v>0</v>
      </c>
      <c r="R7" s="122" t="n">
        <f aca="false">Abroad!C7-Q7</f>
        <v>0.04078636614</v>
      </c>
      <c r="S7" s="107" t="n">
        <f aca="false">0</f>
        <v>0</v>
      </c>
      <c r="T7" s="122" t="n">
        <f aca="false">P7-'War credit'!T7-Abroad!U7-S7</f>
        <v>0.07784099664</v>
      </c>
      <c r="U7" s="107" t="str">
        <f aca="false">IF(A7=1901,"Carnegie Steel bought for $480m in Pacifica Steel 5% gold bonds and 7% preference shares","No separately priced acquisition")</f>
        <v>No separately priced acquisition</v>
      </c>
      <c r="V7" s="107" t="n">
        <f aca="false">Y6</f>
        <v>0</v>
      </c>
      <c r="W7" s="107" t="n">
        <f aca="false">V7+K7</f>
        <v>0</v>
      </c>
      <c r="X7" s="107" t="n">
        <f aca="false">MIN('Champion funding'!D7-'Champion funding'!F7,W7)</f>
        <v>0</v>
      </c>
      <c r="Y7" s="107" t="n">
        <f aca="false">W7-X7</f>
        <v>0</v>
      </c>
      <c r="Z7" s="123" t="n">
        <f aca="false">V7+K7-X7-Y7</f>
        <v>0</v>
      </c>
    </row>
    <row r="8" customFormat="false" ht="19.5" hidden="false" customHeight="true" outlineLevel="0" collapsed="false">
      <c r="A8" s="111" t="n">
        <v>1848</v>
      </c>
      <c r="B8" s="107" t="n">
        <f aca="false">C7</f>
        <v>0</v>
      </c>
      <c r="C8" s="122" t="n">
        <f aca="false">Champions!AY8-Champions!Q8</f>
        <v>0</v>
      </c>
      <c r="D8" s="107" t="n">
        <f aca="false">MAX(0,C8-B8)</f>
        <v>0</v>
      </c>
      <c r="E8" s="107" t="n">
        <f aca="false">MAX(0,B8-C8)</f>
        <v>0</v>
      </c>
      <c r="F8" s="123" t="n">
        <f aca="false">B8+D8-E8-C8</f>
        <v>0</v>
      </c>
      <c r="G8" s="107" t="n">
        <f aca="false">H7</f>
        <v>0</v>
      </c>
      <c r="H8" s="122" t="n">
        <f aca="false">Champions!Q8</f>
        <v>0</v>
      </c>
      <c r="I8" s="107" t="n">
        <f aca="false">H8-G8</f>
        <v>0</v>
      </c>
      <c r="J8" s="122" t="n">
        <f aca="false">MAX(0,Champions!BA8)*(1-crown_payout)</f>
        <v>0</v>
      </c>
      <c r="K8" s="122" t="n">
        <f aca="false">J8*'Sources &amp; uses'!$E$28</f>
        <v>0</v>
      </c>
      <c r="L8" s="107" t="n">
        <f aca="false">ABS('Champion funding'!S8)</f>
        <v>0</v>
      </c>
      <c r="M8" s="122" t="n">
        <f aca="false">Abroad!C8+Abroad!D8</f>
        <v>0.0586323490091648</v>
      </c>
      <c r="N8" s="122" t="n">
        <f aca="false">Abroad!F8</f>
        <v>0.0023352298992</v>
      </c>
      <c r="O8" s="122" t="n">
        <f aca="false">Abroad!G8</f>
        <v>0</v>
      </c>
      <c r="P8" s="122" t="n">
        <f aca="false">Abroad!H8</f>
        <v>0.134138115749965</v>
      </c>
      <c r="Q8" s="122" t="n">
        <f aca="false">Abroad!S8</f>
        <v>0</v>
      </c>
      <c r="R8" s="122" t="n">
        <f aca="false">Abroad!C8-Q8</f>
        <v>0.0586323490091648</v>
      </c>
      <c r="S8" s="107" t="n">
        <f aca="false">0</f>
        <v>0</v>
      </c>
      <c r="T8" s="122" t="n">
        <f aca="false">P8-'War credit'!T8-Abroad!U8-S8</f>
        <v>0.134138115749965</v>
      </c>
      <c r="U8" s="107" t="str">
        <f aca="false">IF(A8=1901,"Carnegie Steel bought for $480m in Pacifica Steel 5% gold bonds and 7% preference shares","No separately priced acquisition")</f>
        <v>No separately priced acquisition</v>
      </c>
      <c r="V8" s="107" t="n">
        <f aca="false">Y7</f>
        <v>0</v>
      </c>
      <c r="W8" s="107" t="n">
        <f aca="false">V8+K8</f>
        <v>0</v>
      </c>
      <c r="X8" s="107" t="n">
        <f aca="false">MIN('Champion funding'!D8-'Champion funding'!F8,W8)</f>
        <v>0</v>
      </c>
      <c r="Y8" s="107" t="n">
        <f aca="false">W8-X8</f>
        <v>0</v>
      </c>
      <c r="Z8" s="123" t="n">
        <f aca="false">V8+K8-X8-Y8</f>
        <v>0</v>
      </c>
    </row>
    <row r="9" customFormat="false" ht="19.5" hidden="false" customHeight="true" outlineLevel="0" collapsed="false">
      <c r="A9" s="111" t="n">
        <v>1849</v>
      </c>
      <c r="B9" s="107" t="n">
        <f aca="false">C8</f>
        <v>0</v>
      </c>
      <c r="C9" s="122" t="n">
        <f aca="false">Champions!AY9-Champions!Q9</f>
        <v>0</v>
      </c>
      <c r="D9" s="107" t="n">
        <f aca="false">MAX(0,C9-B9)</f>
        <v>0</v>
      </c>
      <c r="E9" s="107" t="n">
        <f aca="false">MAX(0,B9-C9)</f>
        <v>0</v>
      </c>
      <c r="F9" s="123" t="n">
        <f aca="false">B9+D9-E9-C9</f>
        <v>0</v>
      </c>
      <c r="G9" s="107" t="n">
        <f aca="false">H8</f>
        <v>0</v>
      </c>
      <c r="H9" s="122" t="n">
        <f aca="false">Champions!Q9</f>
        <v>0</v>
      </c>
      <c r="I9" s="107" t="n">
        <f aca="false">H9-G9</f>
        <v>0</v>
      </c>
      <c r="J9" s="122" t="n">
        <f aca="false">MAX(0,Champions!BA9)*(1-crown_payout)</f>
        <v>0</v>
      </c>
      <c r="K9" s="122" t="n">
        <f aca="false">J9*'Sources &amp; uses'!$E$28</f>
        <v>0</v>
      </c>
      <c r="L9" s="107" t="n">
        <f aca="false">ABS('Champion funding'!S9)</f>
        <v>0</v>
      </c>
      <c r="M9" s="122" t="n">
        <f aca="false">Abroad!C9+Abroad!D9</f>
        <v>0.140806614282069</v>
      </c>
      <c r="N9" s="122" t="n">
        <f aca="false">Abroad!F9</f>
        <v>0.00402414347249894</v>
      </c>
      <c r="O9" s="122" t="n">
        <f aca="false">Abroad!G9</f>
        <v>0</v>
      </c>
      <c r="P9" s="122" t="n">
        <f aca="false">Abroad!H9</f>
        <v>0.270920586559535</v>
      </c>
      <c r="Q9" s="122" t="n">
        <f aca="false">Abroad!S9</f>
        <v>0</v>
      </c>
      <c r="R9" s="122" t="n">
        <f aca="false">Abroad!C9-Q9</f>
        <v>0.140806614282069</v>
      </c>
      <c r="S9" s="107" t="n">
        <f aca="false">0</f>
        <v>0</v>
      </c>
      <c r="T9" s="122" t="n">
        <f aca="false">P9-'War credit'!T9-Abroad!U9-S9</f>
        <v>0.270920586559535</v>
      </c>
      <c r="U9" s="107" t="str">
        <f aca="false">IF(A9=1901,"Carnegie Steel bought for $480m in Pacifica Steel 5% gold bonds and 7% preference shares","No separately priced acquisition")</f>
        <v>No separately priced acquisition</v>
      </c>
      <c r="V9" s="107" t="n">
        <f aca="false">Y8</f>
        <v>0</v>
      </c>
      <c r="W9" s="107" t="n">
        <f aca="false">V9+K9</f>
        <v>0</v>
      </c>
      <c r="X9" s="107" t="n">
        <f aca="false">MIN('Champion funding'!D9-'Champion funding'!F9,W9)</f>
        <v>0</v>
      </c>
      <c r="Y9" s="107" t="n">
        <f aca="false">W9-X9</f>
        <v>0</v>
      </c>
      <c r="Z9" s="123" t="n">
        <f aca="false">V9+K9-X9-Y9</f>
        <v>0</v>
      </c>
    </row>
    <row r="10" customFormat="false" ht="19.5" hidden="false" customHeight="true" outlineLevel="0" collapsed="false">
      <c r="A10" s="111" t="n">
        <v>1850</v>
      </c>
      <c r="B10" s="107" t="n">
        <f aca="false">C9</f>
        <v>0</v>
      </c>
      <c r="C10" s="122" t="n">
        <f aca="false">Champions!AY10-Champions!Q10</f>
        <v>0</v>
      </c>
      <c r="D10" s="107" t="n">
        <f aca="false">MAX(0,C10-B10)</f>
        <v>0</v>
      </c>
      <c r="E10" s="107" t="n">
        <f aca="false">MAX(0,B10-C10)</f>
        <v>0</v>
      </c>
      <c r="F10" s="123" t="n">
        <f aca="false">B10+D10-E10-C10</f>
        <v>0</v>
      </c>
      <c r="G10" s="107" t="n">
        <f aca="false">H9</f>
        <v>0</v>
      </c>
      <c r="H10" s="122" t="n">
        <f aca="false">Champions!Q10</f>
        <v>0</v>
      </c>
      <c r="I10" s="107" t="n">
        <f aca="false">H10-G10</f>
        <v>0</v>
      </c>
      <c r="J10" s="122" t="n">
        <f aca="false">MAX(0,Champions!BA10)*(1-crown_payout)</f>
        <v>0</v>
      </c>
      <c r="K10" s="122" t="n">
        <f aca="false">J10*'Sources &amp; uses'!$E$28</f>
        <v>0</v>
      </c>
      <c r="L10" s="107" t="n">
        <f aca="false">ABS('Champion funding'!S10)</f>
        <v>0</v>
      </c>
      <c r="M10" s="122" t="n">
        <f aca="false">Abroad!C10+Abroad!D10</f>
        <v>0.154676065105506</v>
      </c>
      <c r="N10" s="122" t="n">
        <f aca="false">Abroad!F10</f>
        <v>0.00812761759678604</v>
      </c>
      <c r="O10" s="122" t="n">
        <f aca="false">Abroad!G10</f>
        <v>0</v>
      </c>
      <c r="P10" s="122" t="n">
        <f aca="false">Abroad!H10</f>
        <v>0.417469034068255</v>
      </c>
      <c r="Q10" s="122" t="n">
        <f aca="false">Abroad!S10</f>
        <v>0</v>
      </c>
      <c r="R10" s="122" t="n">
        <f aca="false">Abroad!C10-Q10</f>
        <v>0.154676065105506</v>
      </c>
      <c r="S10" s="107" t="n">
        <f aca="false">0</f>
        <v>0</v>
      </c>
      <c r="T10" s="122" t="n">
        <f aca="false">P10-'War credit'!T10-Abroad!U10-S10</f>
        <v>0.417469034068255</v>
      </c>
      <c r="U10" s="107" t="str">
        <f aca="false">IF(A10=1901,"Carnegie Steel bought for $480m in Pacifica Steel 5% gold bonds and 7% preference shares","No separately priced acquisition")</f>
        <v>No separately priced acquisition</v>
      </c>
      <c r="V10" s="107" t="n">
        <f aca="false">Y9</f>
        <v>0</v>
      </c>
      <c r="W10" s="107" t="n">
        <f aca="false">V10+K10</f>
        <v>0</v>
      </c>
      <c r="X10" s="107" t="n">
        <f aca="false">MIN('Champion funding'!D10-'Champion funding'!F10,W10)</f>
        <v>0</v>
      </c>
      <c r="Y10" s="107" t="n">
        <f aca="false">W10-X10</f>
        <v>0</v>
      </c>
      <c r="Z10" s="123" t="n">
        <f aca="false">V10+K10-X10-Y10</f>
        <v>0</v>
      </c>
    </row>
    <row r="11" customFormat="false" ht="19.5" hidden="false" customHeight="true" outlineLevel="0" collapsed="false">
      <c r="A11" s="111" t="n">
        <v>1851</v>
      </c>
      <c r="B11" s="107" t="n">
        <f aca="false">C10</f>
        <v>0</v>
      </c>
      <c r="C11" s="122" t="n">
        <f aca="false">Champions!AY11-Champions!Q11</f>
        <v>0</v>
      </c>
      <c r="D11" s="107" t="n">
        <f aca="false">MAX(0,C11-B11)</f>
        <v>0</v>
      </c>
      <c r="E11" s="107" t="n">
        <f aca="false">MAX(0,B11-C11)</f>
        <v>0</v>
      </c>
      <c r="F11" s="123" t="n">
        <f aca="false">B11+D11-E11-C11</f>
        <v>0</v>
      </c>
      <c r="G11" s="107" t="n">
        <f aca="false">H10</f>
        <v>0</v>
      </c>
      <c r="H11" s="122" t="n">
        <f aca="false">Champions!Q11</f>
        <v>0</v>
      </c>
      <c r="I11" s="107" t="n">
        <f aca="false">H11-G11</f>
        <v>0</v>
      </c>
      <c r="J11" s="122" t="n">
        <f aca="false">MAX(0,Champions!BA11)*(1-crown_payout)</f>
        <v>0</v>
      </c>
      <c r="K11" s="122" t="n">
        <f aca="false">J11*'Sources &amp; uses'!$E$28</f>
        <v>0</v>
      </c>
      <c r="L11" s="107" t="n">
        <f aca="false">ABS('Champion funding'!S11)</f>
        <v>0</v>
      </c>
      <c r="M11" s="122" t="n">
        <f aca="false">Abroad!C11+Abroad!D11</f>
        <v>0.211387813064332</v>
      </c>
      <c r="N11" s="122" t="n">
        <f aca="false">Abroad!F11</f>
        <v>0.0125240710220476</v>
      </c>
      <c r="O11" s="122" t="n">
        <f aca="false">Abroad!G11</f>
        <v>0</v>
      </c>
      <c r="P11" s="122" t="n">
        <f aca="false">Abroad!H11</f>
        <v>0.616332776110539</v>
      </c>
      <c r="Q11" s="122" t="n">
        <f aca="false">Abroad!S11</f>
        <v>0</v>
      </c>
      <c r="R11" s="122" t="n">
        <f aca="false">Abroad!C11-Q11</f>
        <v>0.211387813064332</v>
      </c>
      <c r="S11" s="107" t="n">
        <f aca="false">0</f>
        <v>0</v>
      </c>
      <c r="T11" s="122" t="n">
        <f aca="false">P11-'War credit'!T11-Abroad!U11-S11</f>
        <v>0.616332776110539</v>
      </c>
      <c r="U11" s="107" t="str">
        <f aca="false">IF(A11=1901,"Carnegie Steel bought for $480m in Pacifica Steel 5% gold bonds and 7% preference shares","No separately priced acquisition")</f>
        <v>No separately priced acquisition</v>
      </c>
      <c r="V11" s="107" t="n">
        <f aca="false">Y10</f>
        <v>0</v>
      </c>
      <c r="W11" s="107" t="n">
        <f aca="false">V11+K11</f>
        <v>0</v>
      </c>
      <c r="X11" s="107" t="n">
        <f aca="false">MIN('Champion funding'!D11-'Champion funding'!F11,W11)</f>
        <v>0</v>
      </c>
      <c r="Y11" s="107" t="n">
        <f aca="false">W11-X11</f>
        <v>0</v>
      </c>
      <c r="Z11" s="123" t="n">
        <f aca="false">V11+K11-X11-Y11</f>
        <v>0</v>
      </c>
    </row>
    <row r="12" customFormat="false" ht="19.5" hidden="false" customHeight="true" outlineLevel="0" collapsed="false">
      <c r="A12" s="111" t="n">
        <v>1852</v>
      </c>
      <c r="B12" s="107" t="n">
        <f aca="false">C11</f>
        <v>0</v>
      </c>
      <c r="C12" s="122" t="n">
        <f aca="false">Champions!AY12-Champions!Q12</f>
        <v>0</v>
      </c>
      <c r="D12" s="107" t="n">
        <f aca="false">MAX(0,C12-B12)</f>
        <v>0</v>
      </c>
      <c r="E12" s="107" t="n">
        <f aca="false">MAX(0,B12-C12)</f>
        <v>0</v>
      </c>
      <c r="F12" s="123" t="n">
        <f aca="false">B12+D12-E12-C12</f>
        <v>0</v>
      </c>
      <c r="G12" s="107" t="n">
        <f aca="false">H11</f>
        <v>0</v>
      </c>
      <c r="H12" s="122" t="n">
        <f aca="false">Champions!Q12</f>
        <v>0</v>
      </c>
      <c r="I12" s="107" t="n">
        <f aca="false">H12-G12</f>
        <v>0</v>
      </c>
      <c r="J12" s="122" t="n">
        <f aca="false">MAX(0,Champions!BA12)*(1-crown_payout)</f>
        <v>0</v>
      </c>
      <c r="K12" s="122" t="n">
        <f aca="false">J12*'Sources &amp; uses'!$E$28</f>
        <v>0</v>
      </c>
      <c r="L12" s="107" t="n">
        <f aca="false">ABS('Champion funding'!S12)</f>
        <v>0</v>
      </c>
      <c r="M12" s="122" t="n">
        <f aca="false">Abroad!C12+Abroad!D12</f>
        <v>0.237604709254293</v>
      </c>
      <c r="N12" s="122" t="n">
        <f aca="false">Abroad!F12</f>
        <v>0.0184899832833162</v>
      </c>
      <c r="O12" s="122" t="n">
        <f aca="false">Abroad!G12</f>
        <v>0</v>
      </c>
      <c r="P12" s="122" t="n">
        <f aca="false">Abroad!H12</f>
        <v>0.835447502081515</v>
      </c>
      <c r="Q12" s="122" t="n">
        <f aca="false">Abroad!S12</f>
        <v>0</v>
      </c>
      <c r="R12" s="122" t="n">
        <f aca="false">Abroad!C12-Q12</f>
        <v>0.237604709254293</v>
      </c>
      <c r="S12" s="107" t="n">
        <f aca="false">0</f>
        <v>0</v>
      </c>
      <c r="T12" s="122" t="n">
        <f aca="false">P12-'War credit'!T12-Abroad!U12-S12</f>
        <v>0.835447502081515</v>
      </c>
      <c r="U12" s="107" t="str">
        <f aca="false">IF(A12=1901,"Carnegie Steel bought for $480m in Pacifica Steel 5% gold bonds and 7% preference shares","No separately priced acquisition")</f>
        <v>No separately priced acquisition</v>
      </c>
      <c r="V12" s="107" t="n">
        <f aca="false">Y11</f>
        <v>0</v>
      </c>
      <c r="W12" s="107" t="n">
        <f aca="false">V12+K12</f>
        <v>0</v>
      </c>
      <c r="X12" s="107" t="n">
        <f aca="false">MIN('Champion funding'!D12-'Champion funding'!F12,W12)</f>
        <v>0</v>
      </c>
      <c r="Y12" s="107" t="n">
        <f aca="false">W12-X12</f>
        <v>0</v>
      </c>
      <c r="Z12" s="123" t="n">
        <f aca="false">V12+K12-X12-Y12</f>
        <v>0</v>
      </c>
    </row>
    <row r="13" customFormat="false" ht="19.5" hidden="false" customHeight="true" outlineLevel="0" collapsed="false">
      <c r="A13" s="111" t="n">
        <v>1853</v>
      </c>
      <c r="B13" s="107" t="n">
        <f aca="false">C12</f>
        <v>0</v>
      </c>
      <c r="C13" s="122" t="n">
        <f aca="false">Champions!AY13-Champions!Q13</f>
        <v>0</v>
      </c>
      <c r="D13" s="107" t="n">
        <f aca="false">MAX(0,C13-B13)</f>
        <v>0</v>
      </c>
      <c r="E13" s="107" t="n">
        <f aca="false">MAX(0,B13-C13)</f>
        <v>0</v>
      </c>
      <c r="F13" s="123" t="n">
        <f aca="false">B13+D13-E13-C13</f>
        <v>0</v>
      </c>
      <c r="G13" s="107" t="n">
        <f aca="false">H12</f>
        <v>0</v>
      </c>
      <c r="H13" s="122" t="n">
        <f aca="false">Champions!Q13</f>
        <v>0</v>
      </c>
      <c r="I13" s="107" t="n">
        <f aca="false">H13-G13</f>
        <v>0</v>
      </c>
      <c r="J13" s="122" t="n">
        <f aca="false">MAX(0,Champions!BA13)*(1-crown_payout)</f>
        <v>0</v>
      </c>
      <c r="K13" s="122" t="n">
        <f aca="false">J13*'Sources &amp; uses'!$E$28</f>
        <v>0</v>
      </c>
      <c r="L13" s="107" t="n">
        <f aca="false">ABS('Champion funding'!S13)</f>
        <v>0</v>
      </c>
      <c r="M13" s="122" t="n">
        <f aca="false">Abroad!C13+Abroad!D13</f>
        <v>0.238429332993259</v>
      </c>
      <c r="N13" s="122" t="n">
        <f aca="false">Abroad!F13</f>
        <v>0.0250634250624455</v>
      </c>
      <c r="O13" s="122" t="n">
        <f aca="false">Abroad!G13</f>
        <v>0</v>
      </c>
      <c r="P13" s="122" t="n">
        <f aca="false">Abroad!H13</f>
        <v>1.04881341001233</v>
      </c>
      <c r="Q13" s="122" t="n">
        <f aca="false">Abroad!S13</f>
        <v>0</v>
      </c>
      <c r="R13" s="122" t="n">
        <f aca="false">Abroad!C13-Q13</f>
        <v>0.238429332993259</v>
      </c>
      <c r="S13" s="107" t="n">
        <f aca="false">0</f>
        <v>0</v>
      </c>
      <c r="T13" s="122" t="n">
        <f aca="false">P13-'War credit'!T13-Abroad!U13-S13</f>
        <v>1.04881341001233</v>
      </c>
      <c r="U13" s="107" t="str">
        <f aca="false">IF(A13=1901,"Carnegie Steel bought for $480m in Pacifica Steel 5% gold bonds and 7% preference shares","No separately priced acquisition")</f>
        <v>No separately priced acquisition</v>
      </c>
      <c r="V13" s="107" t="n">
        <f aca="false">Y12</f>
        <v>0</v>
      </c>
      <c r="W13" s="107" t="n">
        <f aca="false">V13+K13</f>
        <v>0</v>
      </c>
      <c r="X13" s="107" t="n">
        <f aca="false">MIN('Champion funding'!D13-'Champion funding'!F13,W13)</f>
        <v>0</v>
      </c>
      <c r="Y13" s="107" t="n">
        <f aca="false">W13-X13</f>
        <v>0</v>
      </c>
      <c r="Z13" s="123" t="n">
        <f aca="false">V13+K13-X13-Y13</f>
        <v>0</v>
      </c>
    </row>
    <row r="14" customFormat="false" ht="19.5" hidden="false" customHeight="true" outlineLevel="0" collapsed="false">
      <c r="A14" s="111" t="n">
        <v>1854</v>
      </c>
      <c r="B14" s="107" t="n">
        <f aca="false">C13</f>
        <v>0</v>
      </c>
      <c r="C14" s="122" t="n">
        <f aca="false">Champions!AY14-Champions!Q14</f>
        <v>0</v>
      </c>
      <c r="D14" s="107" t="n">
        <f aca="false">MAX(0,C14-B14)</f>
        <v>0</v>
      </c>
      <c r="E14" s="107" t="n">
        <f aca="false">MAX(0,B14-C14)</f>
        <v>0</v>
      </c>
      <c r="F14" s="123" t="n">
        <f aca="false">B14+D14-E14-C14</f>
        <v>0</v>
      </c>
      <c r="G14" s="107" t="n">
        <f aca="false">H13</f>
        <v>0</v>
      </c>
      <c r="H14" s="122" t="n">
        <f aca="false">Champions!Q14</f>
        <v>0</v>
      </c>
      <c r="I14" s="107" t="n">
        <f aca="false">H14-G14</f>
        <v>0</v>
      </c>
      <c r="J14" s="122" t="n">
        <f aca="false">MAX(0,Champions!BA14)*(1-crown_payout)</f>
        <v>0</v>
      </c>
      <c r="K14" s="122" t="n">
        <f aca="false">J14*'Sources &amp; uses'!$E$28</f>
        <v>0</v>
      </c>
      <c r="L14" s="107" t="n">
        <f aca="false">ABS('Champion funding'!S14)</f>
        <v>0</v>
      </c>
      <c r="M14" s="122" t="n">
        <f aca="false">Abroad!C14+Abroad!D14</f>
        <v>0.256582722923421</v>
      </c>
      <c r="N14" s="122" t="n">
        <f aca="false">Abroad!F14</f>
        <v>0.0314644023003699</v>
      </c>
      <c r="O14" s="122" t="n">
        <f aca="false">Abroad!G14</f>
        <v>0</v>
      </c>
      <c r="P14" s="122" t="n">
        <f aca="false">Abroad!H14</f>
        <v>1.27393173063538</v>
      </c>
      <c r="Q14" s="122" t="n">
        <f aca="false">Abroad!S14</f>
        <v>0</v>
      </c>
      <c r="R14" s="122" t="n">
        <f aca="false">Abroad!C14-Q14</f>
        <v>0.256582722923421</v>
      </c>
      <c r="S14" s="107" t="n">
        <f aca="false">0</f>
        <v>0</v>
      </c>
      <c r="T14" s="122" t="n">
        <f aca="false">P14-'War credit'!T14-Abroad!U14-S14</f>
        <v>1.27393173063538</v>
      </c>
      <c r="U14" s="107" t="str">
        <f aca="false">IF(A14=1901,"Carnegie Steel bought for $480m in Pacifica Steel 5% gold bonds and 7% preference shares","No separately priced acquisition")</f>
        <v>No separately priced acquisition</v>
      </c>
      <c r="V14" s="107" t="n">
        <f aca="false">Y13</f>
        <v>0</v>
      </c>
      <c r="W14" s="107" t="n">
        <f aca="false">V14+K14</f>
        <v>0</v>
      </c>
      <c r="X14" s="107" t="n">
        <f aca="false">MIN('Champion funding'!D14-'Champion funding'!F14,W14)</f>
        <v>0</v>
      </c>
      <c r="Y14" s="107" t="n">
        <f aca="false">W14-X14</f>
        <v>0</v>
      </c>
      <c r="Z14" s="123" t="n">
        <f aca="false">V14+K14-X14-Y14</f>
        <v>0</v>
      </c>
    </row>
    <row r="15" customFormat="false" ht="19.5" hidden="false" customHeight="true" outlineLevel="0" collapsed="false">
      <c r="A15" s="111" t="n">
        <v>1855</v>
      </c>
      <c r="B15" s="107" t="n">
        <f aca="false">C14</f>
        <v>0</v>
      </c>
      <c r="C15" s="122" t="n">
        <f aca="false">Champions!AY15-Champions!Q15</f>
        <v>0</v>
      </c>
      <c r="D15" s="107" t="n">
        <f aca="false">MAX(0,C15-B15)</f>
        <v>0</v>
      </c>
      <c r="E15" s="107" t="n">
        <f aca="false">MAX(0,B15-C15)</f>
        <v>0</v>
      </c>
      <c r="F15" s="123" t="n">
        <f aca="false">B15+D15-E15-C15</f>
        <v>0</v>
      </c>
      <c r="G15" s="107" t="n">
        <f aca="false">H14</f>
        <v>0</v>
      </c>
      <c r="H15" s="122" t="n">
        <f aca="false">Champions!Q15</f>
        <v>0</v>
      </c>
      <c r="I15" s="107" t="n">
        <f aca="false">H15-G15</f>
        <v>0</v>
      </c>
      <c r="J15" s="122" t="n">
        <f aca="false">MAX(0,Champions!BA15)*(1-crown_payout)</f>
        <v>0</v>
      </c>
      <c r="K15" s="122" t="n">
        <f aca="false">J15*'Sources &amp; uses'!$E$28</f>
        <v>0</v>
      </c>
      <c r="L15" s="107" t="n">
        <f aca="false">ABS('Champion funding'!S15)</f>
        <v>0</v>
      </c>
      <c r="M15" s="122" t="n">
        <f aca="false">Abroad!C15+Abroad!D15</f>
        <v>0.251576694462801</v>
      </c>
      <c r="N15" s="122" t="n">
        <f aca="false">Abroad!F15</f>
        <v>0.0382179519190614</v>
      </c>
      <c r="O15" s="122" t="n">
        <f aca="false">Abroad!G15</f>
        <v>0</v>
      </c>
      <c r="P15" s="122" t="n">
        <f aca="false">Abroad!H15</f>
        <v>1.48729047317912</v>
      </c>
      <c r="Q15" s="122" t="n">
        <f aca="false">Abroad!S15</f>
        <v>0</v>
      </c>
      <c r="R15" s="122" t="n">
        <f aca="false">Abroad!C15-Q15</f>
        <v>0.251576694462801</v>
      </c>
      <c r="S15" s="107" t="n">
        <f aca="false">0</f>
        <v>0</v>
      </c>
      <c r="T15" s="122" t="n">
        <f aca="false">P15-'War credit'!T15-Abroad!U15-S15</f>
        <v>1.48729047317912</v>
      </c>
      <c r="U15" s="107" t="str">
        <f aca="false">IF(A15=1901,"Carnegie Steel bought for $480m in Pacifica Steel 5% gold bonds and 7% preference shares","No separately priced acquisition")</f>
        <v>No separately priced acquisition</v>
      </c>
      <c r="V15" s="107" t="n">
        <f aca="false">Y14</f>
        <v>0</v>
      </c>
      <c r="W15" s="107" t="n">
        <f aca="false">V15+K15</f>
        <v>0</v>
      </c>
      <c r="X15" s="107" t="n">
        <f aca="false">MIN('Champion funding'!D15-'Champion funding'!F15,W15)</f>
        <v>0</v>
      </c>
      <c r="Y15" s="107" t="n">
        <f aca="false">W15-X15</f>
        <v>0</v>
      </c>
      <c r="Z15" s="123" t="n">
        <f aca="false">V15+K15-X15-Y15</f>
        <v>0</v>
      </c>
    </row>
    <row r="16" customFormat="false" ht="19.5" hidden="false" customHeight="true" outlineLevel="0" collapsed="false">
      <c r="A16" s="111" t="n">
        <v>1856</v>
      </c>
      <c r="B16" s="107" t="n">
        <f aca="false">C15</f>
        <v>0</v>
      </c>
      <c r="C16" s="122" t="n">
        <f aca="false">Champions!AY16-Champions!Q16</f>
        <v>0</v>
      </c>
      <c r="D16" s="107" t="n">
        <f aca="false">MAX(0,C16-B16)</f>
        <v>0</v>
      </c>
      <c r="E16" s="107" t="n">
        <f aca="false">MAX(0,B16-C16)</f>
        <v>0</v>
      </c>
      <c r="F16" s="123" t="n">
        <f aca="false">B16+D16-E16-C16</f>
        <v>0</v>
      </c>
      <c r="G16" s="107" t="n">
        <f aca="false">H15</f>
        <v>0</v>
      </c>
      <c r="H16" s="122" t="n">
        <f aca="false">Champions!Q16</f>
        <v>0</v>
      </c>
      <c r="I16" s="107" t="n">
        <f aca="false">H16-G16</f>
        <v>0</v>
      </c>
      <c r="J16" s="122" t="n">
        <f aca="false">MAX(0,Champions!BA16)*(1-crown_payout)</f>
        <v>0</v>
      </c>
      <c r="K16" s="122" t="n">
        <f aca="false">J16*'Sources &amp; uses'!$E$28</f>
        <v>0</v>
      </c>
      <c r="L16" s="107" t="n">
        <f aca="false">ABS('Champion funding'!S16)</f>
        <v>0</v>
      </c>
      <c r="M16" s="122" t="n">
        <f aca="false">Abroad!C16+Abroad!D16</f>
        <v>0.282997440834694</v>
      </c>
      <c r="N16" s="122" t="n">
        <f aca="false">Abroad!F16</f>
        <v>0.0446187141953736</v>
      </c>
      <c r="O16" s="122" t="n">
        <f aca="false">Abroad!G16</f>
        <v>0</v>
      </c>
      <c r="P16" s="122" t="n">
        <f aca="false">Abroad!H16</f>
        <v>1.72566919981844</v>
      </c>
      <c r="Q16" s="122" t="n">
        <f aca="false">Abroad!S16</f>
        <v>0</v>
      </c>
      <c r="R16" s="122" t="n">
        <f aca="false">Abroad!C16-Q16</f>
        <v>0.282997440834694</v>
      </c>
      <c r="S16" s="107" t="n">
        <f aca="false">0</f>
        <v>0</v>
      </c>
      <c r="T16" s="122" t="n">
        <f aca="false">P16-'War credit'!T16-Abroad!U16-S16</f>
        <v>1.72566919981844</v>
      </c>
      <c r="U16" s="107" t="str">
        <f aca="false">IF(A16=1901,"Carnegie Steel bought for $480m in Pacifica Steel 5% gold bonds and 7% preference shares","No separately priced acquisition")</f>
        <v>No separately priced acquisition</v>
      </c>
      <c r="V16" s="107" t="n">
        <f aca="false">Y15</f>
        <v>0</v>
      </c>
      <c r="W16" s="107" t="n">
        <f aca="false">V16+K16</f>
        <v>0</v>
      </c>
      <c r="X16" s="107" t="n">
        <f aca="false">MIN('Champion funding'!D16-'Champion funding'!F16,W16)</f>
        <v>0</v>
      </c>
      <c r="Y16" s="107" t="n">
        <f aca="false">W16-X16</f>
        <v>0</v>
      </c>
      <c r="Z16" s="123" t="n">
        <f aca="false">V16+K16-X16-Y16</f>
        <v>0</v>
      </c>
    </row>
    <row r="17" customFormat="false" ht="19.5" hidden="false" customHeight="true" outlineLevel="0" collapsed="false">
      <c r="A17" s="111" t="n">
        <v>1857</v>
      </c>
      <c r="B17" s="107" t="n">
        <f aca="false">C16</f>
        <v>0</v>
      </c>
      <c r="C17" s="122" t="n">
        <f aca="false">Champions!AY17-Champions!Q17</f>
        <v>0</v>
      </c>
      <c r="D17" s="107" t="n">
        <f aca="false">MAX(0,C17-B17)</f>
        <v>0</v>
      </c>
      <c r="E17" s="107" t="n">
        <f aca="false">MAX(0,B17-C17)</f>
        <v>0</v>
      </c>
      <c r="F17" s="123" t="n">
        <f aca="false">B17+D17-E17-C17</f>
        <v>0</v>
      </c>
      <c r="G17" s="107" t="n">
        <f aca="false">H16</f>
        <v>0</v>
      </c>
      <c r="H17" s="122" t="n">
        <f aca="false">Champions!Q17</f>
        <v>0</v>
      </c>
      <c r="I17" s="107" t="n">
        <f aca="false">H17-G17</f>
        <v>0</v>
      </c>
      <c r="J17" s="122" t="n">
        <f aca="false">MAX(0,Champions!BA17)*(1-crown_payout)</f>
        <v>0</v>
      </c>
      <c r="K17" s="122" t="n">
        <f aca="false">J17*'Sources &amp; uses'!$E$28</f>
        <v>0</v>
      </c>
      <c r="L17" s="107" t="n">
        <f aca="false">ABS('Champion funding'!S17)</f>
        <v>0</v>
      </c>
      <c r="M17" s="122" t="n">
        <f aca="false">Abroad!C17+Abroad!D17</f>
        <v>0.286924461161801</v>
      </c>
      <c r="N17" s="122" t="n">
        <f aca="false">Abroad!F17</f>
        <v>0.0517700759945532</v>
      </c>
      <c r="O17" s="122" t="n">
        <f aca="false">Abroad!G17</f>
        <v>0</v>
      </c>
      <c r="P17" s="122" t="n">
        <f aca="false">Abroad!H17</f>
        <v>1.96082358498569</v>
      </c>
      <c r="Q17" s="122" t="n">
        <f aca="false">Abroad!S17</f>
        <v>0</v>
      </c>
      <c r="R17" s="122" t="n">
        <f aca="false">Abroad!C17-Q17</f>
        <v>0.286924461161801</v>
      </c>
      <c r="S17" s="107" t="n">
        <f aca="false">0</f>
        <v>0</v>
      </c>
      <c r="T17" s="122" t="n">
        <f aca="false">P17-'War credit'!T17-Abroad!U17-S17</f>
        <v>1.96082358498569</v>
      </c>
      <c r="U17" s="107" t="str">
        <f aca="false">IF(A17=1901,"Carnegie Steel bought for $480m in Pacifica Steel 5% gold bonds and 7% preference shares","No separately priced acquisition")</f>
        <v>No separately priced acquisition</v>
      </c>
      <c r="V17" s="107" t="n">
        <f aca="false">Y16</f>
        <v>0</v>
      </c>
      <c r="W17" s="107" t="n">
        <f aca="false">V17+K17</f>
        <v>0</v>
      </c>
      <c r="X17" s="107" t="n">
        <f aca="false">MIN('Champion funding'!D17-'Champion funding'!F17,W17)</f>
        <v>0</v>
      </c>
      <c r="Y17" s="107" t="n">
        <f aca="false">W17-X17</f>
        <v>0</v>
      </c>
      <c r="Z17" s="123" t="n">
        <f aca="false">V17+K17-X17-Y17</f>
        <v>0</v>
      </c>
    </row>
    <row r="18" customFormat="false" ht="19.5" hidden="false" customHeight="true" outlineLevel="0" collapsed="false">
      <c r="A18" s="111" t="n">
        <v>1858</v>
      </c>
      <c r="B18" s="107" t="n">
        <f aca="false">C17</f>
        <v>0</v>
      </c>
      <c r="C18" s="122" t="n">
        <f aca="false">Champions!AY18-Champions!Q18</f>
        <v>0</v>
      </c>
      <c r="D18" s="107" t="n">
        <f aca="false">MAX(0,C18-B18)</f>
        <v>0</v>
      </c>
      <c r="E18" s="107" t="n">
        <f aca="false">MAX(0,B18-C18)</f>
        <v>0</v>
      </c>
      <c r="F18" s="123" t="n">
        <f aca="false">B18+D18-E18-C18</f>
        <v>0</v>
      </c>
      <c r="G18" s="107" t="n">
        <f aca="false">H17</f>
        <v>0</v>
      </c>
      <c r="H18" s="122" t="n">
        <f aca="false">Champions!Q18</f>
        <v>0</v>
      </c>
      <c r="I18" s="107" t="n">
        <f aca="false">H18-G18</f>
        <v>0</v>
      </c>
      <c r="J18" s="122" t="n">
        <f aca="false">MAX(0,Champions!BA18)*(1-crown_payout)</f>
        <v>0</v>
      </c>
      <c r="K18" s="122" t="n">
        <f aca="false">J18*'Sources &amp; uses'!$E$28</f>
        <v>0</v>
      </c>
      <c r="L18" s="107" t="n">
        <f aca="false">ABS('Champion funding'!S18)</f>
        <v>0</v>
      </c>
      <c r="M18" s="122" t="n">
        <f aca="false">Abroad!C18+Abroad!D18</f>
        <v>0.31131061676365</v>
      </c>
      <c r="N18" s="122" t="n">
        <f aca="false">Abroad!F18</f>
        <v>0.0588247075495707</v>
      </c>
      <c r="O18" s="122" t="n">
        <f aca="false">Abroad!G18</f>
        <v>0</v>
      </c>
      <c r="P18" s="122" t="n">
        <f aca="false">Abroad!H18</f>
        <v>2.21330949419977</v>
      </c>
      <c r="Q18" s="122" t="n">
        <f aca="false">Abroad!S18</f>
        <v>0</v>
      </c>
      <c r="R18" s="122" t="n">
        <f aca="false">Abroad!C18-Q18</f>
        <v>0.31131061676365</v>
      </c>
      <c r="S18" s="107" t="n">
        <f aca="false">0</f>
        <v>0</v>
      </c>
      <c r="T18" s="122" t="n">
        <f aca="false">P18-'War credit'!T18-Abroad!U18-S18</f>
        <v>2.21330949419977</v>
      </c>
      <c r="U18" s="107" t="str">
        <f aca="false">IF(A18=1901,"Carnegie Steel bought for $480m in Pacifica Steel 5% gold bonds and 7% preference shares","No separately priced acquisition")</f>
        <v>No separately priced acquisition</v>
      </c>
      <c r="V18" s="107" t="n">
        <f aca="false">Y17</f>
        <v>0</v>
      </c>
      <c r="W18" s="107" t="n">
        <f aca="false">V18+K18</f>
        <v>0</v>
      </c>
      <c r="X18" s="107" t="n">
        <f aca="false">MIN('Champion funding'!D18-'Champion funding'!F18,W18)</f>
        <v>0</v>
      </c>
      <c r="Y18" s="107" t="n">
        <f aca="false">W18-X18</f>
        <v>0</v>
      </c>
      <c r="Z18" s="123" t="n">
        <f aca="false">V18+K18-X18-Y18</f>
        <v>0</v>
      </c>
    </row>
    <row r="19" customFormat="false" ht="19.5" hidden="false" customHeight="true" outlineLevel="0" collapsed="false">
      <c r="A19" s="111" t="n">
        <v>1859</v>
      </c>
      <c r="B19" s="107" t="n">
        <f aca="false">C18</f>
        <v>0</v>
      </c>
      <c r="C19" s="122" t="n">
        <f aca="false">Champions!AY19-Champions!Q19</f>
        <v>0</v>
      </c>
      <c r="D19" s="107" t="n">
        <f aca="false">MAX(0,C19-B19)</f>
        <v>0</v>
      </c>
      <c r="E19" s="107" t="n">
        <f aca="false">MAX(0,B19-C19)</f>
        <v>0</v>
      </c>
      <c r="F19" s="123" t="n">
        <f aca="false">B19+D19-E19-C19</f>
        <v>0</v>
      </c>
      <c r="G19" s="107" t="n">
        <f aca="false">H18</f>
        <v>0</v>
      </c>
      <c r="H19" s="122" t="n">
        <f aca="false">Champions!Q19</f>
        <v>0</v>
      </c>
      <c r="I19" s="107" t="n">
        <f aca="false">H19-G19</f>
        <v>0</v>
      </c>
      <c r="J19" s="122" t="n">
        <f aca="false">MAX(0,Champions!BA19)*(1-crown_payout)</f>
        <v>0</v>
      </c>
      <c r="K19" s="122" t="n">
        <f aca="false">J19*'Sources &amp; uses'!$E$28</f>
        <v>0</v>
      </c>
      <c r="L19" s="107" t="n">
        <f aca="false">ABS('Champion funding'!S19)</f>
        <v>0</v>
      </c>
      <c r="M19" s="122" t="n">
        <f aca="false">Abroad!C19+Abroad!D19</f>
        <v>0.332095564259886</v>
      </c>
      <c r="N19" s="122" t="n">
        <f aca="false">Abroad!F19</f>
        <v>0.066399284825993</v>
      </c>
      <c r="O19" s="122" t="n">
        <f aca="false">Abroad!G19</f>
        <v>0</v>
      </c>
      <c r="P19" s="122" t="n">
        <f aca="false">Abroad!H19</f>
        <v>2.47900577363366</v>
      </c>
      <c r="Q19" s="122" t="n">
        <f aca="false">Abroad!S19</f>
        <v>0</v>
      </c>
      <c r="R19" s="122" t="n">
        <f aca="false">Abroad!C19-Q19</f>
        <v>0.332095564259886</v>
      </c>
      <c r="S19" s="107" t="n">
        <f aca="false">0</f>
        <v>0</v>
      </c>
      <c r="T19" s="122" t="n">
        <f aca="false">P19-'War credit'!T19-Abroad!U19-S19</f>
        <v>2.47900577363366</v>
      </c>
      <c r="U19" s="107" t="str">
        <f aca="false">IF(A19=1901,"Carnegie Steel bought for $480m in Pacifica Steel 5% gold bonds and 7% preference shares","No separately priced acquisition")</f>
        <v>No separately priced acquisition</v>
      </c>
      <c r="V19" s="107" t="n">
        <f aca="false">Y18</f>
        <v>0</v>
      </c>
      <c r="W19" s="107" t="n">
        <f aca="false">V19+K19</f>
        <v>0</v>
      </c>
      <c r="X19" s="107" t="n">
        <f aca="false">MIN('Champion funding'!D19-'Champion funding'!F19,W19)</f>
        <v>0</v>
      </c>
      <c r="Y19" s="107" t="n">
        <f aca="false">W19-X19</f>
        <v>0</v>
      </c>
      <c r="Z19" s="123" t="n">
        <f aca="false">V19+K19-X19-Y19</f>
        <v>0</v>
      </c>
    </row>
    <row r="20" customFormat="false" ht="19.5" hidden="false" customHeight="true" outlineLevel="0" collapsed="false">
      <c r="A20" s="111" t="n">
        <v>1860</v>
      </c>
      <c r="B20" s="107" t="n">
        <f aca="false">C19</f>
        <v>0</v>
      </c>
      <c r="C20" s="122" t="n">
        <f aca="false">Champions!AY20-Champions!Q20</f>
        <v>0</v>
      </c>
      <c r="D20" s="107" t="n">
        <f aca="false">MAX(0,C20-B20)</f>
        <v>0</v>
      </c>
      <c r="E20" s="107" t="n">
        <f aca="false">MAX(0,B20-C20)</f>
        <v>0</v>
      </c>
      <c r="F20" s="123" t="n">
        <f aca="false">B20+D20-E20-C20</f>
        <v>0</v>
      </c>
      <c r="G20" s="107" t="n">
        <f aca="false">H19</f>
        <v>0</v>
      </c>
      <c r="H20" s="122" t="n">
        <f aca="false">Champions!Q20</f>
        <v>0</v>
      </c>
      <c r="I20" s="107" t="n">
        <f aca="false">H20-G20</f>
        <v>0</v>
      </c>
      <c r="J20" s="122" t="n">
        <f aca="false">MAX(0,Champions!BA20)*(1-crown_payout)</f>
        <v>0.1</v>
      </c>
      <c r="K20" s="122" t="n">
        <f aca="false">J20*'Sources &amp; uses'!$E$28</f>
        <v>0.05</v>
      </c>
      <c r="L20" s="107" t="n">
        <f aca="false">ABS('Champion funding'!S20)</f>
        <v>0</v>
      </c>
      <c r="M20" s="122" t="n">
        <f aca="false">Abroad!C20+Abroad!D20</f>
        <v>0.350010734650555</v>
      </c>
      <c r="N20" s="122" t="n">
        <f aca="false">Abroad!F20</f>
        <v>0.0743701732090098</v>
      </c>
      <c r="O20" s="122" t="n">
        <f aca="false">Abroad!G20</f>
        <v>0</v>
      </c>
      <c r="P20" s="122" t="n">
        <f aca="false">Abroad!H20</f>
        <v>2.75464633507521</v>
      </c>
      <c r="Q20" s="122" t="n">
        <f aca="false">Abroad!S20</f>
        <v>0</v>
      </c>
      <c r="R20" s="122" t="n">
        <f aca="false">Abroad!C20-Q20</f>
        <v>0.350010734650555</v>
      </c>
      <c r="S20" s="107" t="n">
        <f aca="false">0</f>
        <v>0</v>
      </c>
      <c r="T20" s="122" t="n">
        <f aca="false">P20-'War credit'!T20-Abroad!U20-S20</f>
        <v>2.75464633507521</v>
      </c>
      <c r="U20" s="107" t="str">
        <f aca="false">IF(A20=1901,"Carnegie Steel bought for $480m in Pacifica Steel 5% gold bonds and 7% preference shares","No separately priced acquisition")</f>
        <v>No separately priced acquisition</v>
      </c>
      <c r="V20" s="107" t="n">
        <f aca="false">Y19</f>
        <v>0</v>
      </c>
      <c r="W20" s="107" t="n">
        <f aca="false">V20+K20</f>
        <v>0.05</v>
      </c>
      <c r="X20" s="107" t="n">
        <f aca="false">MIN('Champion funding'!D20-'Champion funding'!F20,W20)</f>
        <v>0</v>
      </c>
      <c r="Y20" s="107" t="n">
        <f aca="false">W20-X20</f>
        <v>0.05</v>
      </c>
      <c r="Z20" s="123" t="n">
        <f aca="false">V20+K20-X20-Y20</f>
        <v>0</v>
      </c>
    </row>
    <row r="21" customFormat="false" ht="19.5" hidden="false" customHeight="true" outlineLevel="0" collapsed="false">
      <c r="A21" s="111" t="n">
        <v>1861</v>
      </c>
      <c r="B21" s="107" t="n">
        <f aca="false">C20</f>
        <v>0</v>
      </c>
      <c r="C21" s="122" t="n">
        <f aca="false">Champions!AY21-Champions!Q21</f>
        <v>0</v>
      </c>
      <c r="D21" s="107" t="n">
        <f aca="false">MAX(0,C21-B21)</f>
        <v>0</v>
      </c>
      <c r="E21" s="107" t="n">
        <f aca="false">MAX(0,B21-C21)</f>
        <v>0</v>
      </c>
      <c r="F21" s="123" t="n">
        <f aca="false">B21+D21-E21-C21</f>
        <v>0</v>
      </c>
      <c r="G21" s="107" t="n">
        <f aca="false">H20</f>
        <v>0</v>
      </c>
      <c r="H21" s="122" t="n">
        <f aca="false">Champions!Q21</f>
        <v>0</v>
      </c>
      <c r="I21" s="107" t="n">
        <f aca="false">H21-G21</f>
        <v>0</v>
      </c>
      <c r="J21" s="122" t="n">
        <f aca="false">MAX(0,Champions!BA21)*(1-crown_payout)</f>
        <v>0.1</v>
      </c>
      <c r="K21" s="122" t="n">
        <f aca="false">J21*'Sources &amp; uses'!$E$28</f>
        <v>0.05</v>
      </c>
      <c r="L21" s="107" t="n">
        <f aca="false">ABS('Champion funding'!S21)</f>
        <v>0</v>
      </c>
      <c r="M21" s="122" t="n">
        <f aca="false">Abroad!C21+Abroad!D21</f>
        <v>0.360933845745993</v>
      </c>
      <c r="N21" s="122" t="n">
        <f aca="false">Abroad!F21</f>
        <v>0.0826393900522562</v>
      </c>
      <c r="O21" s="122" t="n">
        <f aca="false">Abroad!G21</f>
        <v>0</v>
      </c>
      <c r="P21" s="122" t="n">
        <f aca="false">Abroad!H21</f>
        <v>3.03294079076894</v>
      </c>
      <c r="Q21" s="122" t="n">
        <f aca="false">Abroad!S21</f>
        <v>0</v>
      </c>
      <c r="R21" s="122" t="n">
        <f aca="false">Abroad!C21-Q21</f>
        <v>0.360933845745993</v>
      </c>
      <c r="S21" s="107" t="n">
        <f aca="false">0</f>
        <v>0</v>
      </c>
      <c r="T21" s="122" t="n">
        <f aca="false">P21-'War credit'!T21-Abroad!U21-S21</f>
        <v>3.03294079076894</v>
      </c>
      <c r="U21" s="107" t="str">
        <f aca="false">IF(A21=1901,"Carnegie Steel bought for $480m in Pacifica Steel 5% gold bonds and 7% preference shares","No separately priced acquisition")</f>
        <v>No separately priced acquisition</v>
      </c>
      <c r="V21" s="107" t="n">
        <f aca="false">Y20</f>
        <v>0.05</v>
      </c>
      <c r="W21" s="107" t="n">
        <f aca="false">V21+K21</f>
        <v>0.1</v>
      </c>
      <c r="X21" s="107" t="n">
        <f aca="false">MIN('Champion funding'!D21-'Champion funding'!F21,W21)</f>
        <v>0</v>
      </c>
      <c r="Y21" s="107" t="n">
        <f aca="false">W21-X21</f>
        <v>0.1</v>
      </c>
      <c r="Z21" s="123" t="n">
        <f aca="false">V21+K21-X21-Y21</f>
        <v>0</v>
      </c>
    </row>
    <row r="22" customFormat="false" ht="19.5" hidden="false" customHeight="true" outlineLevel="0" collapsed="false">
      <c r="A22" s="111" t="n">
        <v>1862</v>
      </c>
      <c r="B22" s="107" t="n">
        <f aca="false">C21</f>
        <v>0</v>
      </c>
      <c r="C22" s="122" t="n">
        <f aca="false">Champions!AY22-Champions!Q22</f>
        <v>0</v>
      </c>
      <c r="D22" s="107" t="n">
        <f aca="false">MAX(0,C22-B22)</f>
        <v>0</v>
      </c>
      <c r="E22" s="107" t="n">
        <f aca="false">MAX(0,B22-C22)</f>
        <v>0</v>
      </c>
      <c r="F22" s="123" t="n">
        <f aca="false">B22+D22-E22-C22</f>
        <v>0</v>
      </c>
      <c r="G22" s="107" t="n">
        <f aca="false">H21</f>
        <v>0</v>
      </c>
      <c r="H22" s="122" t="n">
        <f aca="false">Champions!Q22</f>
        <v>0</v>
      </c>
      <c r="I22" s="107" t="n">
        <f aca="false">H22-G22</f>
        <v>0</v>
      </c>
      <c r="J22" s="122" t="n">
        <f aca="false">MAX(0,Champions!BA22)*(1-crown_payout)</f>
        <v>0.1</v>
      </c>
      <c r="K22" s="122" t="n">
        <f aca="false">J22*'Sources &amp; uses'!$E$28</f>
        <v>0.05</v>
      </c>
      <c r="L22" s="107" t="n">
        <f aca="false">ABS('Champion funding'!S22)</f>
        <v>0</v>
      </c>
      <c r="M22" s="122" t="n">
        <f aca="false">Abroad!C22+Abroad!D22</f>
        <v>0.415912456708736</v>
      </c>
      <c r="N22" s="122" t="n">
        <f aca="false">Abroad!F22</f>
        <v>0.0909882237230683</v>
      </c>
      <c r="O22" s="122" t="n">
        <f aca="false">Abroad!G22</f>
        <v>0</v>
      </c>
      <c r="P22" s="122" t="n">
        <f aca="false">Abroad!H22</f>
        <v>3.35786502375461</v>
      </c>
      <c r="Q22" s="122" t="n">
        <f aca="false">Abroad!S22</f>
        <v>0</v>
      </c>
      <c r="R22" s="122" t="n">
        <f aca="false">Abroad!C22-Q22</f>
        <v>0.415912456708736</v>
      </c>
      <c r="S22" s="107" t="n">
        <f aca="false">0</f>
        <v>0</v>
      </c>
      <c r="T22" s="122" t="n">
        <f aca="false">P22-'War credit'!T22-Abroad!U22-S22</f>
        <v>3.35786502375461</v>
      </c>
      <c r="U22" s="107" t="str">
        <f aca="false">IF(A22=1901,"Carnegie Steel bought for $480m in Pacifica Steel 5% gold bonds and 7% preference shares","No separately priced acquisition")</f>
        <v>No separately priced acquisition</v>
      </c>
      <c r="V22" s="107" t="n">
        <f aca="false">Y21</f>
        <v>0.1</v>
      </c>
      <c r="W22" s="107" t="n">
        <f aca="false">V22+K22</f>
        <v>0.15</v>
      </c>
      <c r="X22" s="107" t="n">
        <f aca="false">MIN('Champion funding'!D22-'Champion funding'!F22,W22)</f>
        <v>0</v>
      </c>
      <c r="Y22" s="107" t="n">
        <f aca="false">W22-X22</f>
        <v>0.15</v>
      </c>
      <c r="Z22" s="123" t="n">
        <f aca="false">V22+K22-X22-Y22</f>
        <v>0</v>
      </c>
    </row>
    <row r="23" customFormat="false" ht="19.5" hidden="false" customHeight="true" outlineLevel="0" collapsed="false">
      <c r="A23" s="111" t="n">
        <v>1863</v>
      </c>
      <c r="B23" s="107" t="n">
        <f aca="false">C22</f>
        <v>0</v>
      </c>
      <c r="C23" s="122" t="n">
        <f aca="false">Champions!AY23-Champions!Q23</f>
        <v>0</v>
      </c>
      <c r="D23" s="107" t="n">
        <f aca="false">MAX(0,C23-B23)</f>
        <v>0</v>
      </c>
      <c r="E23" s="107" t="n">
        <f aca="false">MAX(0,B23-C23)</f>
        <v>0</v>
      </c>
      <c r="F23" s="123" t="n">
        <f aca="false">B23+D23-E23-C23</f>
        <v>0</v>
      </c>
      <c r="G23" s="107" t="n">
        <f aca="false">H22</f>
        <v>0</v>
      </c>
      <c r="H23" s="122" t="n">
        <f aca="false">Champions!Q23</f>
        <v>0</v>
      </c>
      <c r="I23" s="107" t="n">
        <f aca="false">H23-G23</f>
        <v>0</v>
      </c>
      <c r="J23" s="122" t="n">
        <f aca="false">MAX(0,Champions!BA23)*(1-crown_payout)</f>
        <v>0.20002644936569</v>
      </c>
      <c r="K23" s="122" t="n">
        <f aca="false">J23*'Sources &amp; uses'!$E$28</f>
        <v>0.100013224682845</v>
      </c>
      <c r="L23" s="107" t="n">
        <f aca="false">ABS('Champion funding'!S23)</f>
        <v>0</v>
      </c>
      <c r="M23" s="122" t="n">
        <f aca="false">Abroad!C23+Abroad!D23</f>
        <v>0.518311455621933</v>
      </c>
      <c r="N23" s="122" t="n">
        <f aca="false">Abroad!F23</f>
        <v>0.100735950712638</v>
      </c>
      <c r="O23" s="122" t="n">
        <f aca="false">Abroad!G23</f>
        <v>0</v>
      </c>
      <c r="P23" s="122" t="n">
        <f aca="false">Abroad!H23</f>
        <v>3.77544052866391</v>
      </c>
      <c r="Q23" s="122" t="n">
        <f aca="false">Abroad!S23</f>
        <v>0</v>
      </c>
      <c r="R23" s="122" t="n">
        <f aca="false">Abroad!C23-Q23</f>
        <v>0.518311455621933</v>
      </c>
      <c r="S23" s="107" t="n">
        <f aca="false">0</f>
        <v>0</v>
      </c>
      <c r="T23" s="122" t="n">
        <f aca="false">P23-'War credit'!T23-Abroad!U23-S23</f>
        <v>3.77544052866391</v>
      </c>
      <c r="U23" s="107" t="str">
        <f aca="false">IF(A23=1901,"Carnegie Steel bought for $480m in Pacifica Steel 5% gold bonds and 7% preference shares","No separately priced acquisition")</f>
        <v>No separately priced acquisition</v>
      </c>
      <c r="V23" s="107" t="n">
        <f aca="false">Y22</f>
        <v>0.15</v>
      </c>
      <c r="W23" s="107" t="n">
        <f aca="false">V23+K23</f>
        <v>0.250013224682845</v>
      </c>
      <c r="X23" s="107" t="n">
        <f aca="false">MIN('Champion funding'!D23-'Champion funding'!F23,W23)</f>
        <v>0</v>
      </c>
      <c r="Y23" s="107" t="n">
        <f aca="false">W23-X23</f>
        <v>0.250013224682845</v>
      </c>
      <c r="Z23" s="123" t="n">
        <f aca="false">V23+K23-X23-Y23</f>
        <v>0</v>
      </c>
    </row>
    <row r="24" customFormat="false" ht="19.5" hidden="false" customHeight="true" outlineLevel="0" collapsed="false">
      <c r="A24" s="111" t="n">
        <v>1864</v>
      </c>
      <c r="B24" s="107" t="n">
        <f aca="false">C23</f>
        <v>0</v>
      </c>
      <c r="C24" s="122" t="n">
        <f aca="false">Champions!AY24-Champions!Q24</f>
        <v>0</v>
      </c>
      <c r="D24" s="107" t="n">
        <f aca="false">MAX(0,C24-B24)</f>
        <v>0</v>
      </c>
      <c r="E24" s="107" t="n">
        <f aca="false">MAX(0,B24-C24)</f>
        <v>0</v>
      </c>
      <c r="F24" s="123" t="n">
        <f aca="false">B24+D24-E24-C24</f>
        <v>0</v>
      </c>
      <c r="G24" s="107" t="n">
        <f aca="false">H23</f>
        <v>0</v>
      </c>
      <c r="H24" s="122" t="n">
        <f aca="false">Champions!Q24</f>
        <v>0</v>
      </c>
      <c r="I24" s="107" t="n">
        <f aca="false">H24-G24</f>
        <v>0</v>
      </c>
      <c r="J24" s="122" t="n">
        <f aca="false">MAX(0,Champions!BA24)*(1-crown_payout)</f>
        <v>0.200055111324907</v>
      </c>
      <c r="K24" s="122" t="n">
        <f aca="false">J24*'Sources &amp; uses'!$E$28</f>
        <v>0.100027555662453</v>
      </c>
      <c r="L24" s="107" t="n">
        <f aca="false">ABS('Champion funding'!S24)</f>
        <v>0</v>
      </c>
      <c r="M24" s="122" t="n">
        <f aca="false">Abroad!C24+Abroad!D24</f>
        <v>0.62897238093662</v>
      </c>
      <c r="N24" s="122" t="n">
        <f aca="false">Abroad!F24</f>
        <v>0.113263215859917</v>
      </c>
      <c r="O24" s="122" t="n">
        <f aca="false">Abroad!G24</f>
        <v>0</v>
      </c>
      <c r="P24" s="122" t="n">
        <f aca="false">Abroad!H24</f>
        <v>4.29114969374061</v>
      </c>
      <c r="Q24" s="122" t="n">
        <f aca="false">Abroad!S24</f>
        <v>0</v>
      </c>
      <c r="R24" s="122" t="n">
        <f aca="false">Abroad!C24-Q24</f>
        <v>0.62897238093662</v>
      </c>
      <c r="S24" s="107" t="n">
        <f aca="false">0</f>
        <v>0</v>
      </c>
      <c r="T24" s="122" t="n">
        <f aca="false">P24-'War credit'!T24-Abroad!U24-S24</f>
        <v>4.29114969374061</v>
      </c>
      <c r="U24" s="107" t="str">
        <f aca="false">IF(A24=1901,"Carnegie Steel bought for $480m in Pacifica Steel 5% gold bonds and 7% preference shares","No separately priced acquisition")</f>
        <v>No separately priced acquisition</v>
      </c>
      <c r="V24" s="107" t="n">
        <f aca="false">Y23</f>
        <v>0.250013224682845</v>
      </c>
      <c r="W24" s="107" t="n">
        <f aca="false">V24+K24</f>
        <v>0.350040780345298</v>
      </c>
      <c r="X24" s="107" t="n">
        <f aca="false">MIN('Champion funding'!D24-'Champion funding'!F24,W24)</f>
        <v>0</v>
      </c>
      <c r="Y24" s="107" t="n">
        <f aca="false">W24-X24</f>
        <v>0.350040780345298</v>
      </c>
      <c r="Z24" s="123" t="n">
        <f aca="false">V24+K24-X24-Y24</f>
        <v>0</v>
      </c>
    </row>
    <row r="25" customFormat="false" ht="19.5" hidden="false" customHeight="true" outlineLevel="0" collapsed="false">
      <c r="A25" s="111" t="n">
        <v>1865</v>
      </c>
      <c r="B25" s="107" t="n">
        <f aca="false">C24</f>
        <v>0</v>
      </c>
      <c r="C25" s="122" t="n">
        <f aca="false">Champions!AY25-Champions!Q25</f>
        <v>0</v>
      </c>
      <c r="D25" s="107" t="n">
        <f aca="false">MAX(0,C25-B25)</f>
        <v>0</v>
      </c>
      <c r="E25" s="107" t="n">
        <f aca="false">MAX(0,B25-C25)</f>
        <v>0</v>
      </c>
      <c r="F25" s="123" t="n">
        <f aca="false">B25+D25-E25-C25</f>
        <v>0</v>
      </c>
      <c r="G25" s="107" t="n">
        <f aca="false">H24</f>
        <v>0</v>
      </c>
      <c r="H25" s="122" t="n">
        <f aca="false">Champions!Q25</f>
        <v>0</v>
      </c>
      <c r="I25" s="107" t="n">
        <f aca="false">H25-G25</f>
        <v>0</v>
      </c>
      <c r="J25" s="122" t="n">
        <f aca="false">MAX(0,Champions!BA25)*(1-crown_payout)</f>
        <v>0.200086654311121</v>
      </c>
      <c r="K25" s="122" t="n">
        <f aca="false">J25*'Sources &amp; uses'!$E$28</f>
        <v>0.10004332715556</v>
      </c>
      <c r="L25" s="107" t="n">
        <f aca="false">ABS('Champion funding'!S25)</f>
        <v>0</v>
      </c>
      <c r="M25" s="122" t="n">
        <f aca="false">Abroad!C25+Abroad!D25</f>
        <v>0.686317600280506</v>
      </c>
      <c r="N25" s="122" t="n">
        <f aca="false">Abroad!F25</f>
        <v>0.128734490812218</v>
      </c>
      <c r="O25" s="122" t="n">
        <f aca="false">Abroad!G25</f>
        <v>0</v>
      </c>
      <c r="P25" s="122" t="n">
        <f aca="false">Abroad!H25</f>
        <v>4.8487328032089</v>
      </c>
      <c r="Q25" s="122" t="n">
        <f aca="false">Abroad!S25</f>
        <v>0</v>
      </c>
      <c r="R25" s="122" t="n">
        <f aca="false">Abroad!C25-Q25</f>
        <v>0.686317600280506</v>
      </c>
      <c r="S25" s="107" t="n">
        <f aca="false">0</f>
        <v>0</v>
      </c>
      <c r="T25" s="122" t="n">
        <f aca="false">P25-'War credit'!T25-Abroad!U25-S25</f>
        <v>4.8487328032089</v>
      </c>
      <c r="U25" s="107" t="str">
        <f aca="false">IF(A25=1901,"Carnegie Steel bought for $480m in Pacifica Steel 5% gold bonds and 7% preference shares","No separately priced acquisition")</f>
        <v>No separately priced acquisition</v>
      </c>
      <c r="V25" s="107" t="n">
        <f aca="false">Y24</f>
        <v>0.350040780345298</v>
      </c>
      <c r="W25" s="107" t="n">
        <f aca="false">V25+K25</f>
        <v>0.450084107500859</v>
      </c>
      <c r="X25" s="107" t="n">
        <f aca="false">MIN('Champion funding'!D25-'Champion funding'!F25,W25)</f>
        <v>0</v>
      </c>
      <c r="Y25" s="107" t="n">
        <f aca="false">W25-X25</f>
        <v>0.450084107500859</v>
      </c>
      <c r="Z25" s="123" t="n">
        <f aca="false">V25+K25-X25-Y25</f>
        <v>0</v>
      </c>
    </row>
    <row r="26" customFormat="false" ht="19.5" hidden="false" customHeight="true" outlineLevel="0" collapsed="false">
      <c r="A26" s="111" t="n">
        <v>1866</v>
      </c>
      <c r="B26" s="107" t="n">
        <f aca="false">C25</f>
        <v>0</v>
      </c>
      <c r="C26" s="122" t="n">
        <f aca="false">Champions!AY26-Champions!Q26</f>
        <v>0</v>
      </c>
      <c r="D26" s="107" t="n">
        <f aca="false">MAX(0,C26-B26)</f>
        <v>0</v>
      </c>
      <c r="E26" s="107" t="n">
        <f aca="false">MAX(0,B26-C26)</f>
        <v>0</v>
      </c>
      <c r="F26" s="123" t="n">
        <f aca="false">B26+D26-E26-C26</f>
        <v>0</v>
      </c>
      <c r="G26" s="107" t="n">
        <f aca="false">H25</f>
        <v>0</v>
      </c>
      <c r="H26" s="122" t="n">
        <f aca="false">Champions!Q26</f>
        <v>0</v>
      </c>
      <c r="I26" s="107" t="n">
        <f aca="false">H26-G26</f>
        <v>0</v>
      </c>
      <c r="J26" s="122" t="n">
        <f aca="false">MAX(0,Champions!BA26)*(1-crown_payout)</f>
        <v>0.200120014277137</v>
      </c>
      <c r="K26" s="122" t="n">
        <f aca="false">J26*'Sources &amp; uses'!$E$28</f>
        <v>0.100060007138568</v>
      </c>
      <c r="L26" s="107" t="n">
        <f aca="false">ABS('Champion funding'!S26)</f>
        <v>0</v>
      </c>
      <c r="M26" s="122" t="n">
        <f aca="false">Abroad!C26+Abroad!D26</f>
        <v>0.733502688175672</v>
      </c>
      <c r="N26" s="122" t="n">
        <f aca="false">Abroad!F26</f>
        <v>0.145461984096267</v>
      </c>
      <c r="O26" s="122" t="n">
        <f aca="false">Abroad!G26</f>
        <v>0</v>
      </c>
      <c r="P26" s="122" t="n">
        <f aca="false">Abroad!H26</f>
        <v>5.4367735072883</v>
      </c>
      <c r="Q26" s="122" t="n">
        <f aca="false">Abroad!S26</f>
        <v>0</v>
      </c>
      <c r="R26" s="122" t="n">
        <f aca="false">Abroad!C26-Q26</f>
        <v>0.733502688175672</v>
      </c>
      <c r="S26" s="107" t="n">
        <f aca="false">0</f>
        <v>0</v>
      </c>
      <c r="T26" s="122" t="n">
        <f aca="false">P26-'War credit'!T26-Abroad!U26-S26</f>
        <v>5.4367735072883</v>
      </c>
      <c r="U26" s="107" t="str">
        <f aca="false">IF(A26=1901,"Carnegie Steel bought for $480m in Pacifica Steel 5% gold bonds and 7% preference shares","No separately priced acquisition")</f>
        <v>No separately priced acquisition</v>
      </c>
      <c r="V26" s="107" t="n">
        <f aca="false">Y25</f>
        <v>0.450084107500859</v>
      </c>
      <c r="W26" s="107" t="n">
        <f aca="false">V26+K26</f>
        <v>0.550144114639427</v>
      </c>
      <c r="X26" s="107" t="n">
        <f aca="false">MIN('Champion funding'!D26-'Champion funding'!F26,W26)</f>
        <v>0</v>
      </c>
      <c r="Y26" s="107" t="n">
        <f aca="false">W26-X26</f>
        <v>0.550144114639427</v>
      </c>
      <c r="Z26" s="123" t="n">
        <f aca="false">V26+K26-X26-Y26</f>
        <v>0</v>
      </c>
    </row>
    <row r="27" customFormat="false" ht="19.5" hidden="false" customHeight="true" outlineLevel="0" collapsed="false">
      <c r="A27" s="111" t="n">
        <v>1867</v>
      </c>
      <c r="B27" s="107" t="n">
        <f aca="false">C26</f>
        <v>0</v>
      </c>
      <c r="C27" s="122" t="n">
        <f aca="false">Champions!AY27-Champions!Q27</f>
        <v>0</v>
      </c>
      <c r="D27" s="107" t="n">
        <f aca="false">MAX(0,C27-B27)</f>
        <v>0</v>
      </c>
      <c r="E27" s="107" t="n">
        <f aca="false">MAX(0,B27-C27)</f>
        <v>0</v>
      </c>
      <c r="F27" s="123" t="n">
        <f aca="false">B27+D27-E27-C27</f>
        <v>0</v>
      </c>
      <c r="G27" s="107" t="n">
        <f aca="false">H26</f>
        <v>0</v>
      </c>
      <c r="H27" s="122" t="n">
        <f aca="false">Champions!Q27</f>
        <v>0</v>
      </c>
      <c r="I27" s="107" t="n">
        <f aca="false">H27-G27</f>
        <v>0</v>
      </c>
      <c r="J27" s="122" t="n">
        <f aca="false">MAX(0,Champions!BA27)*(1-crown_payout)</f>
        <v>0.236183494151541</v>
      </c>
      <c r="K27" s="122" t="n">
        <f aca="false">J27*'Sources &amp; uses'!$E$28</f>
        <v>0.118091747075771</v>
      </c>
      <c r="L27" s="107" t="n">
        <f aca="false">ABS('Champion funding'!S27)</f>
        <v>0</v>
      </c>
      <c r="M27" s="122" t="n">
        <f aca="false">Abroad!C27+Abroad!D27</f>
        <v>0.797796439901777</v>
      </c>
      <c r="N27" s="122" t="n">
        <f aca="false">Abroad!F27</f>
        <v>0.163103205218649</v>
      </c>
      <c r="O27" s="122" t="n">
        <f aca="false">Abroad!G27</f>
        <v>0</v>
      </c>
      <c r="P27" s="122" t="n">
        <f aca="false">Abroad!H27</f>
        <v>6.07146674197143</v>
      </c>
      <c r="Q27" s="122" t="n">
        <f aca="false">Abroad!S27</f>
        <v>0</v>
      </c>
      <c r="R27" s="122" t="n">
        <f aca="false">Abroad!C27-Q27</f>
        <v>0.797796439901777</v>
      </c>
      <c r="S27" s="107" t="n">
        <f aca="false">0</f>
        <v>0</v>
      </c>
      <c r="T27" s="122" t="n">
        <f aca="false">P27-'War credit'!T27-Abroad!U27-S27</f>
        <v>6.07146674197143</v>
      </c>
      <c r="U27" s="107" t="str">
        <f aca="false">IF(A27=1901,"Carnegie Steel bought for $480m in Pacifica Steel 5% gold bonds and 7% preference shares","No separately priced acquisition")</f>
        <v>No separately priced acquisition</v>
      </c>
      <c r="V27" s="107" t="n">
        <f aca="false">Y26</f>
        <v>0.550144114639427</v>
      </c>
      <c r="W27" s="107" t="n">
        <f aca="false">V27+K27</f>
        <v>0.668235861715198</v>
      </c>
      <c r="X27" s="107" t="n">
        <f aca="false">MIN('Champion funding'!D27-'Champion funding'!F27,W27)</f>
        <v>0</v>
      </c>
      <c r="Y27" s="107" t="n">
        <f aca="false">W27-X27</f>
        <v>0.668235861715198</v>
      </c>
      <c r="Z27" s="123" t="n">
        <f aca="false">V27+K27-X27-Y27</f>
        <v>0</v>
      </c>
    </row>
    <row r="28" customFormat="false" ht="19.5" hidden="false" customHeight="true" outlineLevel="0" collapsed="false">
      <c r="A28" s="111" t="n">
        <v>1868</v>
      </c>
      <c r="B28" s="107" t="n">
        <f aca="false">C27</f>
        <v>0</v>
      </c>
      <c r="C28" s="122" t="n">
        <f aca="false">Champions!AY28-Champions!Q28</f>
        <v>0</v>
      </c>
      <c r="D28" s="107" t="n">
        <f aca="false">MAX(0,C28-B28)</f>
        <v>0</v>
      </c>
      <c r="E28" s="107" t="n">
        <f aca="false">MAX(0,B28-C28)</f>
        <v>0</v>
      </c>
      <c r="F28" s="123" t="n">
        <f aca="false">B28+D28-E28-C28</f>
        <v>0</v>
      </c>
      <c r="G28" s="107" t="n">
        <f aca="false">H27</f>
        <v>0</v>
      </c>
      <c r="H28" s="122" t="n">
        <f aca="false">Champions!Q28</f>
        <v>0</v>
      </c>
      <c r="I28" s="107" t="n">
        <f aca="false">H28-G28</f>
        <v>0</v>
      </c>
      <c r="J28" s="122" t="n">
        <f aca="false">MAX(0,Champions!BA28)*(1-crown_payout)</f>
        <v>0.373655319160416</v>
      </c>
      <c r="K28" s="122" t="n">
        <f aca="false">J28*'Sources &amp; uses'!$E$28</f>
        <v>0.186827659580208</v>
      </c>
      <c r="L28" s="107" t="n">
        <f aca="false">ABS('Champion funding'!S28)</f>
        <v>0</v>
      </c>
      <c r="M28" s="122" t="n">
        <f aca="false">Abroad!C28+Abroad!D28</f>
        <v>0.868521344471055</v>
      </c>
      <c r="N28" s="122" t="n">
        <f aca="false">Abroad!F28</f>
        <v>0.182144002259143</v>
      </c>
      <c r="O28" s="122" t="n">
        <f aca="false">Abroad!G28</f>
        <v>0</v>
      </c>
      <c r="P28" s="122" t="n">
        <f aca="false">Abroad!H28</f>
        <v>6.75784408418334</v>
      </c>
      <c r="Q28" s="122" t="n">
        <f aca="false">Abroad!S28</f>
        <v>0</v>
      </c>
      <c r="R28" s="122" t="n">
        <f aca="false">Abroad!C28-Q28</f>
        <v>0.868521344471055</v>
      </c>
      <c r="S28" s="107" t="n">
        <f aca="false">0</f>
        <v>0</v>
      </c>
      <c r="T28" s="122" t="n">
        <f aca="false">P28-'War credit'!T28-Abroad!U28-S28</f>
        <v>6.75784408418334</v>
      </c>
      <c r="U28" s="107" t="str">
        <f aca="false">IF(A28=1901,"Carnegie Steel bought for $480m in Pacifica Steel 5% gold bonds and 7% preference shares","No separately priced acquisition")</f>
        <v>No separately priced acquisition</v>
      </c>
      <c r="V28" s="107" t="n">
        <f aca="false">Y27</f>
        <v>0.668235861715198</v>
      </c>
      <c r="W28" s="107" t="n">
        <f aca="false">V28+K28</f>
        <v>0.855063521295406</v>
      </c>
      <c r="X28" s="107" t="n">
        <f aca="false">MIN('Champion funding'!D28-'Champion funding'!F28,W28)</f>
        <v>0</v>
      </c>
      <c r="Y28" s="107" t="n">
        <f aca="false">W28-X28</f>
        <v>0.855063521295406</v>
      </c>
      <c r="Z28" s="123" t="n">
        <f aca="false">V28+K28-X28-Y28</f>
        <v>0</v>
      </c>
    </row>
    <row r="29" customFormat="false" ht="19.5" hidden="false" customHeight="true" outlineLevel="0" collapsed="false">
      <c r="A29" s="111" t="n">
        <v>1869</v>
      </c>
      <c r="B29" s="107" t="n">
        <f aca="false">C28</f>
        <v>0</v>
      </c>
      <c r="C29" s="122" t="n">
        <f aca="false">Champions!AY29-Champions!Q29</f>
        <v>0</v>
      </c>
      <c r="D29" s="107" t="n">
        <f aca="false">MAX(0,C29-B29)</f>
        <v>0</v>
      </c>
      <c r="E29" s="107" t="n">
        <f aca="false">MAX(0,B29-C29)</f>
        <v>0</v>
      </c>
      <c r="F29" s="123" t="n">
        <f aca="false">B29+D29-E29-C29</f>
        <v>0</v>
      </c>
      <c r="G29" s="107" t="n">
        <f aca="false">H28</f>
        <v>0</v>
      </c>
      <c r="H29" s="122" t="n">
        <f aca="false">Champions!Q29</f>
        <v>0</v>
      </c>
      <c r="I29" s="107" t="n">
        <f aca="false">H29-G29</f>
        <v>0</v>
      </c>
      <c r="J29" s="122" t="n">
        <f aca="false">MAX(0,Champions!BA29)*(1-crown_payout)</f>
        <v>0.413951579898709</v>
      </c>
      <c r="K29" s="122" t="n">
        <f aca="false">J29*'Sources &amp; uses'!$E$28</f>
        <v>0.206975789949354</v>
      </c>
      <c r="L29" s="107" t="n">
        <f aca="false">ABS('Champion funding'!S29)</f>
        <v>0</v>
      </c>
      <c r="M29" s="122" t="n">
        <f aca="false">Abroad!C29+Abroad!D29</f>
        <v>0.943224127916458</v>
      </c>
      <c r="N29" s="122" t="n">
        <f aca="false">Abroad!F29</f>
        <v>0.2027353225255</v>
      </c>
      <c r="O29" s="122" t="n">
        <f aca="false">Abroad!G29</f>
        <v>0</v>
      </c>
      <c r="P29" s="122" t="n">
        <f aca="false">Abroad!H29</f>
        <v>7.4983328895743</v>
      </c>
      <c r="Q29" s="122" t="n">
        <f aca="false">Abroad!S29</f>
        <v>0</v>
      </c>
      <c r="R29" s="122" t="n">
        <f aca="false">Abroad!C29-Q29</f>
        <v>0.943224127916458</v>
      </c>
      <c r="S29" s="107" t="n">
        <f aca="false">0</f>
        <v>0</v>
      </c>
      <c r="T29" s="122" t="n">
        <f aca="false">P29-'War credit'!T29-Abroad!U29-S29</f>
        <v>7.4983328895743</v>
      </c>
      <c r="U29" s="107" t="str">
        <f aca="false">IF(A29=1901,"Carnegie Steel bought for $480m in Pacifica Steel 5% gold bonds and 7% preference shares","No separately priced acquisition")</f>
        <v>No separately priced acquisition</v>
      </c>
      <c r="V29" s="107" t="n">
        <f aca="false">Y28</f>
        <v>0.855063521295406</v>
      </c>
      <c r="W29" s="107" t="n">
        <f aca="false">V29+K29</f>
        <v>1.06203931124476</v>
      </c>
      <c r="X29" s="107" t="n">
        <f aca="false">MIN('Champion funding'!D29-'Champion funding'!F29,W29)</f>
        <v>0</v>
      </c>
      <c r="Y29" s="107" t="n">
        <f aca="false">W29-X29</f>
        <v>1.06203931124476</v>
      </c>
      <c r="Z29" s="123" t="n">
        <f aca="false">V29+K29-X29-Y29</f>
        <v>0</v>
      </c>
    </row>
    <row r="30" customFormat="false" ht="19.5" hidden="false" customHeight="true" outlineLevel="0" collapsed="false">
      <c r="A30" s="111" t="n">
        <v>1870</v>
      </c>
      <c r="B30" s="107" t="n">
        <f aca="false">C29</f>
        <v>0</v>
      </c>
      <c r="C30" s="122" t="n">
        <f aca="false">Champions!AY30-Champions!Q30</f>
        <v>7.02658390748947</v>
      </c>
      <c r="D30" s="107" t="n">
        <f aca="false">MAX(0,C30-B30)</f>
        <v>7.02658390748947</v>
      </c>
      <c r="E30" s="107" t="n">
        <f aca="false">MAX(0,B30-C30)</f>
        <v>0</v>
      </c>
      <c r="F30" s="123" t="n">
        <f aca="false">B30+D30-E30-C30</f>
        <v>0</v>
      </c>
      <c r="G30" s="107" t="n">
        <f aca="false">H29</f>
        <v>0</v>
      </c>
      <c r="H30" s="122" t="n">
        <f aca="false">Champions!Q30</f>
        <v>0</v>
      </c>
      <c r="I30" s="107" t="n">
        <f aca="false">H30-G30</f>
        <v>0</v>
      </c>
      <c r="J30" s="122" t="n">
        <f aca="false">MAX(0,Champions!BA30)*(1-crown_payout)</f>
        <v>0.992781021300682</v>
      </c>
      <c r="K30" s="122" t="n">
        <f aca="false">J30*'Sources &amp; uses'!$E$28</f>
        <v>0.496390510650341</v>
      </c>
      <c r="L30" s="107" t="n">
        <f aca="false">ABS('Champion funding'!S30)</f>
        <v>0</v>
      </c>
      <c r="M30" s="122" t="n">
        <f aca="false">Abroad!C30+Abroad!D30</f>
        <v>3.08686169606558</v>
      </c>
      <c r="N30" s="122" t="n">
        <f aca="false">Abroad!F30</f>
        <v>0.224949986687229</v>
      </c>
      <c r="O30" s="122" t="n">
        <f aca="false">Abroad!G30</f>
        <v>0</v>
      </c>
      <c r="P30" s="122" t="n">
        <f aca="false">Abroad!H30</f>
        <v>10.3602445989527</v>
      </c>
      <c r="Q30" s="122" t="n">
        <f aca="false">Abroad!S30</f>
        <v>0</v>
      </c>
      <c r="R30" s="122" t="n">
        <f aca="false">Abroad!C30-Q30</f>
        <v>3.08686169606558</v>
      </c>
      <c r="S30" s="107" t="n">
        <f aca="false">0</f>
        <v>0</v>
      </c>
      <c r="T30" s="122" t="n">
        <f aca="false">P30-'War credit'!T30-Abroad!U30-S30</f>
        <v>10.3602445989527</v>
      </c>
      <c r="U30" s="107" t="str">
        <f aca="false">IF(A30=1901,"Carnegie Steel bought for $480m in Pacifica Steel 5% gold bonds and 7% preference shares","No separately priced acquisition")</f>
        <v>No separately priced acquisition</v>
      </c>
      <c r="V30" s="107" t="n">
        <f aca="false">Y29</f>
        <v>1.06203931124476</v>
      </c>
      <c r="W30" s="107" t="n">
        <f aca="false">V30+K30</f>
        <v>1.5584298218951</v>
      </c>
      <c r="X30" s="107" t="n">
        <f aca="false">MIN('Champion funding'!D30-'Champion funding'!F30,W30)</f>
        <v>1.5584298218951</v>
      </c>
      <c r="Y30" s="107" t="n">
        <f aca="false">W30-X30</f>
        <v>0</v>
      </c>
      <c r="Z30" s="123" t="n">
        <f aca="false">V30+K30-X30-Y30</f>
        <v>0</v>
      </c>
    </row>
    <row r="31" customFormat="false" ht="19.5" hidden="false" customHeight="true" outlineLevel="0" collapsed="false">
      <c r="A31" s="111" t="n">
        <v>1871</v>
      </c>
      <c r="B31" s="107" t="n">
        <f aca="false">C30</f>
        <v>7.02658390748947</v>
      </c>
      <c r="C31" s="122" t="n">
        <f aca="false">Champions!AY31-Champions!Q31</f>
        <v>11.0589649356428</v>
      </c>
      <c r="D31" s="107" t="n">
        <f aca="false">MAX(0,C31-B31)</f>
        <v>4.03238102815338</v>
      </c>
      <c r="E31" s="107" t="n">
        <f aca="false">MAX(0,B31-C31)</f>
        <v>0</v>
      </c>
      <c r="F31" s="123" t="n">
        <f aca="false">B31+D31-E31-C31</f>
        <v>0</v>
      </c>
      <c r="G31" s="107" t="n">
        <f aca="false">H30</f>
        <v>0</v>
      </c>
      <c r="H31" s="122" t="n">
        <f aca="false">Champions!Q31</f>
        <v>0</v>
      </c>
      <c r="I31" s="107" t="n">
        <f aca="false">H31-G31</f>
        <v>0</v>
      </c>
      <c r="J31" s="122" t="n">
        <f aca="false">MAX(0,Champions!BA31)*(1-crown_payout)</f>
        <v>1.26343647587476</v>
      </c>
      <c r="K31" s="122" t="n">
        <f aca="false">J31*'Sources &amp; uses'!$E$28</f>
        <v>0.63171823793738</v>
      </c>
      <c r="L31" s="107" t="n">
        <f aca="false">ABS('Champion funding'!S31)</f>
        <v>0</v>
      </c>
      <c r="M31" s="122" t="n">
        <f aca="false">Abroad!C31+Abroad!D31</f>
        <v>3.31796152171007</v>
      </c>
      <c r="N31" s="122" t="n">
        <f aca="false">Abroad!F31</f>
        <v>0.31080733796858</v>
      </c>
      <c r="O31" s="122" t="n">
        <f aca="false">Abroad!G31</f>
        <v>0</v>
      </c>
      <c r="P31" s="122" t="n">
        <f aca="false">Abroad!H31</f>
        <v>13.3673987826941</v>
      </c>
      <c r="Q31" s="122" t="n">
        <f aca="false">Abroad!S31</f>
        <v>0</v>
      </c>
      <c r="R31" s="122" t="n">
        <f aca="false">Abroad!C31-Q31</f>
        <v>3.31796152171007</v>
      </c>
      <c r="S31" s="107" t="n">
        <f aca="false">0</f>
        <v>0</v>
      </c>
      <c r="T31" s="122" t="n">
        <f aca="false">P31-'War credit'!T31-Abroad!U31-S31</f>
        <v>13.3673987826941</v>
      </c>
      <c r="U31" s="107" t="str">
        <f aca="false">IF(A31=1901,"Carnegie Steel bought for $480m in Pacifica Steel 5% gold bonds and 7% preference shares","No separately priced acquisition")</f>
        <v>No separately priced acquisition</v>
      </c>
      <c r="V31" s="107" t="n">
        <f aca="false">Y30</f>
        <v>0</v>
      </c>
      <c r="W31" s="107" t="n">
        <f aca="false">V31+K31</f>
        <v>0.63171823793738</v>
      </c>
      <c r="X31" s="107" t="n">
        <f aca="false">MIN('Champion funding'!D31-'Champion funding'!F31,W31)</f>
        <v>0.63171823793738</v>
      </c>
      <c r="Y31" s="107" t="n">
        <f aca="false">W31-X31</f>
        <v>0</v>
      </c>
      <c r="Z31" s="123" t="n">
        <f aca="false">V31+K31-X31-Y31</f>
        <v>0</v>
      </c>
    </row>
    <row r="32" customFormat="false" ht="19.5" hidden="false" customHeight="true" outlineLevel="0" collapsed="false">
      <c r="A32" s="111" t="n">
        <v>1872</v>
      </c>
      <c r="B32" s="107" t="n">
        <f aca="false">C31</f>
        <v>11.0589649356428</v>
      </c>
      <c r="C32" s="122" t="n">
        <f aca="false">Champions!AY32-Champions!Q32</f>
        <v>14.0976530417482</v>
      </c>
      <c r="D32" s="107" t="n">
        <f aca="false">MAX(0,C32-B32)</f>
        <v>3.0386881061054</v>
      </c>
      <c r="E32" s="107" t="n">
        <f aca="false">MAX(0,B32-C32)</f>
        <v>0</v>
      </c>
      <c r="F32" s="123" t="n">
        <f aca="false">B32+D32-E32-C32</f>
        <v>0</v>
      </c>
      <c r="G32" s="107" t="n">
        <f aca="false">H31</f>
        <v>0</v>
      </c>
      <c r="H32" s="122" t="n">
        <f aca="false">Champions!Q32</f>
        <v>0</v>
      </c>
      <c r="I32" s="107" t="n">
        <f aca="false">H32-G32</f>
        <v>0</v>
      </c>
      <c r="J32" s="122" t="n">
        <f aca="false">MAX(0,Champions!BA32)*(1-crown_payout)</f>
        <v>1.53289319886624</v>
      </c>
      <c r="K32" s="122" t="n">
        <f aca="false">J32*'Sources &amp; uses'!$E$28</f>
        <v>0.766446599433118</v>
      </c>
      <c r="L32" s="107" t="n">
        <f aca="false">ABS('Champion funding'!S32)</f>
        <v>0</v>
      </c>
      <c r="M32" s="122" t="n">
        <f aca="false">Abroad!C32+Abroad!D32</f>
        <v>3.55559083053938</v>
      </c>
      <c r="N32" s="122" t="n">
        <f aca="false">Abroad!F32</f>
        <v>0.401021963480824</v>
      </c>
      <c r="O32" s="122" t="n">
        <f aca="false">Abroad!G32</f>
        <v>0</v>
      </c>
      <c r="P32" s="122" t="n">
        <f aca="false">Abroad!H32</f>
        <v>16.5219676497527</v>
      </c>
      <c r="Q32" s="122" t="n">
        <f aca="false">Abroad!S32</f>
        <v>0</v>
      </c>
      <c r="R32" s="122" t="n">
        <f aca="false">Abroad!C32-Q32</f>
        <v>3.55559083053938</v>
      </c>
      <c r="S32" s="107" t="n">
        <f aca="false">0</f>
        <v>0</v>
      </c>
      <c r="T32" s="122" t="n">
        <f aca="false">P32-'War credit'!T32-Abroad!U32-S32</f>
        <v>16.5219676497527</v>
      </c>
      <c r="U32" s="107" t="str">
        <f aca="false">IF(A32=1901,"Carnegie Steel bought for $480m in Pacifica Steel 5% gold bonds and 7% preference shares","No separately priced acquisition")</f>
        <v>No separately priced acquisition</v>
      </c>
      <c r="V32" s="107" t="n">
        <f aca="false">Y31</f>
        <v>0</v>
      </c>
      <c r="W32" s="107" t="n">
        <f aca="false">V32+K32</f>
        <v>0.766446599433118</v>
      </c>
      <c r="X32" s="107" t="n">
        <f aca="false">MIN('Champion funding'!D32-'Champion funding'!F32,W32)</f>
        <v>0.766446599433118</v>
      </c>
      <c r="Y32" s="107" t="n">
        <f aca="false">W32-X32</f>
        <v>0</v>
      </c>
      <c r="Z32" s="123" t="n">
        <f aca="false">V32+K32-X32-Y32</f>
        <v>0</v>
      </c>
    </row>
    <row r="33" customFormat="false" ht="19.5" hidden="false" customHeight="true" outlineLevel="0" collapsed="false">
      <c r="A33" s="111" t="n">
        <v>1873</v>
      </c>
      <c r="B33" s="107" t="n">
        <f aca="false">C32</f>
        <v>14.0976530417482</v>
      </c>
      <c r="C33" s="122" t="n">
        <f aca="false">Champions!AY33-Champions!Q33</f>
        <v>16.1383528843603</v>
      </c>
      <c r="D33" s="107" t="n">
        <f aca="false">MAX(0,C33-B33)</f>
        <v>2.04069984261205</v>
      </c>
      <c r="E33" s="107" t="n">
        <f aca="false">MAX(0,B33-C33)</f>
        <v>0</v>
      </c>
      <c r="F33" s="123" t="n">
        <f aca="false">B33+D33-E33-C33</f>
        <v>0</v>
      </c>
      <c r="G33" s="107" t="n">
        <f aca="false">H32</f>
        <v>0</v>
      </c>
      <c r="H33" s="122" t="n">
        <f aca="false">Champions!Q33</f>
        <v>0</v>
      </c>
      <c r="I33" s="107" t="n">
        <f aca="false">H33-G33</f>
        <v>0</v>
      </c>
      <c r="J33" s="122" t="n">
        <f aca="false">MAX(0,Champions!BA33)*(1-crown_payout)</f>
        <v>1.74449542797603</v>
      </c>
      <c r="K33" s="122" t="n">
        <f aca="false">J33*'Sources &amp; uses'!$E$28</f>
        <v>0.872247713988015</v>
      </c>
      <c r="L33" s="107" t="n">
        <f aca="false">ABS('Champion funding'!S33)</f>
        <v>0</v>
      </c>
      <c r="M33" s="122" t="n">
        <f aca="false">Abroad!C33+Abroad!D33</f>
        <v>3.77144767779555</v>
      </c>
      <c r="N33" s="122" t="n">
        <f aca="false">Abroad!F33</f>
        <v>0.495659029492581</v>
      </c>
      <c r="O33" s="122" t="n">
        <f aca="false">Abroad!G33</f>
        <v>0</v>
      </c>
      <c r="P33" s="122" t="n">
        <f aca="false">Abroad!H33</f>
        <v>19.7977562980557</v>
      </c>
      <c r="Q33" s="122" t="n">
        <f aca="false">Abroad!S33</f>
        <v>0</v>
      </c>
      <c r="R33" s="122" t="n">
        <f aca="false">Abroad!C33-Q33</f>
        <v>3.77144767779555</v>
      </c>
      <c r="S33" s="107" t="n">
        <f aca="false">0</f>
        <v>0</v>
      </c>
      <c r="T33" s="122" t="n">
        <f aca="false">P33-'War credit'!T33-Abroad!U33-S33</f>
        <v>19.7977562980557</v>
      </c>
      <c r="U33" s="107" t="str">
        <f aca="false">IF(A33=1901,"Carnegie Steel bought for $480m in Pacifica Steel 5% gold bonds and 7% preference shares","No separately priced acquisition")</f>
        <v>No separately priced acquisition</v>
      </c>
      <c r="V33" s="107" t="n">
        <f aca="false">Y32</f>
        <v>0</v>
      </c>
      <c r="W33" s="107" t="n">
        <f aca="false">V33+K33</f>
        <v>0.872247713988015</v>
      </c>
      <c r="X33" s="107" t="n">
        <f aca="false">MIN('Champion funding'!D33-'Champion funding'!F33,W33)</f>
        <v>0.872247713988015</v>
      </c>
      <c r="Y33" s="107" t="n">
        <f aca="false">W33-X33</f>
        <v>0</v>
      </c>
      <c r="Z33" s="123" t="n">
        <f aca="false">V33+K33-X33-Y33</f>
        <v>0</v>
      </c>
    </row>
    <row r="34" customFormat="false" ht="19.5" hidden="false" customHeight="true" outlineLevel="0" collapsed="false">
      <c r="A34" s="111" t="n">
        <v>1874</v>
      </c>
      <c r="B34" s="107" t="n">
        <f aca="false">C33</f>
        <v>16.1383528843603</v>
      </c>
      <c r="C34" s="122" t="n">
        <f aca="false">Champions!AY34-Champions!Q34</f>
        <v>20.2073229518815</v>
      </c>
      <c r="D34" s="107" t="n">
        <f aca="false">MAX(0,C34-B34)</f>
        <v>4.06897006752121</v>
      </c>
      <c r="E34" s="107" t="n">
        <f aca="false">MAX(0,B34-C34)</f>
        <v>0</v>
      </c>
      <c r="F34" s="123" t="n">
        <f aca="false">B34+D34-E34-C34</f>
        <v>0</v>
      </c>
      <c r="G34" s="107" t="n">
        <f aca="false">H33</f>
        <v>0</v>
      </c>
      <c r="H34" s="122" t="n">
        <f aca="false">Champions!Q34</f>
        <v>0</v>
      </c>
      <c r="I34" s="107" t="n">
        <f aca="false">H34-G34</f>
        <v>0</v>
      </c>
      <c r="J34" s="122" t="n">
        <f aca="false">MAX(0,Champions!BA34)*(1-crown_payout)</f>
        <v>2.01462968365668</v>
      </c>
      <c r="K34" s="122" t="n">
        <f aca="false">J34*'Sources &amp; uses'!$E$28</f>
        <v>1.00731484182834</v>
      </c>
      <c r="L34" s="107" t="n">
        <f aca="false">ABS('Champion funding'!S34)</f>
        <v>0</v>
      </c>
      <c r="M34" s="122" t="n">
        <f aca="false">Abroad!C34+Abroad!D34</f>
        <v>4.02217336239489</v>
      </c>
      <c r="N34" s="122" t="n">
        <f aca="false">Abroad!F34</f>
        <v>0.59393268894167</v>
      </c>
      <c r="O34" s="122" t="n">
        <f aca="false">Abroad!G34</f>
        <v>0</v>
      </c>
      <c r="P34" s="122" t="n">
        <f aca="false">Abroad!H34</f>
        <v>23.2259969715089</v>
      </c>
      <c r="Q34" s="122" t="n">
        <f aca="false">Abroad!S34</f>
        <v>0</v>
      </c>
      <c r="R34" s="122" t="n">
        <f aca="false">Abroad!C34-Q34</f>
        <v>4.02217336239489</v>
      </c>
      <c r="S34" s="107" t="n">
        <f aca="false">0</f>
        <v>0</v>
      </c>
      <c r="T34" s="122" t="n">
        <f aca="false">P34-'War credit'!T34-Abroad!U34-S34</f>
        <v>23.2259969715089</v>
      </c>
      <c r="U34" s="107" t="str">
        <f aca="false">IF(A34=1901,"Carnegie Steel bought for $480m in Pacifica Steel 5% gold bonds and 7% preference shares","No separately priced acquisition")</f>
        <v>No separately priced acquisition</v>
      </c>
      <c r="V34" s="107" t="n">
        <f aca="false">Y33</f>
        <v>0</v>
      </c>
      <c r="W34" s="107" t="n">
        <f aca="false">V34+K34</f>
        <v>1.00731484182834</v>
      </c>
      <c r="X34" s="107" t="n">
        <f aca="false">MIN('Champion funding'!D34-'Champion funding'!F34,W34)</f>
        <v>1.00731484182834</v>
      </c>
      <c r="Y34" s="107" t="n">
        <f aca="false">W34-X34</f>
        <v>0</v>
      </c>
      <c r="Z34" s="123" t="n">
        <f aca="false">V34+K34-X34-Y34</f>
        <v>0</v>
      </c>
    </row>
    <row r="35" customFormat="false" ht="19.5" hidden="false" customHeight="true" outlineLevel="0" collapsed="false">
      <c r="A35" s="111" t="n">
        <v>1875</v>
      </c>
      <c r="B35" s="107" t="n">
        <f aca="false">C34</f>
        <v>20.2073229518815</v>
      </c>
      <c r="C35" s="122" t="n">
        <f aca="false">Champions!AY35-Champions!Q35</f>
        <v>24.2912518812842</v>
      </c>
      <c r="D35" s="107" t="n">
        <f aca="false">MAX(0,C35-B35)</f>
        <v>4.08392892940269</v>
      </c>
      <c r="E35" s="107" t="n">
        <f aca="false">MAX(0,B35-C35)</f>
        <v>0</v>
      </c>
      <c r="F35" s="123" t="n">
        <f aca="false">B35+D35-E35-C35</f>
        <v>0</v>
      </c>
      <c r="G35" s="107" t="n">
        <f aca="false">H34</f>
        <v>0</v>
      </c>
      <c r="H35" s="122" t="n">
        <f aca="false">Champions!Q35</f>
        <v>0</v>
      </c>
      <c r="I35" s="107" t="n">
        <f aca="false">H35-G35</f>
        <v>0</v>
      </c>
      <c r="J35" s="122" t="n">
        <f aca="false">MAX(0,Champions!BA35)*(1-crown_payout)</f>
        <v>2.31288142652152</v>
      </c>
      <c r="K35" s="122" t="n">
        <f aca="false">J35*'Sources &amp; uses'!$E$28</f>
        <v>1.15644071326076</v>
      </c>
      <c r="L35" s="107" t="n">
        <f aca="false">ABS('Champion funding'!S35)</f>
        <v>0</v>
      </c>
      <c r="M35" s="122" t="n">
        <f aca="false">Abroad!C35+Abroad!D35</f>
        <v>4.35729986784203</v>
      </c>
      <c r="N35" s="122" t="n">
        <f aca="false">Abroad!F35</f>
        <v>0.696779909145267</v>
      </c>
      <c r="O35" s="122" t="n">
        <f aca="false">Abroad!G35</f>
        <v>0</v>
      </c>
      <c r="P35" s="122" t="n">
        <f aca="false">Abroad!H35</f>
        <v>26.8865169302057</v>
      </c>
      <c r="Q35" s="122" t="n">
        <f aca="false">Abroad!S35</f>
        <v>0</v>
      </c>
      <c r="R35" s="122" t="n">
        <f aca="false">Abroad!C35-Q35</f>
        <v>4.35729986784203</v>
      </c>
      <c r="S35" s="107" t="n">
        <f aca="false">0</f>
        <v>0</v>
      </c>
      <c r="T35" s="122" t="n">
        <f aca="false">P35-'War credit'!T35-Abroad!U35-S35</f>
        <v>26.8865169302057</v>
      </c>
      <c r="U35" s="107" t="str">
        <f aca="false">IF(A35=1901,"Carnegie Steel bought for $480m in Pacifica Steel 5% gold bonds and 7% preference shares","No separately priced acquisition")</f>
        <v>No separately priced acquisition</v>
      </c>
      <c r="V35" s="107" t="n">
        <f aca="false">Y34</f>
        <v>0</v>
      </c>
      <c r="W35" s="107" t="n">
        <f aca="false">V35+K35</f>
        <v>1.15644071326076</v>
      </c>
      <c r="X35" s="107" t="n">
        <f aca="false">MIN('Champion funding'!D35-'Champion funding'!F35,W35)</f>
        <v>1.15644071326076</v>
      </c>
      <c r="Y35" s="107" t="n">
        <f aca="false">W35-X35</f>
        <v>0</v>
      </c>
      <c r="Z35" s="123" t="n">
        <f aca="false">V35+K35-X35-Y35</f>
        <v>0</v>
      </c>
    </row>
    <row r="36" customFormat="false" ht="19.5" hidden="false" customHeight="true" outlineLevel="0" collapsed="false">
      <c r="A36" s="111" t="n">
        <v>1876</v>
      </c>
      <c r="B36" s="107" t="n">
        <f aca="false">C35</f>
        <v>24.2912518812842</v>
      </c>
      <c r="C36" s="122" t="n">
        <f aca="false">Champions!AY36-Champions!Q36</f>
        <v>27.3771844635967</v>
      </c>
      <c r="D36" s="107" t="n">
        <f aca="false">MAX(0,C36-B36)</f>
        <v>3.08593258231255</v>
      </c>
      <c r="E36" s="107" t="n">
        <f aca="false">MAX(0,B36-C36)</f>
        <v>0</v>
      </c>
      <c r="F36" s="123" t="n">
        <f aca="false">B36+D36-E36-C36</f>
        <v>0</v>
      </c>
      <c r="G36" s="107" t="n">
        <f aca="false">H35</f>
        <v>0</v>
      </c>
      <c r="H36" s="122" t="n">
        <f aca="false">Champions!Q36</f>
        <v>0</v>
      </c>
      <c r="I36" s="107" t="n">
        <f aca="false">H36-G36</f>
        <v>0</v>
      </c>
      <c r="J36" s="122" t="n">
        <f aca="false">MAX(0,Champions!BA36)*(1-crown_payout)</f>
        <v>2.58002586384936</v>
      </c>
      <c r="K36" s="122" t="n">
        <f aca="false">J36*'Sources &amp; uses'!$E$28</f>
        <v>1.29001293192468</v>
      </c>
      <c r="L36" s="107" t="n">
        <f aca="false">ABS('Champion funding'!S36)</f>
        <v>0</v>
      </c>
      <c r="M36" s="122" t="n">
        <f aca="false">Abroad!C36+Abroad!D36</f>
        <v>4.75032049149813</v>
      </c>
      <c r="N36" s="122" t="n">
        <f aca="false">Abroad!F36</f>
        <v>0.80659550790617</v>
      </c>
      <c r="O36" s="122" t="n">
        <f aca="false">Abroad!G36</f>
        <v>0</v>
      </c>
      <c r="P36" s="122" t="n">
        <f aca="false">Abroad!H36</f>
        <v>30.8302419137976</v>
      </c>
      <c r="Q36" s="122" t="n">
        <f aca="false">Abroad!S36</f>
        <v>0</v>
      </c>
      <c r="R36" s="122" t="n">
        <f aca="false">Abroad!C36-Q36</f>
        <v>4.75032049149813</v>
      </c>
      <c r="S36" s="107" t="n">
        <f aca="false">0</f>
        <v>0</v>
      </c>
      <c r="T36" s="122" t="n">
        <f aca="false">P36-'War credit'!T36-Abroad!U36-S36</f>
        <v>30.8302419137976</v>
      </c>
      <c r="U36" s="107" t="str">
        <f aca="false">IF(A36=1901,"Carnegie Steel bought for $480m in Pacifica Steel 5% gold bonds and 7% preference shares","No separately priced acquisition")</f>
        <v>No separately priced acquisition</v>
      </c>
      <c r="V36" s="107" t="n">
        <f aca="false">Y35</f>
        <v>0</v>
      </c>
      <c r="W36" s="107" t="n">
        <f aca="false">V36+K36</f>
        <v>1.29001293192468</v>
      </c>
      <c r="X36" s="107" t="n">
        <f aca="false">MIN('Champion funding'!D36-'Champion funding'!F36,W36)</f>
        <v>1.29001293192468</v>
      </c>
      <c r="Y36" s="107" t="n">
        <f aca="false">W36-X36</f>
        <v>0</v>
      </c>
      <c r="Z36" s="123" t="n">
        <f aca="false">V36+K36-X36-Y36</f>
        <v>0</v>
      </c>
    </row>
    <row r="37" customFormat="false" ht="19.5" hidden="false" customHeight="true" outlineLevel="0" collapsed="false">
      <c r="A37" s="111" t="n">
        <v>1877</v>
      </c>
      <c r="B37" s="107" t="n">
        <f aca="false">C36</f>
        <v>27.3771844635967</v>
      </c>
      <c r="C37" s="122" t="n">
        <f aca="false">Champions!AY37-Champions!Q37</f>
        <v>30.4853053584696</v>
      </c>
      <c r="D37" s="107" t="n">
        <f aca="false">MAX(0,C37-B37)</f>
        <v>3.1081208948729</v>
      </c>
      <c r="E37" s="107" t="n">
        <f aca="false">MAX(0,B37-C37)</f>
        <v>0</v>
      </c>
      <c r="F37" s="123" t="n">
        <f aca="false">B37+D37-E37-C37</f>
        <v>0</v>
      </c>
      <c r="G37" s="107" t="n">
        <f aca="false">H36</f>
        <v>0</v>
      </c>
      <c r="H37" s="122" t="n">
        <f aca="false">Champions!Q37</f>
        <v>0</v>
      </c>
      <c r="I37" s="107" t="n">
        <f aca="false">H37-G37</f>
        <v>0</v>
      </c>
      <c r="J37" s="122" t="n">
        <f aca="false">MAX(0,Champions!BA37)*(1-crown_payout)</f>
        <v>2.82495638723217</v>
      </c>
      <c r="K37" s="122" t="n">
        <f aca="false">J37*'Sources &amp; uses'!$E$28</f>
        <v>1.41247819361609</v>
      </c>
      <c r="L37" s="107" t="n">
        <f aca="false">ABS('Champion funding'!S37)</f>
        <v>0</v>
      </c>
      <c r="M37" s="122" t="n">
        <f aca="false">Abroad!C37+Abroad!D37</f>
        <v>4.9742912605655</v>
      </c>
      <c r="N37" s="122" t="n">
        <f aca="false">Abroad!F37</f>
        <v>0.924907257413928</v>
      </c>
      <c r="O37" s="122" t="n">
        <f aca="false">Abroad!G37</f>
        <v>0</v>
      </c>
      <c r="P37" s="122" t="n">
        <f aca="false">Abroad!H37</f>
        <v>34.8796259169492</v>
      </c>
      <c r="Q37" s="122" t="n">
        <f aca="false">Abroad!S37</f>
        <v>0</v>
      </c>
      <c r="R37" s="122" t="n">
        <f aca="false">Abroad!C37-Q37</f>
        <v>4.9742912605655</v>
      </c>
      <c r="S37" s="107" t="n">
        <f aca="false">0</f>
        <v>0</v>
      </c>
      <c r="T37" s="122" t="n">
        <f aca="false">P37-'War credit'!T37-Abroad!U37-S37</f>
        <v>34.8796259169492</v>
      </c>
      <c r="U37" s="107" t="str">
        <f aca="false">IF(A37=1901,"Carnegie Steel bought for $480m in Pacifica Steel 5% gold bonds and 7% preference shares","No separately priced acquisition")</f>
        <v>No separately priced acquisition</v>
      </c>
      <c r="V37" s="107" t="n">
        <f aca="false">Y36</f>
        <v>0</v>
      </c>
      <c r="W37" s="107" t="n">
        <f aca="false">V37+K37</f>
        <v>1.41247819361609</v>
      </c>
      <c r="X37" s="107" t="n">
        <f aca="false">MIN('Champion funding'!D37-'Champion funding'!F37,W37)</f>
        <v>1.41247819361609</v>
      </c>
      <c r="Y37" s="107" t="n">
        <f aca="false">W37-X37</f>
        <v>0</v>
      </c>
      <c r="Z37" s="123" t="n">
        <f aca="false">V37+K37-X37-Y37</f>
        <v>0</v>
      </c>
    </row>
    <row r="38" customFormat="false" ht="19.5" hidden="false" customHeight="true" outlineLevel="0" collapsed="false">
      <c r="A38" s="111" t="n">
        <v>1878</v>
      </c>
      <c r="B38" s="107" t="n">
        <f aca="false">C37</f>
        <v>30.4853053584696</v>
      </c>
      <c r="C38" s="122" t="n">
        <f aca="false">Champions!AY38-Champions!Q38</f>
        <v>33.6081208986832</v>
      </c>
      <c r="D38" s="107" t="n">
        <f aca="false">MAX(0,C38-B38)</f>
        <v>3.12281554021354</v>
      </c>
      <c r="E38" s="107" t="n">
        <f aca="false">MAX(0,B38-C38)</f>
        <v>0</v>
      </c>
      <c r="F38" s="123" t="n">
        <f aca="false">B38+D38-E38-C38</f>
        <v>0</v>
      </c>
      <c r="G38" s="107" t="n">
        <f aca="false">H37</f>
        <v>0</v>
      </c>
      <c r="H38" s="122" t="n">
        <f aca="false">Champions!Q38</f>
        <v>0</v>
      </c>
      <c r="I38" s="107" t="n">
        <f aca="false">H38-G38</f>
        <v>0</v>
      </c>
      <c r="J38" s="122" t="n">
        <f aca="false">MAX(0,Champions!BA38)*(1-crown_payout)</f>
        <v>3.07486808669488</v>
      </c>
      <c r="K38" s="122" t="n">
        <f aca="false">J38*'Sources &amp; uses'!$E$28</f>
        <v>1.53743404334744</v>
      </c>
      <c r="L38" s="107" t="n">
        <f aca="false">ABS('Champion funding'!S38)</f>
        <v>0</v>
      </c>
      <c r="M38" s="122" t="n">
        <f aca="false">Abroad!C38+Abroad!D38</f>
        <v>5.2998979403721</v>
      </c>
      <c r="N38" s="122" t="n">
        <f aca="false">Abroad!F38</f>
        <v>1.04638877750848</v>
      </c>
      <c r="O38" s="122" t="n">
        <f aca="false">Abroad!G38</f>
        <v>0</v>
      </c>
      <c r="P38" s="122" t="n">
        <f aca="false">Abroad!H38</f>
        <v>39.1331350798128</v>
      </c>
      <c r="Q38" s="122" t="n">
        <f aca="false">Abroad!S38</f>
        <v>0</v>
      </c>
      <c r="R38" s="122" t="n">
        <f aca="false">Abroad!C38-Q38</f>
        <v>5.2998979403721</v>
      </c>
      <c r="S38" s="107" t="n">
        <f aca="false">0</f>
        <v>0</v>
      </c>
      <c r="T38" s="122" t="n">
        <f aca="false">P38-'War credit'!T38-Abroad!U38-S38</f>
        <v>39.1331350798128</v>
      </c>
      <c r="U38" s="107" t="str">
        <f aca="false">IF(A38=1901,"Carnegie Steel bought for $480m in Pacifica Steel 5% gold bonds and 7% preference shares","No separately priced acquisition")</f>
        <v>No separately priced acquisition</v>
      </c>
      <c r="V38" s="107" t="n">
        <f aca="false">Y37</f>
        <v>0</v>
      </c>
      <c r="W38" s="107" t="n">
        <f aca="false">V38+K38</f>
        <v>1.53743404334744</v>
      </c>
      <c r="X38" s="107" t="n">
        <f aca="false">MIN('Champion funding'!D38-'Champion funding'!F38,W38)</f>
        <v>1.53743404334744</v>
      </c>
      <c r="Y38" s="107" t="n">
        <f aca="false">W38-X38</f>
        <v>0</v>
      </c>
      <c r="Z38" s="123" t="n">
        <f aca="false">V38+K38-X38-Y38</f>
        <v>0</v>
      </c>
    </row>
    <row r="39" customFormat="false" ht="19.5" hidden="false" customHeight="true" outlineLevel="0" collapsed="false">
      <c r="A39" s="111" t="n">
        <v>1879</v>
      </c>
      <c r="B39" s="107" t="n">
        <f aca="false">C38</f>
        <v>33.6081208986832</v>
      </c>
      <c r="C39" s="122" t="n">
        <f aca="false">Champions!AY39-Champions!Q39</f>
        <v>37.7673167903773</v>
      </c>
      <c r="D39" s="107" t="n">
        <f aca="false">MAX(0,C39-B39)</f>
        <v>4.1591958916941</v>
      </c>
      <c r="E39" s="107" t="n">
        <f aca="false">MAX(0,B39-C39)</f>
        <v>0</v>
      </c>
      <c r="F39" s="123" t="n">
        <f aca="false">B39+D39-E39-C39</f>
        <v>0</v>
      </c>
      <c r="G39" s="107" t="n">
        <f aca="false">H38</f>
        <v>0</v>
      </c>
      <c r="H39" s="122" t="n">
        <f aca="false">Champions!Q39</f>
        <v>0</v>
      </c>
      <c r="I39" s="107" t="n">
        <f aca="false">H39-G39</f>
        <v>0</v>
      </c>
      <c r="J39" s="122" t="n">
        <f aca="false">MAX(0,Champions!BA39)*(1-crown_payout)</f>
        <v>3.34507676658101</v>
      </c>
      <c r="K39" s="122" t="n">
        <f aca="false">J39*'Sources &amp; uses'!$E$28</f>
        <v>1.6725383832905</v>
      </c>
      <c r="L39" s="107" t="n">
        <f aca="false">ABS('Champion funding'!S39)</f>
        <v>0</v>
      </c>
      <c r="M39" s="122" t="n">
        <f aca="false">Abroad!C39+Abroad!D39</f>
        <v>5.5572158122567</v>
      </c>
      <c r="N39" s="122" t="n">
        <f aca="false">Abroad!F39</f>
        <v>1.17399405239438</v>
      </c>
      <c r="O39" s="122" t="n">
        <f aca="false">Abroad!G39</f>
        <v>0</v>
      </c>
      <c r="P39" s="122" t="n">
        <f aca="false">Abroad!H39</f>
        <v>43.5163568396751</v>
      </c>
      <c r="Q39" s="122" t="n">
        <f aca="false">Abroad!S39</f>
        <v>0</v>
      </c>
      <c r="R39" s="122" t="n">
        <f aca="false">Abroad!C39-Q39</f>
        <v>5.5572158122567</v>
      </c>
      <c r="S39" s="107" t="n">
        <f aca="false">0</f>
        <v>0</v>
      </c>
      <c r="T39" s="122" t="n">
        <f aca="false">P39-'War credit'!T39-Abroad!U39-S39</f>
        <v>43.5163568396751</v>
      </c>
      <c r="U39" s="107" t="str">
        <f aca="false">IF(A39=1901,"Carnegie Steel bought for $480m in Pacifica Steel 5% gold bonds and 7% preference shares","No separately priced acquisition")</f>
        <v>No separately priced acquisition</v>
      </c>
      <c r="V39" s="107" t="n">
        <f aca="false">Y38</f>
        <v>0</v>
      </c>
      <c r="W39" s="107" t="n">
        <f aca="false">V39+K39</f>
        <v>1.6725383832905</v>
      </c>
      <c r="X39" s="107" t="n">
        <f aca="false">MIN('Champion funding'!D39-'Champion funding'!F39,W39)</f>
        <v>1.6725383832905</v>
      </c>
      <c r="Y39" s="107" t="n">
        <f aca="false">W39-X39</f>
        <v>0</v>
      </c>
      <c r="Z39" s="123" t="n">
        <f aca="false">V39+K39-X39-Y39</f>
        <v>0</v>
      </c>
    </row>
    <row r="40" customFormat="false" ht="19.5" hidden="false" customHeight="true" outlineLevel="0" collapsed="false">
      <c r="A40" s="111" t="n">
        <v>1880</v>
      </c>
      <c r="B40" s="107" t="n">
        <f aca="false">C39</f>
        <v>37.7673167903773</v>
      </c>
      <c r="C40" s="122" t="n">
        <f aca="false">Champions!AY40-Champions!Q40</f>
        <v>41.9508735802518</v>
      </c>
      <c r="D40" s="107" t="n">
        <f aca="false">MAX(0,C40-B40)</f>
        <v>4.18355678987455</v>
      </c>
      <c r="E40" s="107" t="n">
        <f aca="false">MAX(0,B40-C40)</f>
        <v>0</v>
      </c>
      <c r="F40" s="123" t="n">
        <f aca="false">B40+D40-E40-C40</f>
        <v>0</v>
      </c>
      <c r="G40" s="107" t="n">
        <f aca="false">H39</f>
        <v>0</v>
      </c>
      <c r="H40" s="122" t="n">
        <f aca="false">Champions!Q40</f>
        <v>4.29740656187946</v>
      </c>
      <c r="I40" s="107" t="n">
        <f aca="false">H40-G40</f>
        <v>4.29740656187946</v>
      </c>
      <c r="J40" s="122" t="n">
        <f aca="false">MAX(0,Champions!BA40)*(1-crown_payout)</f>
        <v>3.99454171847081</v>
      </c>
      <c r="K40" s="122" t="n">
        <f aca="false">J40*'Sources &amp; uses'!$E$28</f>
        <v>1.9972708592354</v>
      </c>
      <c r="L40" s="107" t="n">
        <f aca="false">ABS('Champion funding'!S40)</f>
        <v>0</v>
      </c>
      <c r="M40" s="122" t="n">
        <f aca="false">Abroad!C40+Abroad!D40</f>
        <v>5.87086364958515</v>
      </c>
      <c r="N40" s="122" t="n">
        <f aca="false">Abroad!F40</f>
        <v>1.30549070519025</v>
      </c>
      <c r="O40" s="122" t="n">
        <f aca="false">Abroad!G40</f>
        <v>0</v>
      </c>
      <c r="P40" s="122" t="n">
        <f aca="false">Abroad!H40</f>
        <v>48.08172978407</v>
      </c>
      <c r="Q40" s="122" t="n">
        <f aca="false">Abroad!S40</f>
        <v>0</v>
      </c>
      <c r="R40" s="122" t="n">
        <f aca="false">Abroad!C40-Q40</f>
        <v>5.87086364958515</v>
      </c>
      <c r="S40" s="107" t="n">
        <f aca="false">0</f>
        <v>0</v>
      </c>
      <c r="T40" s="122" t="n">
        <f aca="false">P40-'War credit'!T40-Abroad!U40-S40</f>
        <v>48.08172978407</v>
      </c>
      <c r="U40" s="107" t="str">
        <f aca="false">IF(A40=1901,"Carnegie Steel bought for $480m in Pacifica Steel 5% gold bonds and 7% preference shares","No separately priced acquisition")</f>
        <v>No separately priced acquisition</v>
      </c>
      <c r="V40" s="107" t="n">
        <f aca="false">Y39</f>
        <v>0</v>
      </c>
      <c r="W40" s="107" t="n">
        <f aca="false">V40+K40</f>
        <v>1.9972708592354</v>
      </c>
      <c r="X40" s="107" t="n">
        <f aca="false">MIN('Champion funding'!D40-'Champion funding'!F40,W40)</f>
        <v>1.9972708592354</v>
      </c>
      <c r="Y40" s="107" t="n">
        <f aca="false">W40-X40</f>
        <v>0</v>
      </c>
      <c r="Z40" s="123" t="n">
        <f aca="false">V40+K40-X40-Y40</f>
        <v>0</v>
      </c>
    </row>
    <row r="41" customFormat="false" ht="19.5" hidden="false" customHeight="true" outlineLevel="0" collapsed="false">
      <c r="A41" s="111" t="n">
        <v>1881</v>
      </c>
      <c r="B41" s="107" t="n">
        <f aca="false">C40</f>
        <v>41.9508735802518</v>
      </c>
      <c r="C41" s="122" t="n">
        <f aca="false">Champions!AY41-Champions!Q41</f>
        <v>49.340502511962</v>
      </c>
      <c r="D41" s="107" t="n">
        <f aca="false">MAX(0,C41-B41)</f>
        <v>7.38962893171021</v>
      </c>
      <c r="E41" s="107" t="n">
        <f aca="false">MAX(0,B41-C41)</f>
        <v>0</v>
      </c>
      <c r="F41" s="123" t="n">
        <f aca="false">B41+D41-E41-C41</f>
        <v>0</v>
      </c>
      <c r="G41" s="107" t="n">
        <f aca="false">H40</f>
        <v>4.29740656187946</v>
      </c>
      <c r="H41" s="122" t="n">
        <f aca="false">Champions!Q41</f>
        <v>4.30290298989736</v>
      </c>
      <c r="I41" s="107" t="n">
        <f aca="false">H41-G41</f>
        <v>0.00549642801790107</v>
      </c>
      <c r="J41" s="122" t="n">
        <f aca="false">MAX(0,Champions!BA41)*(1-crown_payout)</f>
        <v>4.57951818210504</v>
      </c>
      <c r="K41" s="122" t="n">
        <f aca="false">J41*'Sources &amp; uses'!$E$28</f>
        <v>2.28975909105252</v>
      </c>
      <c r="L41" s="107" t="n">
        <f aca="false">ABS('Champion funding'!S41)</f>
        <v>0</v>
      </c>
      <c r="M41" s="122" t="n">
        <f aca="false">Abroad!C41+Abroad!D41</f>
        <v>6.23850558396075</v>
      </c>
      <c r="N41" s="122" t="n">
        <f aca="false">Abroad!F41</f>
        <v>1.4424518935221</v>
      </c>
      <c r="O41" s="122" t="n">
        <f aca="false">Abroad!G41</f>
        <v>0</v>
      </c>
      <c r="P41" s="122" t="n">
        <f aca="false">Abroad!H41</f>
        <v>52.8777834745087</v>
      </c>
      <c r="Q41" s="122" t="n">
        <f aca="false">Abroad!S41</f>
        <v>0</v>
      </c>
      <c r="R41" s="122" t="n">
        <f aca="false">Abroad!C41-Q41</f>
        <v>6.23850558396075</v>
      </c>
      <c r="S41" s="107" t="n">
        <f aca="false">0</f>
        <v>0</v>
      </c>
      <c r="T41" s="122" t="n">
        <f aca="false">P41-'War credit'!T41-Abroad!U41-S41</f>
        <v>52.8777834745087</v>
      </c>
      <c r="U41" s="107" t="str">
        <f aca="false">IF(A41=1901,"Carnegie Steel bought for $480m in Pacifica Steel 5% gold bonds and 7% preference shares","No separately priced acquisition")</f>
        <v>No separately priced acquisition</v>
      </c>
      <c r="V41" s="107" t="n">
        <f aca="false">Y40</f>
        <v>0</v>
      </c>
      <c r="W41" s="107" t="n">
        <f aca="false">V41+K41</f>
        <v>2.28975909105252</v>
      </c>
      <c r="X41" s="107" t="n">
        <f aca="false">MIN('Champion funding'!D41-'Champion funding'!F41,W41)</f>
        <v>2.28975909105252</v>
      </c>
      <c r="Y41" s="107" t="n">
        <f aca="false">W41-X41</f>
        <v>0</v>
      </c>
      <c r="Z41" s="123" t="n">
        <f aca="false">V41+K41-X41-Y41</f>
        <v>0</v>
      </c>
    </row>
    <row r="42" customFormat="false" ht="19.5" hidden="false" customHeight="true" outlineLevel="0" collapsed="false">
      <c r="A42" s="111" t="n">
        <v>1882</v>
      </c>
      <c r="B42" s="107" t="n">
        <f aca="false">C41</f>
        <v>49.340502511962</v>
      </c>
      <c r="C42" s="122" t="n">
        <f aca="false">Champions!AY42-Champions!Q42</f>
        <v>55.6462713554809</v>
      </c>
      <c r="D42" s="107" t="n">
        <f aca="false">MAX(0,C42-B42)</f>
        <v>6.30576884351884</v>
      </c>
      <c r="E42" s="107" t="n">
        <f aca="false">MAX(0,B42-C42)</f>
        <v>0</v>
      </c>
      <c r="F42" s="123" t="n">
        <f aca="false">B42+D42-E42-C42</f>
        <v>0</v>
      </c>
      <c r="G42" s="107" t="n">
        <f aca="false">H41</f>
        <v>4.30290298989736</v>
      </c>
      <c r="H42" s="122" t="n">
        <f aca="false">Champions!Q42</f>
        <v>8.58395259983622</v>
      </c>
      <c r="I42" s="107" t="n">
        <f aca="false">H42-G42</f>
        <v>4.28104960993886</v>
      </c>
      <c r="J42" s="122" t="n">
        <f aca="false">MAX(0,Champions!BA42)*(1-crown_payout)</f>
        <v>5.33688961759325</v>
      </c>
      <c r="K42" s="122" t="n">
        <f aca="false">J42*'Sources &amp; uses'!$E$28</f>
        <v>2.66844480879662</v>
      </c>
      <c r="L42" s="107" t="n">
        <f aca="false">ABS('Champion funding'!S42)</f>
        <v>0</v>
      </c>
      <c r="M42" s="122" t="n">
        <f aca="false">Abroad!C42+Abroad!D42</f>
        <v>6.60298053092956</v>
      </c>
      <c r="N42" s="122" t="n">
        <f aca="false">Abroad!F42</f>
        <v>1.58633350423526</v>
      </c>
      <c r="O42" s="122" t="n">
        <f aca="false">Abroad!G42</f>
        <v>0</v>
      </c>
      <c r="P42" s="122" t="n">
        <f aca="false">Abroad!H42</f>
        <v>57.894430501203</v>
      </c>
      <c r="Q42" s="122" t="n">
        <f aca="false">Abroad!S42</f>
        <v>0</v>
      </c>
      <c r="R42" s="122" t="n">
        <f aca="false">Abroad!C42-Q42</f>
        <v>6.60298053092956</v>
      </c>
      <c r="S42" s="107" t="n">
        <f aca="false">0</f>
        <v>0</v>
      </c>
      <c r="T42" s="122" t="n">
        <f aca="false">P42-'War credit'!T42-Abroad!U42-S42</f>
        <v>57.894430501203</v>
      </c>
      <c r="U42" s="107" t="str">
        <f aca="false">IF(A42=1901,"Carnegie Steel bought for $480m in Pacifica Steel 5% gold bonds and 7% preference shares","No separately priced acquisition")</f>
        <v>No separately priced acquisition</v>
      </c>
      <c r="V42" s="107" t="n">
        <f aca="false">Y41</f>
        <v>0</v>
      </c>
      <c r="W42" s="107" t="n">
        <f aca="false">V42+K42</f>
        <v>2.66844480879662</v>
      </c>
      <c r="X42" s="107" t="n">
        <f aca="false">MIN('Champion funding'!D42-'Champion funding'!F42,W42)</f>
        <v>2.66844480879662</v>
      </c>
      <c r="Y42" s="107" t="n">
        <f aca="false">W42-X42</f>
        <v>0</v>
      </c>
      <c r="Z42" s="123" t="n">
        <f aca="false">V42+K42-X42-Y42</f>
        <v>0</v>
      </c>
    </row>
    <row r="43" customFormat="false" ht="19.5" hidden="false" customHeight="true" outlineLevel="0" collapsed="false">
      <c r="A43" s="111" t="n">
        <v>1883</v>
      </c>
      <c r="B43" s="107" t="n">
        <f aca="false">C42</f>
        <v>55.6462713554809</v>
      </c>
      <c r="C43" s="122" t="n">
        <f aca="false">Champions!AY43-Champions!Q43</f>
        <v>63.0420227791787</v>
      </c>
      <c r="D43" s="107" t="n">
        <f aca="false">MAX(0,C43-B43)</f>
        <v>7.39575142369787</v>
      </c>
      <c r="E43" s="107" t="n">
        <f aca="false">MAX(0,B43-C43)</f>
        <v>0</v>
      </c>
      <c r="F43" s="123" t="n">
        <f aca="false">B43+D43-E43-C43</f>
        <v>0</v>
      </c>
      <c r="G43" s="107" t="n">
        <f aca="false">H42</f>
        <v>8.58395259983622</v>
      </c>
      <c r="H43" s="122" t="n">
        <f aca="false">Champions!Q43</f>
        <v>8.5799159526679</v>
      </c>
      <c r="I43" s="107" t="n">
        <f aca="false">H43-G43</f>
        <v>-0.00403664716831642</v>
      </c>
      <c r="J43" s="122" t="n">
        <f aca="false">MAX(0,Champions!BA43)*(1-crown_payout)</f>
        <v>5.86399326803605</v>
      </c>
      <c r="K43" s="122" t="n">
        <f aca="false">J43*'Sources &amp; uses'!$E$28</f>
        <v>2.93199663401803</v>
      </c>
      <c r="L43" s="107" t="n">
        <f aca="false">ABS('Champion funding'!S43)</f>
        <v>0</v>
      </c>
      <c r="M43" s="122" t="n">
        <f aca="false">Abroad!C43+Abroad!D43</f>
        <v>6.98012140342332</v>
      </c>
      <c r="N43" s="122" t="n">
        <f aca="false">Abroad!F43</f>
        <v>1.73683291503609</v>
      </c>
      <c r="O43" s="122" t="n">
        <f aca="false">Abroad!G43</f>
        <v>0</v>
      </c>
      <c r="P43" s="122" t="n">
        <f aca="false">Abroad!H43</f>
        <v>63.1377189895902</v>
      </c>
      <c r="Q43" s="122" t="n">
        <f aca="false">Abroad!S43</f>
        <v>0</v>
      </c>
      <c r="R43" s="122" t="n">
        <f aca="false">Abroad!C43-Q43</f>
        <v>6.98012140342332</v>
      </c>
      <c r="S43" s="107" t="n">
        <f aca="false">0</f>
        <v>0</v>
      </c>
      <c r="T43" s="122" t="n">
        <f aca="false">P43-'War credit'!T43-Abroad!U43-S43</f>
        <v>63.1377189895902</v>
      </c>
      <c r="U43" s="107" t="str">
        <f aca="false">IF(A43=1901,"Carnegie Steel bought for $480m in Pacifica Steel 5% gold bonds and 7% preference shares","No separately priced acquisition")</f>
        <v>No separately priced acquisition</v>
      </c>
      <c r="V43" s="107" t="n">
        <f aca="false">Y42</f>
        <v>0</v>
      </c>
      <c r="W43" s="107" t="n">
        <f aca="false">V43+K43</f>
        <v>2.93199663401803</v>
      </c>
      <c r="X43" s="107" t="n">
        <f aca="false">MIN('Champion funding'!D43-'Champion funding'!F43,W43)</f>
        <v>2.93199663401803</v>
      </c>
      <c r="Y43" s="107" t="n">
        <f aca="false">W43-X43</f>
        <v>0</v>
      </c>
      <c r="Z43" s="123" t="n">
        <f aca="false">V43+K43-X43-Y43</f>
        <v>0</v>
      </c>
    </row>
    <row r="44" customFormat="false" ht="19.5" hidden="false" customHeight="true" outlineLevel="0" collapsed="false">
      <c r="A44" s="111" t="n">
        <v>1884</v>
      </c>
      <c r="B44" s="107" t="n">
        <f aca="false">C43</f>
        <v>63.0420227791787</v>
      </c>
      <c r="C44" s="122" t="n">
        <f aca="false">Champions!AY44-Champions!Q44</f>
        <v>70.5236822284424</v>
      </c>
      <c r="D44" s="107" t="n">
        <f aca="false">MAX(0,C44-B44)</f>
        <v>7.48165944926363</v>
      </c>
      <c r="E44" s="107" t="n">
        <f aca="false">MAX(0,B44-C44)</f>
        <v>0</v>
      </c>
      <c r="F44" s="123" t="n">
        <f aca="false">B44+D44-E44-C44</f>
        <v>0</v>
      </c>
      <c r="G44" s="107" t="n">
        <f aca="false">H43</f>
        <v>8.5799159526679</v>
      </c>
      <c r="H44" s="122" t="n">
        <f aca="false">Champions!Q44</f>
        <v>12.8498297472118</v>
      </c>
      <c r="I44" s="107" t="n">
        <f aca="false">H44-G44</f>
        <v>4.26991379454388</v>
      </c>
      <c r="J44" s="122" t="n">
        <f aca="false">MAX(0,Champions!BA44)*(1-crown_payout)</f>
        <v>6.64747931781506</v>
      </c>
      <c r="K44" s="122" t="n">
        <f aca="false">J44*'Sources &amp; uses'!$E$28</f>
        <v>3.32373965890753</v>
      </c>
      <c r="L44" s="107" t="n">
        <f aca="false">ABS('Champion funding'!S44)</f>
        <v>0</v>
      </c>
      <c r="M44" s="122" t="n">
        <f aca="false">Abroad!C44+Abroad!D44</f>
        <v>7.22872713324319</v>
      </c>
      <c r="N44" s="122" t="n">
        <f aca="false">Abroad!F44</f>
        <v>1.89413156968771</v>
      </c>
      <c r="O44" s="122" t="n">
        <f aca="false">Abroad!G44</f>
        <v>0</v>
      </c>
      <c r="P44" s="122" t="n">
        <f aca="false">Abroad!H44</f>
        <v>68.4723145531457</v>
      </c>
      <c r="Q44" s="122" t="n">
        <f aca="false">Abroad!S44</f>
        <v>0</v>
      </c>
      <c r="R44" s="122" t="n">
        <f aca="false">Abroad!C44-Q44</f>
        <v>7.22872713324319</v>
      </c>
      <c r="S44" s="107" t="n">
        <f aca="false">0</f>
        <v>0</v>
      </c>
      <c r="T44" s="122" t="n">
        <f aca="false">P44-'War credit'!T44-Abroad!U44-S44</f>
        <v>68.4723145531457</v>
      </c>
      <c r="U44" s="107" t="str">
        <f aca="false">IF(A44=1901,"Carnegie Steel bought for $480m in Pacifica Steel 5% gold bonds and 7% preference shares","No separately priced acquisition")</f>
        <v>No separately priced acquisition</v>
      </c>
      <c r="V44" s="107" t="n">
        <f aca="false">Y43</f>
        <v>0</v>
      </c>
      <c r="W44" s="107" t="n">
        <f aca="false">V44+K44</f>
        <v>3.32373965890753</v>
      </c>
      <c r="X44" s="107" t="n">
        <f aca="false">MIN('Champion funding'!D44-'Champion funding'!F44,W44)</f>
        <v>3.32373965890753</v>
      </c>
      <c r="Y44" s="107" t="n">
        <f aca="false">W44-X44</f>
        <v>0</v>
      </c>
      <c r="Z44" s="123" t="n">
        <f aca="false">V44+K44-X44-Y44</f>
        <v>0</v>
      </c>
    </row>
    <row r="45" customFormat="false" ht="19.5" hidden="false" customHeight="true" outlineLevel="0" collapsed="false">
      <c r="A45" s="111" t="n">
        <v>1885</v>
      </c>
      <c r="B45" s="107" t="n">
        <f aca="false">C44</f>
        <v>70.5236822284424</v>
      </c>
      <c r="C45" s="122" t="n">
        <f aca="false">Champions!AY45-Champions!Q45</f>
        <v>78.1273341427887</v>
      </c>
      <c r="D45" s="107" t="n">
        <f aca="false">MAX(0,C45-B45)</f>
        <v>7.60365191434637</v>
      </c>
      <c r="E45" s="107" t="n">
        <f aca="false">MAX(0,B45-C45)</f>
        <v>0</v>
      </c>
      <c r="F45" s="123" t="n">
        <f aca="false">B45+D45-E45-C45</f>
        <v>0</v>
      </c>
      <c r="G45" s="107" t="n">
        <f aca="false">H44</f>
        <v>12.8498297472118</v>
      </c>
      <c r="H45" s="122" t="n">
        <f aca="false">Champions!Q45</f>
        <v>12.8628842932687</v>
      </c>
      <c r="I45" s="107" t="n">
        <f aca="false">H45-G45</f>
        <v>0.0130545460569582</v>
      </c>
      <c r="J45" s="122" t="n">
        <f aca="false">MAX(0,Champions!BA45)*(1-crown_payout)</f>
        <v>7.48199436640774</v>
      </c>
      <c r="K45" s="122" t="n">
        <f aca="false">J45*'Sources &amp; uses'!$E$28</f>
        <v>3.74099718320387</v>
      </c>
      <c r="L45" s="107" t="n">
        <f aca="false">ABS('Champion funding'!S45)</f>
        <v>0</v>
      </c>
      <c r="M45" s="122" t="n">
        <f aca="false">Abroad!C45+Abroad!D45</f>
        <v>7.63771051289339</v>
      </c>
      <c r="N45" s="122" t="n">
        <f aca="false">Abroad!F45</f>
        <v>2.05416943659437</v>
      </c>
      <c r="O45" s="122" t="n">
        <f aca="false">Abroad!G45</f>
        <v>0</v>
      </c>
      <c r="P45" s="122" t="n">
        <f aca="false">Abroad!H45</f>
        <v>74.0558556294447</v>
      </c>
      <c r="Q45" s="122" t="n">
        <f aca="false">Abroad!S45</f>
        <v>0</v>
      </c>
      <c r="R45" s="122" t="n">
        <f aca="false">Abroad!C45-Q45</f>
        <v>7.63771051289339</v>
      </c>
      <c r="S45" s="107" t="n">
        <f aca="false">0</f>
        <v>0</v>
      </c>
      <c r="T45" s="122" t="n">
        <f aca="false">P45-'War credit'!T45-Abroad!U45-S45</f>
        <v>74.0558556294447</v>
      </c>
      <c r="U45" s="107" t="str">
        <f aca="false">IF(A45=1901,"Carnegie Steel bought for $480m in Pacifica Steel 5% gold bonds and 7% preference shares","No separately priced acquisition")</f>
        <v>No separately priced acquisition</v>
      </c>
      <c r="V45" s="107" t="n">
        <f aca="false">Y44</f>
        <v>0</v>
      </c>
      <c r="W45" s="107" t="n">
        <f aca="false">V45+K45</f>
        <v>3.74099718320387</v>
      </c>
      <c r="X45" s="107" t="n">
        <f aca="false">MIN('Champion funding'!D45-'Champion funding'!F45,W45)</f>
        <v>3.74099718320387</v>
      </c>
      <c r="Y45" s="107" t="n">
        <f aca="false">W45-X45</f>
        <v>0</v>
      </c>
      <c r="Z45" s="123" t="n">
        <f aca="false">V45+K45-X45-Y45</f>
        <v>0</v>
      </c>
    </row>
    <row r="46" customFormat="false" ht="19.5" hidden="false" customHeight="true" outlineLevel="0" collapsed="false">
      <c r="A46" s="111" t="n">
        <v>1886</v>
      </c>
      <c r="B46" s="107" t="n">
        <f aca="false">C45</f>
        <v>78.1273341427887</v>
      </c>
      <c r="C46" s="122" t="n">
        <f aca="false">Champions!AY46-Champions!Q46</f>
        <v>84.6651533294838</v>
      </c>
      <c r="D46" s="107" t="n">
        <f aca="false">MAX(0,C46-B46)</f>
        <v>6.53781918669505</v>
      </c>
      <c r="E46" s="107" t="n">
        <f aca="false">MAX(0,B46-C46)</f>
        <v>0</v>
      </c>
      <c r="F46" s="123" t="n">
        <f aca="false">B46+D46-E46-C46</f>
        <v>0</v>
      </c>
      <c r="G46" s="107" t="n">
        <f aca="false">H45</f>
        <v>12.8628842932687</v>
      </c>
      <c r="H46" s="122" t="n">
        <f aca="false">Champions!Q46</f>
        <v>17.1211754510734</v>
      </c>
      <c r="I46" s="107" t="n">
        <f aca="false">H46-G46</f>
        <v>4.25829115780465</v>
      </c>
      <c r="J46" s="122" t="n">
        <f aca="false">MAX(0,Champions!BA46)*(1-crown_payout)</f>
        <v>8.45627189464432</v>
      </c>
      <c r="K46" s="122" t="n">
        <f aca="false">J46*'Sources &amp; uses'!$E$28</f>
        <v>4.22813594732216</v>
      </c>
      <c r="L46" s="107" t="n">
        <f aca="false">ABS('Champion funding'!S46)</f>
        <v>0</v>
      </c>
      <c r="M46" s="122" t="n">
        <f aca="false">Abroad!C46+Abroad!D46</f>
        <v>8.32832777764271</v>
      </c>
      <c r="N46" s="122" t="n">
        <f aca="false">Abroad!F46</f>
        <v>2.22167566888334</v>
      </c>
      <c r="O46" s="122" t="n">
        <f aca="false">Abroad!G46</f>
        <v>0</v>
      </c>
      <c r="P46" s="122" t="n">
        <f aca="false">Abroad!H46</f>
        <v>80.1625077382041</v>
      </c>
      <c r="Q46" s="122" t="n">
        <f aca="false">Abroad!S46</f>
        <v>0</v>
      </c>
      <c r="R46" s="122" t="n">
        <f aca="false">Abroad!C46-Q46</f>
        <v>8.32832777764271</v>
      </c>
      <c r="S46" s="107" t="n">
        <f aca="false">0</f>
        <v>0</v>
      </c>
      <c r="T46" s="122" t="n">
        <f aca="false">P46-'War credit'!T46-Abroad!U46-S46</f>
        <v>80.1625077382041</v>
      </c>
      <c r="U46" s="107" t="str">
        <f aca="false">IF(A46=1901,"Carnegie Steel bought for $480m in Pacifica Steel 5% gold bonds and 7% preference shares","No separately priced acquisition")</f>
        <v>No separately priced acquisition</v>
      </c>
      <c r="V46" s="107" t="n">
        <f aca="false">Y45</f>
        <v>0</v>
      </c>
      <c r="W46" s="107" t="n">
        <f aca="false">V46+K46</f>
        <v>4.22813594732216</v>
      </c>
      <c r="X46" s="107" t="n">
        <f aca="false">MIN('Champion funding'!D46-'Champion funding'!F46,W46)</f>
        <v>4.22813594732216</v>
      </c>
      <c r="Y46" s="107" t="n">
        <f aca="false">W46-X46</f>
        <v>0</v>
      </c>
      <c r="Z46" s="123" t="n">
        <f aca="false">V46+K46-X46-Y46</f>
        <v>0</v>
      </c>
    </row>
    <row r="47" customFormat="false" ht="19.5" hidden="false" customHeight="true" outlineLevel="0" collapsed="false">
      <c r="A47" s="111" t="n">
        <v>1887</v>
      </c>
      <c r="B47" s="107" t="n">
        <f aca="false">C46</f>
        <v>84.6651533294838</v>
      </c>
      <c r="C47" s="122" t="n">
        <f aca="false">Champions!AY47-Champions!Q47</f>
        <v>91.3442248177191</v>
      </c>
      <c r="D47" s="107" t="n">
        <f aca="false">MAX(0,C47-B47)</f>
        <v>6.67907148823528</v>
      </c>
      <c r="E47" s="107" t="n">
        <f aca="false">MAX(0,B47-C47)</f>
        <v>0</v>
      </c>
      <c r="F47" s="123" t="n">
        <f aca="false">B47+D47-E47-C47</f>
        <v>0</v>
      </c>
      <c r="G47" s="107" t="n">
        <f aca="false">H46</f>
        <v>17.1211754510734</v>
      </c>
      <c r="H47" s="122" t="n">
        <f aca="false">Champions!Q47</f>
        <v>17.1391163899362</v>
      </c>
      <c r="I47" s="107" t="n">
        <f aca="false">H47-G47</f>
        <v>0.0179409388627754</v>
      </c>
      <c r="J47" s="122" t="n">
        <f aca="false">MAX(0,Champions!BA47)*(1-crown_payout)</f>
        <v>9.07562619913062</v>
      </c>
      <c r="K47" s="122" t="n">
        <f aca="false">J47*'Sources &amp; uses'!$E$28</f>
        <v>4.53781309956531</v>
      </c>
      <c r="L47" s="107" t="n">
        <f aca="false">ABS('Champion funding'!S47)</f>
        <v>0</v>
      </c>
      <c r="M47" s="122" t="n">
        <f aca="false">Abroad!C47+Abroad!D47</f>
        <v>8.91805200752044</v>
      </c>
      <c r="N47" s="122" t="n">
        <f aca="false">Abroad!F47</f>
        <v>2.40487523214612</v>
      </c>
      <c r="O47" s="122" t="n">
        <f aca="false">Abroad!G47</f>
        <v>0</v>
      </c>
      <c r="P47" s="122" t="n">
        <f aca="false">Abroad!H47</f>
        <v>86.6756845135784</v>
      </c>
      <c r="Q47" s="122" t="n">
        <f aca="false">Abroad!S47</f>
        <v>0</v>
      </c>
      <c r="R47" s="122" t="n">
        <f aca="false">Abroad!C47-Q47</f>
        <v>8.91805200752044</v>
      </c>
      <c r="S47" s="107" t="n">
        <f aca="false">0</f>
        <v>0</v>
      </c>
      <c r="T47" s="122" t="n">
        <f aca="false">P47-'War credit'!T47-Abroad!U47-S47</f>
        <v>86.6756845135784</v>
      </c>
      <c r="U47" s="107" t="str">
        <f aca="false">IF(A47=1901,"Carnegie Steel bought for $480m in Pacifica Steel 5% gold bonds and 7% preference shares","No separately priced acquisition")</f>
        <v>No separately priced acquisition</v>
      </c>
      <c r="V47" s="107" t="n">
        <f aca="false">Y46</f>
        <v>0</v>
      </c>
      <c r="W47" s="107" t="n">
        <f aca="false">V47+K47</f>
        <v>4.53781309956531</v>
      </c>
      <c r="X47" s="107" t="n">
        <f aca="false">MIN('Champion funding'!D47-'Champion funding'!F47,W47)</f>
        <v>4.53781309956531</v>
      </c>
      <c r="Y47" s="107" t="n">
        <f aca="false">W47-X47</f>
        <v>0</v>
      </c>
      <c r="Z47" s="123" t="n">
        <f aca="false">V47+K47-X47-Y47</f>
        <v>0</v>
      </c>
    </row>
    <row r="48" customFormat="false" ht="19.5" hidden="false" customHeight="true" outlineLevel="0" collapsed="false">
      <c r="A48" s="111" t="n">
        <v>1888</v>
      </c>
      <c r="B48" s="107" t="n">
        <f aca="false">C47</f>
        <v>91.3442248177191</v>
      </c>
      <c r="C48" s="122" t="n">
        <f aca="false">Champions!AY48-Champions!Q48</f>
        <v>100.451266199625</v>
      </c>
      <c r="D48" s="107" t="n">
        <f aca="false">MAX(0,C48-B48)</f>
        <v>9.10704138190587</v>
      </c>
      <c r="E48" s="107" t="n">
        <f aca="false">MAX(0,B48-C48)</f>
        <v>0</v>
      </c>
      <c r="F48" s="123" t="n">
        <f aca="false">B48+D48-E48-C48</f>
        <v>0</v>
      </c>
      <c r="G48" s="107" t="n">
        <f aca="false">H47</f>
        <v>17.1391163899362</v>
      </c>
      <c r="H48" s="122" t="n">
        <f aca="false">Champions!Q48</f>
        <v>21.4648495142356</v>
      </c>
      <c r="I48" s="107" t="n">
        <f aca="false">H48-G48</f>
        <v>4.32573312429948</v>
      </c>
      <c r="J48" s="122" t="n">
        <f aca="false">MAX(0,Champions!BA48)*(1-crown_payout)</f>
        <v>10.1229499167235</v>
      </c>
      <c r="K48" s="122" t="n">
        <f aca="false">J48*'Sources &amp; uses'!$E$28</f>
        <v>5.06147495836173</v>
      </c>
      <c r="L48" s="107" t="n">
        <f aca="false">ABS('Champion funding'!S48)</f>
        <v>0</v>
      </c>
      <c r="M48" s="122" t="n">
        <f aca="false">Abroad!C48+Abroad!D48</f>
        <v>9.59144627809261</v>
      </c>
      <c r="N48" s="122" t="n">
        <f aca="false">Abroad!F48</f>
        <v>2.60027053540735</v>
      </c>
      <c r="O48" s="122" t="n">
        <f aca="false">Abroad!G48</f>
        <v>0</v>
      </c>
      <c r="P48" s="122" t="n">
        <f aca="false">Abroad!H48</f>
        <v>93.6668602562637</v>
      </c>
      <c r="Q48" s="122" t="n">
        <f aca="false">Abroad!S48</f>
        <v>0</v>
      </c>
      <c r="R48" s="122" t="n">
        <f aca="false">Abroad!C48-Q48</f>
        <v>9.59144627809261</v>
      </c>
      <c r="S48" s="107" t="n">
        <f aca="false">0</f>
        <v>0</v>
      </c>
      <c r="T48" s="122" t="n">
        <f aca="false">P48-'War credit'!T48-Abroad!U48-S48</f>
        <v>93.6668602562637</v>
      </c>
      <c r="U48" s="107" t="str">
        <f aca="false">IF(A48=1901,"Carnegie Steel bought for $480m in Pacifica Steel 5% gold bonds and 7% preference shares","No separately priced acquisition")</f>
        <v>No separately priced acquisition</v>
      </c>
      <c r="V48" s="107" t="n">
        <f aca="false">Y47</f>
        <v>0</v>
      </c>
      <c r="W48" s="107" t="n">
        <f aca="false">V48+K48</f>
        <v>5.06147495836173</v>
      </c>
      <c r="X48" s="107" t="n">
        <f aca="false">MIN('Champion funding'!D48-'Champion funding'!F48,W48)</f>
        <v>5.06147495836173</v>
      </c>
      <c r="Y48" s="107" t="n">
        <f aca="false">W48-X48</f>
        <v>0</v>
      </c>
      <c r="Z48" s="123" t="n">
        <f aca="false">V48+K48-X48-Y48</f>
        <v>0</v>
      </c>
    </row>
    <row r="49" customFormat="false" ht="19.5" hidden="false" customHeight="true" outlineLevel="0" collapsed="false">
      <c r="A49" s="111" t="n">
        <v>1889</v>
      </c>
      <c r="B49" s="107" t="n">
        <f aca="false">C48</f>
        <v>100.451266199625</v>
      </c>
      <c r="C49" s="122" t="n">
        <f aca="false">Champions!AY49-Champions!Q49</f>
        <v>108.761896124535</v>
      </c>
      <c r="D49" s="107" t="n">
        <f aca="false">MAX(0,C49-B49)</f>
        <v>8.31062992491025</v>
      </c>
      <c r="E49" s="107" t="n">
        <f aca="false">MAX(0,B49-C49)</f>
        <v>0</v>
      </c>
      <c r="F49" s="123" t="n">
        <f aca="false">B49+D49-E49-C49</f>
        <v>0</v>
      </c>
      <c r="G49" s="107" t="n">
        <f aca="false">H48</f>
        <v>21.4648495142356</v>
      </c>
      <c r="H49" s="122" t="n">
        <f aca="false">Champions!Q49</f>
        <v>21.5711093980328</v>
      </c>
      <c r="I49" s="107" t="n">
        <f aca="false">H49-G49</f>
        <v>0.106259883797165</v>
      </c>
      <c r="J49" s="122" t="n">
        <f aca="false">MAX(0,Champions!BA49)*(1-crown_payout)</f>
        <v>10.8967690692692</v>
      </c>
      <c r="K49" s="122" t="n">
        <f aca="false">J49*'Sources &amp; uses'!$E$28</f>
        <v>5.44838453463462</v>
      </c>
      <c r="L49" s="107" t="n">
        <f aca="false">ABS('Champion funding'!S49)</f>
        <v>0</v>
      </c>
      <c r="M49" s="122" t="n">
        <f aca="false">Abroad!C49+Abroad!D49</f>
        <v>10.242614489423</v>
      </c>
      <c r="N49" s="122" t="n">
        <f aca="false">Abroad!F49</f>
        <v>2.81000580768791</v>
      </c>
      <c r="O49" s="122" t="n">
        <f aca="false">Abroad!G49</f>
        <v>0</v>
      </c>
      <c r="P49" s="122" t="n">
        <f aca="false">Abroad!H49</f>
        <v>101.099468937999</v>
      </c>
      <c r="Q49" s="122" t="n">
        <f aca="false">Abroad!S49</f>
        <v>0</v>
      </c>
      <c r="R49" s="122" t="n">
        <f aca="false">Abroad!C49-Q49</f>
        <v>10.242614489423</v>
      </c>
      <c r="S49" s="107" t="n">
        <f aca="false">0</f>
        <v>0</v>
      </c>
      <c r="T49" s="122" t="n">
        <f aca="false">P49-'War credit'!T49-Abroad!U49-S49</f>
        <v>101.099468937999</v>
      </c>
      <c r="U49" s="107" t="str">
        <f aca="false">IF(A49=1901,"Carnegie Steel bought for $480m in Pacifica Steel 5% gold bonds and 7% preference shares","No separately priced acquisition")</f>
        <v>No separately priced acquisition</v>
      </c>
      <c r="V49" s="107" t="n">
        <f aca="false">Y48</f>
        <v>0</v>
      </c>
      <c r="W49" s="107" t="n">
        <f aca="false">V49+K49</f>
        <v>5.44838453463462</v>
      </c>
      <c r="X49" s="107" t="n">
        <f aca="false">MIN('Champion funding'!D49-'Champion funding'!F49,W49)</f>
        <v>5.44838453463462</v>
      </c>
      <c r="Y49" s="107" t="n">
        <f aca="false">W49-X49</f>
        <v>0</v>
      </c>
      <c r="Z49" s="123" t="n">
        <f aca="false">V49+K49-X49-Y49</f>
        <v>0</v>
      </c>
    </row>
    <row r="50" customFormat="false" ht="19.5" hidden="false" customHeight="true" outlineLevel="0" collapsed="false">
      <c r="A50" s="111" t="n">
        <v>1890</v>
      </c>
      <c r="B50" s="107" t="n">
        <f aca="false">C49</f>
        <v>108.761896124535</v>
      </c>
      <c r="C50" s="122" t="n">
        <f aca="false">Champions!AY50-Champions!Q50</f>
        <v>121.684536433386</v>
      </c>
      <c r="D50" s="107" t="n">
        <f aca="false">MAX(0,C50-B50)</f>
        <v>12.9226403088506</v>
      </c>
      <c r="E50" s="107" t="n">
        <f aca="false">MAX(0,B50-C50)</f>
        <v>0</v>
      </c>
      <c r="F50" s="123" t="n">
        <f aca="false">B50+D50-E50-C50</f>
        <v>0</v>
      </c>
      <c r="G50" s="107" t="n">
        <f aca="false">H49</f>
        <v>21.5711093980328</v>
      </c>
      <c r="H50" s="122" t="n">
        <f aca="false">Champions!Q50</f>
        <v>26.0060314589935</v>
      </c>
      <c r="I50" s="107" t="n">
        <f aca="false">H50-G50</f>
        <v>4.43492206096069</v>
      </c>
      <c r="J50" s="122" t="n">
        <f aca="false">MAX(0,Champions!BA50)*(1-crown_payout)</f>
        <v>12.338058196332</v>
      </c>
      <c r="K50" s="122" t="n">
        <f aca="false">J50*'Sources &amp; uses'!$E$28</f>
        <v>6.16902909816601</v>
      </c>
      <c r="L50" s="107" t="n">
        <f aca="false">ABS('Champion funding'!S50)</f>
        <v>0</v>
      </c>
      <c r="M50" s="122" t="n">
        <f aca="false">Abroad!C50+Abroad!D50</f>
        <v>11.1490439842639</v>
      </c>
      <c r="N50" s="122" t="n">
        <f aca="false">Abroad!F50</f>
        <v>3.03298406813996</v>
      </c>
      <c r="O50" s="122" t="n">
        <f aca="false">Abroad!G50</f>
        <v>0</v>
      </c>
      <c r="P50" s="122" t="n">
        <f aca="false">Abroad!H50</f>
        <v>109.215528854123</v>
      </c>
      <c r="Q50" s="122" t="n">
        <f aca="false">Abroad!S50</f>
        <v>0</v>
      </c>
      <c r="R50" s="122" t="n">
        <f aca="false">Abroad!C50-Q50</f>
        <v>11.1490439842639</v>
      </c>
      <c r="S50" s="107" t="n">
        <f aca="false">0</f>
        <v>0</v>
      </c>
      <c r="T50" s="122" t="n">
        <f aca="false">P50-'War credit'!T50-Abroad!U50-S50</f>
        <v>109.215528854123</v>
      </c>
      <c r="U50" s="107" t="str">
        <f aca="false">IF(A50=1901,"Carnegie Steel bought for $480m in Pacifica Steel 5% gold bonds and 7% preference shares","No separately priced acquisition")</f>
        <v>No separately priced acquisition</v>
      </c>
      <c r="V50" s="107" t="n">
        <f aca="false">Y49</f>
        <v>0</v>
      </c>
      <c r="W50" s="107" t="n">
        <f aca="false">V50+K50</f>
        <v>6.16902909816601</v>
      </c>
      <c r="X50" s="107" t="n">
        <f aca="false">MIN('Champion funding'!D50-'Champion funding'!F50,W50)</f>
        <v>6.16902909816601</v>
      </c>
      <c r="Y50" s="107" t="n">
        <f aca="false">W50-X50</f>
        <v>0</v>
      </c>
      <c r="Z50" s="123" t="n">
        <f aca="false">V50+K50-X50-Y50</f>
        <v>0</v>
      </c>
    </row>
    <row r="51" customFormat="false" ht="19.5" hidden="false" customHeight="true" outlineLevel="0" collapsed="false">
      <c r="A51" s="111" t="n">
        <v>1891</v>
      </c>
      <c r="B51" s="107" t="n">
        <f aca="false">C50</f>
        <v>121.684536433386</v>
      </c>
      <c r="C51" s="122" t="n">
        <f aca="false">Champions!AY51-Champions!Q51</f>
        <v>150.278305963467</v>
      </c>
      <c r="D51" s="107" t="n">
        <f aca="false">MAX(0,C51-B51)</f>
        <v>28.5937695300809</v>
      </c>
      <c r="E51" s="107" t="n">
        <f aca="false">MAX(0,B51-C51)</f>
        <v>0</v>
      </c>
      <c r="F51" s="123" t="n">
        <f aca="false">B51+D51-E51-C51</f>
        <v>0</v>
      </c>
      <c r="G51" s="107" t="n">
        <f aca="false">H50</f>
        <v>26.0060314589935</v>
      </c>
      <c r="H51" s="122" t="n">
        <f aca="false">Champions!Q51</f>
        <v>30.5751014241758</v>
      </c>
      <c r="I51" s="107" t="n">
        <f aca="false">H51-G51</f>
        <v>4.56906996518224</v>
      </c>
      <c r="J51" s="122" t="n">
        <f aca="false">MAX(0,Champions!BA51)*(1-crown_payout)</f>
        <v>14.7324466072699</v>
      </c>
      <c r="K51" s="122" t="n">
        <f aca="false">J51*'Sources &amp; uses'!$E$28</f>
        <v>7.36622330363496</v>
      </c>
      <c r="L51" s="107" t="n">
        <f aca="false">ABS('Champion funding'!S51)</f>
        <v>0</v>
      </c>
      <c r="M51" s="122" t="n">
        <f aca="false">Abroad!C51+Abroad!D51</f>
        <v>11.9851169157715</v>
      </c>
      <c r="N51" s="122" t="n">
        <f aca="false">Abroad!F51</f>
        <v>3.27646586562368</v>
      </c>
      <c r="O51" s="122" t="n">
        <f aca="false">Abroad!G51</f>
        <v>0</v>
      </c>
      <c r="P51" s="122" t="n">
        <f aca="false">Abroad!H51</f>
        <v>117.924179904271</v>
      </c>
      <c r="Q51" s="122" t="n">
        <f aca="false">Abroad!S51</f>
        <v>0</v>
      </c>
      <c r="R51" s="122" t="n">
        <f aca="false">Abroad!C51-Q51</f>
        <v>11.9851169157715</v>
      </c>
      <c r="S51" s="107" t="n">
        <f aca="false">0</f>
        <v>0</v>
      </c>
      <c r="T51" s="122" t="n">
        <f aca="false">P51-'War credit'!T51-Abroad!U51-S51</f>
        <v>117.924179904271</v>
      </c>
      <c r="U51" s="107" t="str">
        <f aca="false">IF(A51=1901,"Carnegie Steel bought for $480m in Pacifica Steel 5% gold bonds and 7% preference shares","No separately priced acquisition")</f>
        <v>No separately priced acquisition</v>
      </c>
      <c r="V51" s="107" t="n">
        <f aca="false">Y50</f>
        <v>0</v>
      </c>
      <c r="W51" s="107" t="n">
        <f aca="false">V51+K51</f>
        <v>7.36622330363496</v>
      </c>
      <c r="X51" s="107" t="n">
        <f aca="false">MIN('Champion funding'!D51-'Champion funding'!F51,W51)</f>
        <v>7.36622330363496</v>
      </c>
      <c r="Y51" s="107" t="n">
        <f aca="false">W51-X51</f>
        <v>0</v>
      </c>
      <c r="Z51" s="123" t="n">
        <f aca="false">V51+K51-X51-Y51</f>
        <v>0</v>
      </c>
    </row>
    <row r="52" customFormat="false" ht="19.5" hidden="false" customHeight="true" outlineLevel="0" collapsed="false">
      <c r="A52" s="111" t="n">
        <v>1892</v>
      </c>
      <c r="B52" s="107" t="n">
        <f aca="false">C51</f>
        <v>150.278305963467</v>
      </c>
      <c r="C52" s="122" t="n">
        <f aca="false">Champions!AY52-Champions!Q52</f>
        <v>179.668988173657</v>
      </c>
      <c r="D52" s="107" t="n">
        <f aca="false">MAX(0,C52-B52)</f>
        <v>29.3906822101899</v>
      </c>
      <c r="E52" s="107" t="n">
        <f aca="false">MAX(0,B52-C52)</f>
        <v>0</v>
      </c>
      <c r="F52" s="123" t="n">
        <f aca="false">B52+D52-E52-C52</f>
        <v>0</v>
      </c>
      <c r="G52" s="107" t="n">
        <f aca="false">H51</f>
        <v>30.5751014241758</v>
      </c>
      <c r="H52" s="122" t="n">
        <f aca="false">Champions!Q52</f>
        <v>35.1842582975651</v>
      </c>
      <c r="I52" s="107" t="n">
        <f aca="false">H52-G52</f>
        <v>4.6091568733894</v>
      </c>
      <c r="J52" s="122" t="n">
        <f aca="false">MAX(0,Champions!BA52)*(1-crown_payout)</f>
        <v>17.1978494121585</v>
      </c>
      <c r="K52" s="122" t="n">
        <f aca="false">J52*'Sources &amp; uses'!$E$28</f>
        <v>8.59892470607927</v>
      </c>
      <c r="L52" s="107" t="n">
        <f aca="false">ABS('Champion funding'!S52)</f>
        <v>0</v>
      </c>
      <c r="M52" s="122" t="n">
        <f aca="false">Abroad!C52+Abroad!D52</f>
        <v>12.8511617486718</v>
      </c>
      <c r="N52" s="122" t="n">
        <f aca="false">Abroad!F52</f>
        <v>3.53772539712812</v>
      </c>
      <c r="O52" s="122" t="n">
        <f aca="false">Abroad!G52</f>
        <v>0</v>
      </c>
      <c r="P52" s="122" t="n">
        <f aca="false">Abroad!H52</f>
        <v>127.237616255814</v>
      </c>
      <c r="Q52" s="122" t="n">
        <f aca="false">Abroad!S52</f>
        <v>0</v>
      </c>
      <c r="R52" s="122" t="n">
        <f aca="false">Abroad!C52-Q52</f>
        <v>12.8511617486718</v>
      </c>
      <c r="S52" s="107" t="n">
        <f aca="false">0</f>
        <v>0</v>
      </c>
      <c r="T52" s="122" t="n">
        <f aca="false">P52-'War credit'!T52-Abroad!U52-S52</f>
        <v>127.237616255814</v>
      </c>
      <c r="U52" s="107" t="str">
        <f aca="false">IF(A52=1901,"Carnegie Steel bought for $480m in Pacifica Steel 5% gold bonds and 7% preference shares","No separately priced acquisition")</f>
        <v>No separately priced acquisition</v>
      </c>
      <c r="V52" s="107" t="n">
        <f aca="false">Y51</f>
        <v>0</v>
      </c>
      <c r="W52" s="107" t="n">
        <f aca="false">V52+K52</f>
        <v>8.59892470607927</v>
      </c>
      <c r="X52" s="107" t="n">
        <f aca="false">MIN('Champion funding'!D52-'Champion funding'!F52,W52)</f>
        <v>8.59892470607927</v>
      </c>
      <c r="Y52" s="107" t="n">
        <f aca="false">W52-X52</f>
        <v>0</v>
      </c>
      <c r="Z52" s="123" t="n">
        <f aca="false">V52+K52-X52-Y52</f>
        <v>0</v>
      </c>
    </row>
    <row r="53" customFormat="false" ht="19.5" hidden="false" customHeight="true" outlineLevel="0" collapsed="false">
      <c r="A53" s="111" t="n">
        <v>1893</v>
      </c>
      <c r="B53" s="107" t="n">
        <f aca="false">C52</f>
        <v>179.668988173657</v>
      </c>
      <c r="C53" s="122" t="n">
        <f aca="false">Champions!AY53-Champions!Q53</f>
        <v>211.160524432773</v>
      </c>
      <c r="D53" s="107" t="n">
        <f aca="false">MAX(0,C53-B53)</f>
        <v>31.4915362591169</v>
      </c>
      <c r="E53" s="107" t="n">
        <f aca="false">MAX(0,B53-C53)</f>
        <v>0</v>
      </c>
      <c r="F53" s="123" t="n">
        <f aca="false">B53+D53-E53-C53</f>
        <v>0</v>
      </c>
      <c r="G53" s="107" t="n">
        <f aca="false">H52</f>
        <v>35.1842582975651</v>
      </c>
      <c r="H53" s="122" t="n">
        <f aca="false">Champions!Q53</f>
        <v>39.9797259592718</v>
      </c>
      <c r="I53" s="107" t="n">
        <f aca="false">H53-G53</f>
        <v>4.79546766170662</v>
      </c>
      <c r="J53" s="122" t="n">
        <f aca="false">MAX(0,Champions!BA53)*(1-crown_payout)</f>
        <v>19.8857463168217</v>
      </c>
      <c r="K53" s="122" t="n">
        <f aca="false">J53*'Sources &amp; uses'!$E$28</f>
        <v>9.94287315841083</v>
      </c>
      <c r="L53" s="107" t="n">
        <f aca="false">ABS('Champion funding'!S53)</f>
        <v>0</v>
      </c>
      <c r="M53" s="122" t="n">
        <f aca="false">Abroad!C53+Abroad!D53</f>
        <v>13.0801228780766</v>
      </c>
      <c r="N53" s="122" t="n">
        <f aca="false">Abroad!F53</f>
        <v>3.81712848767443</v>
      </c>
      <c r="O53" s="122" t="n">
        <f aca="false">Abroad!G53</f>
        <v>0</v>
      </c>
      <c r="P53" s="122" t="n">
        <f aca="false">Abroad!H53</f>
        <v>136.500610646216</v>
      </c>
      <c r="Q53" s="122" t="n">
        <f aca="false">Abroad!S53</f>
        <v>0</v>
      </c>
      <c r="R53" s="122" t="n">
        <f aca="false">Abroad!C53-Q53</f>
        <v>13.0801228780766</v>
      </c>
      <c r="S53" s="107" t="n">
        <f aca="false">0</f>
        <v>0</v>
      </c>
      <c r="T53" s="122" t="n">
        <f aca="false">P53-'War credit'!T53-Abroad!U53-S53</f>
        <v>136.500610646216</v>
      </c>
      <c r="U53" s="107" t="str">
        <f aca="false">IF(A53=1901,"Carnegie Steel bought for $480m in Pacifica Steel 5% gold bonds and 7% preference shares","No separately priced acquisition")</f>
        <v>No separately priced acquisition</v>
      </c>
      <c r="V53" s="107" t="n">
        <f aca="false">Y52</f>
        <v>0</v>
      </c>
      <c r="W53" s="107" t="n">
        <f aca="false">V53+K53</f>
        <v>9.94287315841083</v>
      </c>
      <c r="X53" s="107" t="n">
        <f aca="false">MIN('Champion funding'!D53-'Champion funding'!F53,W53)</f>
        <v>9.94287315841083</v>
      </c>
      <c r="Y53" s="107" t="n">
        <f aca="false">W53-X53</f>
        <v>0</v>
      </c>
      <c r="Z53" s="123" t="n">
        <f aca="false">V53+K53-X53-Y53</f>
        <v>0</v>
      </c>
    </row>
    <row r="54" customFormat="false" ht="19.5" hidden="false" customHeight="true" outlineLevel="0" collapsed="false">
      <c r="A54" s="111" t="n">
        <v>1894</v>
      </c>
      <c r="B54" s="107" t="n">
        <f aca="false">C53</f>
        <v>211.160524432773</v>
      </c>
      <c r="C54" s="122" t="n">
        <f aca="false">Champions!AY54-Champions!Q54</f>
        <v>242.510225215403</v>
      </c>
      <c r="D54" s="107" t="n">
        <f aca="false">MAX(0,C54-B54)</f>
        <v>31.3497007826292</v>
      </c>
      <c r="E54" s="107" t="n">
        <f aca="false">MAX(0,B54-C54)</f>
        <v>0</v>
      </c>
      <c r="F54" s="123" t="n">
        <f aca="false">B54+D54-E54-C54</f>
        <v>0</v>
      </c>
      <c r="G54" s="107" t="n">
        <f aca="false">H53</f>
        <v>39.9797259592718</v>
      </c>
      <c r="H54" s="122" t="n">
        <f aca="false">Champions!Q54</f>
        <v>44.8190626507905</v>
      </c>
      <c r="I54" s="107" t="n">
        <f aca="false">H54-G54</f>
        <v>4.83933669151877</v>
      </c>
      <c r="J54" s="122" t="n">
        <f aca="false">MAX(0,Champions!BA54)*(1-crown_payout)</f>
        <v>22.5864753982251</v>
      </c>
      <c r="K54" s="122" t="n">
        <f aca="false">J54*'Sources &amp; uses'!$E$28</f>
        <v>11.2932376991126</v>
      </c>
      <c r="L54" s="107" t="n">
        <f aca="false">ABS('Champion funding'!S54)</f>
        <v>0</v>
      </c>
      <c r="M54" s="122" t="n">
        <f aca="false">Abroad!C54+Abroad!D54</f>
        <v>13.8128900692351</v>
      </c>
      <c r="N54" s="122" t="n">
        <f aca="false">Abroad!F54</f>
        <v>4.09501831938649</v>
      </c>
      <c r="O54" s="122" t="n">
        <f aca="false">Abroad!G54</f>
        <v>0</v>
      </c>
      <c r="P54" s="122" t="n">
        <f aca="false">Abroad!H54</f>
        <v>146.218482396065</v>
      </c>
      <c r="Q54" s="122" t="n">
        <f aca="false">Abroad!S54</f>
        <v>0</v>
      </c>
      <c r="R54" s="122" t="n">
        <f aca="false">Abroad!C54-Q54</f>
        <v>13.8128900692351</v>
      </c>
      <c r="S54" s="107" t="n">
        <f aca="false">0</f>
        <v>0</v>
      </c>
      <c r="T54" s="122" t="n">
        <f aca="false">P54-'War credit'!T54-Abroad!U54-S54</f>
        <v>146.218482396065</v>
      </c>
      <c r="U54" s="107" t="str">
        <f aca="false">IF(A54=1901,"Carnegie Steel bought for $480m in Pacifica Steel 5% gold bonds and 7% preference shares","No separately priced acquisition")</f>
        <v>No separately priced acquisition</v>
      </c>
      <c r="V54" s="107" t="n">
        <f aca="false">Y53</f>
        <v>0</v>
      </c>
      <c r="W54" s="107" t="n">
        <f aca="false">V54+K54</f>
        <v>11.2932376991126</v>
      </c>
      <c r="X54" s="107" t="n">
        <f aca="false">MIN('Champion funding'!D54-'Champion funding'!F54,W54)</f>
        <v>11.2932376991126</v>
      </c>
      <c r="Y54" s="107" t="n">
        <f aca="false">W54-X54</f>
        <v>0</v>
      </c>
      <c r="Z54" s="123" t="n">
        <f aca="false">V54+K54-X54-Y54</f>
        <v>0</v>
      </c>
    </row>
    <row r="55" customFormat="false" ht="19.5" hidden="false" customHeight="true" outlineLevel="0" collapsed="false">
      <c r="A55" s="111" t="n">
        <v>1895</v>
      </c>
      <c r="B55" s="107" t="n">
        <f aca="false">C54</f>
        <v>242.510225215403</v>
      </c>
      <c r="C55" s="122" t="n">
        <f aca="false">Champions!AY55-Champions!Q55</f>
        <v>279.783183891268</v>
      </c>
      <c r="D55" s="107" t="n">
        <f aca="false">MAX(0,C55-B55)</f>
        <v>37.2729586758655</v>
      </c>
      <c r="E55" s="107" t="n">
        <f aca="false">MAX(0,B55-C55)</f>
        <v>0</v>
      </c>
      <c r="F55" s="123" t="n">
        <f aca="false">B55+D55-E55-C55</f>
        <v>0</v>
      </c>
      <c r="G55" s="107" t="n">
        <f aca="false">H54</f>
        <v>44.8190626507905</v>
      </c>
      <c r="H55" s="122" t="n">
        <f aca="false">Champions!Q55</f>
        <v>45.109305140502</v>
      </c>
      <c r="I55" s="107" t="n">
        <f aca="false">H55-G55</f>
        <v>0.290242489711488</v>
      </c>
      <c r="J55" s="122" t="n">
        <f aca="false">MAX(0,Champions!BA55)*(1-crown_payout)</f>
        <v>25.1738932989544</v>
      </c>
      <c r="K55" s="122" t="n">
        <f aca="false">J55*'Sources &amp; uses'!$E$28</f>
        <v>12.5869466494772</v>
      </c>
      <c r="L55" s="107" t="n">
        <f aca="false">ABS('Champion funding'!S55)</f>
        <v>0</v>
      </c>
      <c r="M55" s="122" t="n">
        <f aca="false">Abroad!C55+Abroad!D55</f>
        <v>15.155110004334</v>
      </c>
      <c r="N55" s="122" t="n">
        <f aca="false">Abroad!F55</f>
        <v>4.38655447188195</v>
      </c>
      <c r="O55" s="122" t="n">
        <f aca="false">Abroad!G55</f>
        <v>0</v>
      </c>
      <c r="P55" s="122" t="n">
        <f aca="false">Abroad!H55</f>
        <v>156.987037928517</v>
      </c>
      <c r="Q55" s="122" t="n">
        <f aca="false">Abroad!S55</f>
        <v>0</v>
      </c>
      <c r="R55" s="122" t="n">
        <f aca="false">Abroad!C55-Q55</f>
        <v>15.155110004334</v>
      </c>
      <c r="S55" s="107" t="n">
        <f aca="false">0</f>
        <v>0</v>
      </c>
      <c r="T55" s="122" t="n">
        <f aca="false">P55-'War credit'!T55-Abroad!U55-S55</f>
        <v>156.987037928517</v>
      </c>
      <c r="U55" s="107" t="str">
        <f aca="false">IF(A55=1901,"Carnegie Steel bought for $480m in Pacifica Steel 5% gold bonds and 7% preference shares","No separately priced acquisition")</f>
        <v>No separately priced acquisition</v>
      </c>
      <c r="V55" s="107" t="n">
        <f aca="false">Y54</f>
        <v>0</v>
      </c>
      <c r="W55" s="107" t="n">
        <f aca="false">V55+K55</f>
        <v>12.5869466494772</v>
      </c>
      <c r="X55" s="107" t="n">
        <f aca="false">MIN('Champion funding'!D55-'Champion funding'!F55,W55)</f>
        <v>12.5869466494772</v>
      </c>
      <c r="Y55" s="107" t="n">
        <f aca="false">W55-X55</f>
        <v>0</v>
      </c>
      <c r="Z55" s="123" t="n">
        <f aca="false">V55+K55-X55-Y55</f>
        <v>0</v>
      </c>
    </row>
    <row r="56" customFormat="false" ht="19.5" hidden="false" customHeight="true" outlineLevel="0" collapsed="false">
      <c r="A56" s="111" t="n">
        <v>1896</v>
      </c>
      <c r="B56" s="107" t="n">
        <f aca="false">C55</f>
        <v>279.783183891268</v>
      </c>
      <c r="C56" s="122" t="n">
        <f aca="false">Champions!AY56-Champions!Q56</f>
        <v>313.356348174911</v>
      </c>
      <c r="D56" s="107" t="n">
        <f aca="false">MAX(0,C56-B56)</f>
        <v>33.5731642836427</v>
      </c>
      <c r="E56" s="107" t="n">
        <f aca="false">MAX(0,B56-C56)</f>
        <v>0</v>
      </c>
      <c r="F56" s="123" t="n">
        <f aca="false">B56+D56-E56-C56</f>
        <v>0</v>
      </c>
      <c r="G56" s="107" t="n">
        <f aca="false">H55</f>
        <v>45.109305140502</v>
      </c>
      <c r="H56" s="122" t="n">
        <f aca="false">Champions!Q56</f>
        <v>50.0441693826006</v>
      </c>
      <c r="I56" s="107" t="n">
        <f aca="false">H56-G56</f>
        <v>4.93486424209855</v>
      </c>
      <c r="J56" s="122" t="n">
        <f aca="false">MAX(0,Champions!BA56)*(1-crown_payout)</f>
        <v>28.0755833049326</v>
      </c>
      <c r="K56" s="122" t="n">
        <f aca="false">J56*'Sources &amp; uses'!$E$28</f>
        <v>14.0377916524663</v>
      </c>
      <c r="L56" s="107" t="n">
        <f aca="false">ABS('Champion funding'!S56)</f>
        <v>0</v>
      </c>
      <c r="M56" s="122" t="n">
        <f aca="false">Abroad!C56+Abroad!D56</f>
        <v>54.1027958531708</v>
      </c>
      <c r="N56" s="122" t="n">
        <f aca="false">Abroad!F56</f>
        <v>4.70961113785551</v>
      </c>
      <c r="O56" s="122" t="n">
        <f aca="false">Abroad!G56</f>
        <v>0</v>
      </c>
      <c r="P56" s="122" t="n">
        <f aca="false">Abroad!H56</f>
        <v>206.380222643832</v>
      </c>
      <c r="Q56" s="122" t="n">
        <f aca="false">Abroad!S56</f>
        <v>0</v>
      </c>
      <c r="R56" s="122" t="n">
        <f aca="false">Abroad!C56-Q56</f>
        <v>54.1027958531708</v>
      </c>
      <c r="S56" s="107" t="n">
        <f aca="false">0</f>
        <v>0</v>
      </c>
      <c r="T56" s="122" t="n">
        <f aca="false">P56-'War credit'!T56-Abroad!U56-S56</f>
        <v>206.380222643832</v>
      </c>
      <c r="U56" s="107" t="str">
        <f aca="false">IF(A56=1901,"Carnegie Steel bought for $480m in Pacifica Steel 5% gold bonds and 7% preference shares","No separately priced acquisition")</f>
        <v>No separately priced acquisition</v>
      </c>
      <c r="V56" s="107" t="n">
        <f aca="false">Y55</f>
        <v>0</v>
      </c>
      <c r="W56" s="107" t="n">
        <f aca="false">V56+K56</f>
        <v>14.0377916524663</v>
      </c>
      <c r="X56" s="107" t="n">
        <f aca="false">MIN('Champion funding'!D56-'Champion funding'!F56,W56)</f>
        <v>14.0377916524663</v>
      </c>
      <c r="Y56" s="107" t="n">
        <f aca="false">W56-X56</f>
        <v>0</v>
      </c>
      <c r="Z56" s="123" t="n">
        <f aca="false">V56+K56-X56-Y56</f>
        <v>0</v>
      </c>
    </row>
    <row r="57" customFormat="false" ht="19.5" hidden="false" customHeight="true" outlineLevel="0" collapsed="false">
      <c r="A57" s="111" t="n">
        <v>1897</v>
      </c>
      <c r="B57" s="107" t="n">
        <f aca="false">C56</f>
        <v>313.356348174911</v>
      </c>
      <c r="C57" s="122" t="n">
        <f aca="false">Champions!AY57-Champions!Q57</f>
        <v>347.881178701185</v>
      </c>
      <c r="D57" s="107" t="n">
        <f aca="false">MAX(0,C57-B57)</f>
        <v>34.5248305262745</v>
      </c>
      <c r="E57" s="107" t="n">
        <f aca="false">MAX(0,B57-C57)</f>
        <v>0</v>
      </c>
      <c r="F57" s="123" t="n">
        <f aca="false">B57+D57-E57-C57</f>
        <v>0</v>
      </c>
      <c r="G57" s="107" t="n">
        <f aca="false">H56</f>
        <v>50.0441693826006</v>
      </c>
      <c r="H57" s="122" t="n">
        <f aca="false">Champions!Q57</f>
        <v>54.9887317198347</v>
      </c>
      <c r="I57" s="107" t="n">
        <f aca="false">H57-G57</f>
        <v>4.9445623372341</v>
      </c>
      <c r="J57" s="122" t="n">
        <f aca="false">MAX(0,Champions!BA57)*(1-crown_payout)</f>
        <v>31.1996153865846</v>
      </c>
      <c r="K57" s="122" t="n">
        <f aca="false">J57*'Sources &amp; uses'!$E$28</f>
        <v>15.5998076932923</v>
      </c>
      <c r="L57" s="107" t="n">
        <f aca="false">ABS('Champion funding'!S57)</f>
        <v>0</v>
      </c>
      <c r="M57" s="122" t="n">
        <f aca="false">Abroad!C57+Abroad!D57</f>
        <v>61.0264396227082</v>
      </c>
      <c r="N57" s="122" t="n">
        <f aca="false">Abroad!F57</f>
        <v>6.19140667931497</v>
      </c>
      <c r="O57" s="122" t="n">
        <f aca="false">Abroad!G57</f>
        <v>0</v>
      </c>
      <c r="P57" s="122" t="n">
        <f aca="false">Abroad!H57</f>
        <v>261.215255587226</v>
      </c>
      <c r="Q57" s="122" t="n">
        <f aca="false">Abroad!S57</f>
        <v>0</v>
      </c>
      <c r="R57" s="122" t="n">
        <f aca="false">Abroad!C57-Q57</f>
        <v>61.0264396227082</v>
      </c>
      <c r="S57" s="107" t="n">
        <f aca="false">0</f>
        <v>0</v>
      </c>
      <c r="T57" s="122" t="n">
        <f aca="false">P57-'War credit'!T57-Abroad!U57-S57</f>
        <v>261.215255587226</v>
      </c>
      <c r="U57" s="107" t="str">
        <f aca="false">IF(A57=1901,"Carnegie Steel bought for $480m in Pacifica Steel 5% gold bonds and 7% preference shares","No separately priced acquisition")</f>
        <v>No separately priced acquisition</v>
      </c>
      <c r="V57" s="107" t="n">
        <f aca="false">Y56</f>
        <v>0</v>
      </c>
      <c r="W57" s="107" t="n">
        <f aca="false">V57+K57</f>
        <v>15.5998076932923</v>
      </c>
      <c r="X57" s="107" t="n">
        <f aca="false">MIN('Champion funding'!D57-'Champion funding'!F57,W57)</f>
        <v>15.5998076932923</v>
      </c>
      <c r="Y57" s="107" t="n">
        <f aca="false">W57-X57</f>
        <v>0</v>
      </c>
      <c r="Z57" s="123" t="n">
        <f aca="false">V57+K57-X57-Y57</f>
        <v>0</v>
      </c>
    </row>
    <row r="58" customFormat="false" ht="19.5" hidden="false" customHeight="true" outlineLevel="0" collapsed="false">
      <c r="A58" s="111" t="n">
        <v>1898</v>
      </c>
      <c r="B58" s="107" t="n">
        <f aca="false">C57</f>
        <v>347.881178701185</v>
      </c>
      <c r="C58" s="122" t="n">
        <f aca="false">Champions!AY58-Champions!Q58</f>
        <v>384.212871175285</v>
      </c>
      <c r="D58" s="107" t="n">
        <f aca="false">MAX(0,C58-B58)</f>
        <v>36.3316924740997</v>
      </c>
      <c r="E58" s="107" t="n">
        <f aca="false">MAX(0,B58-C58)</f>
        <v>0</v>
      </c>
      <c r="F58" s="123" t="n">
        <f aca="false">B58+D58-E58-C58</f>
        <v>0</v>
      </c>
      <c r="G58" s="107" t="n">
        <f aca="false">H57</f>
        <v>54.9887317198347</v>
      </c>
      <c r="H58" s="122" t="n">
        <f aca="false">Champions!Q58</f>
        <v>60.0763809867114</v>
      </c>
      <c r="I58" s="107" t="n">
        <f aca="false">H58-G58</f>
        <v>5.0876492668767</v>
      </c>
      <c r="J58" s="122" t="n">
        <f aca="false">MAX(0,Champions!BA58)*(1-crown_payout)</f>
        <v>34.2396712434431</v>
      </c>
      <c r="K58" s="122" t="n">
        <f aca="false">J58*'Sources &amp; uses'!$E$28</f>
        <v>17.1198356217215</v>
      </c>
      <c r="L58" s="107" t="n">
        <f aca="false">ABS('Champion funding'!S58)</f>
        <v>0</v>
      </c>
      <c r="M58" s="122" t="n">
        <f aca="false">Abroad!C58+Abroad!D58</f>
        <v>67.1801684752069</v>
      </c>
      <c r="N58" s="122" t="n">
        <f aca="false">Abroad!F58</f>
        <v>7.83645766761677</v>
      </c>
      <c r="O58" s="122" t="n">
        <f aca="false">Abroad!G58</f>
        <v>0</v>
      </c>
      <c r="P58" s="122" t="n">
        <f aca="false">Abroad!H58</f>
        <v>320.558966394816</v>
      </c>
      <c r="Q58" s="122" t="n">
        <f aca="false">Abroad!S58</f>
        <v>0</v>
      </c>
      <c r="R58" s="122" t="n">
        <f aca="false">Abroad!C58-Q58</f>
        <v>67.1801684752069</v>
      </c>
      <c r="S58" s="107" t="n">
        <f aca="false">0</f>
        <v>0</v>
      </c>
      <c r="T58" s="122" t="n">
        <f aca="false">P58-'War credit'!T58-Abroad!U58-S58</f>
        <v>320.558966394816</v>
      </c>
      <c r="U58" s="107" t="str">
        <f aca="false">IF(A58=1901,"Carnegie Steel bought for $480m in Pacifica Steel 5% gold bonds and 7% preference shares","No separately priced acquisition")</f>
        <v>No separately priced acquisition</v>
      </c>
      <c r="V58" s="107" t="n">
        <f aca="false">Y57</f>
        <v>0</v>
      </c>
      <c r="W58" s="107" t="n">
        <f aca="false">V58+K58</f>
        <v>17.1198356217215</v>
      </c>
      <c r="X58" s="107" t="n">
        <f aca="false">MIN('Champion funding'!D58-'Champion funding'!F58,W58)</f>
        <v>17.1198356217215</v>
      </c>
      <c r="Y58" s="107" t="n">
        <f aca="false">W58-X58</f>
        <v>0</v>
      </c>
      <c r="Z58" s="123" t="n">
        <f aca="false">V58+K58-X58-Y58</f>
        <v>0</v>
      </c>
    </row>
    <row r="59" customFormat="false" ht="19.5" hidden="false" customHeight="true" outlineLevel="0" collapsed="false">
      <c r="A59" s="111" t="n">
        <v>1899</v>
      </c>
      <c r="B59" s="107" t="n">
        <f aca="false">C58</f>
        <v>384.212871175285</v>
      </c>
      <c r="C59" s="122" t="n">
        <f aca="false">Champions!AY59-Champions!Q59</f>
        <v>420.015091957607</v>
      </c>
      <c r="D59" s="107" t="n">
        <f aca="false">MAX(0,C59-B59)</f>
        <v>35.8022207823224</v>
      </c>
      <c r="E59" s="107" t="n">
        <f aca="false">MAX(0,B59-C59)</f>
        <v>0</v>
      </c>
      <c r="F59" s="123" t="n">
        <f aca="false">B59+D59-E59-C59</f>
        <v>0</v>
      </c>
      <c r="G59" s="107" t="n">
        <f aca="false">H58</f>
        <v>60.0763809867114</v>
      </c>
      <c r="H59" s="122" t="n">
        <f aca="false">Champions!Q59</f>
        <v>65.103542735068</v>
      </c>
      <c r="I59" s="107" t="n">
        <f aca="false">H59-G59</f>
        <v>5.02716174835665</v>
      </c>
      <c r="J59" s="122" t="n">
        <f aca="false">MAX(0,Champions!BA59)*(1-crown_payout)</f>
        <v>37.3351294892953</v>
      </c>
      <c r="K59" s="122" t="n">
        <f aca="false">J59*'Sources &amp; uses'!$E$28</f>
        <v>18.6675647446477</v>
      </c>
      <c r="L59" s="107" t="n">
        <f aca="false">ABS('Champion funding'!S59)</f>
        <v>0</v>
      </c>
      <c r="M59" s="122" t="n">
        <f aca="false">Abroad!C59+Abroad!D59</f>
        <v>73.7619590637926</v>
      </c>
      <c r="N59" s="122" t="n">
        <f aca="false">Abroad!F59</f>
        <v>9.61676899184447</v>
      </c>
      <c r="O59" s="122" t="n">
        <f aca="false">Abroad!G59</f>
        <v>0</v>
      </c>
      <c r="P59" s="122" t="n">
        <f aca="false">Abroad!H59</f>
        <v>384.704156466764</v>
      </c>
      <c r="Q59" s="122" t="n">
        <f aca="false">Abroad!S59</f>
        <v>0</v>
      </c>
      <c r="R59" s="122" t="n">
        <f aca="false">Abroad!C59-Q59</f>
        <v>73.7619590637926</v>
      </c>
      <c r="S59" s="107" t="n">
        <f aca="false">0</f>
        <v>0</v>
      </c>
      <c r="T59" s="122" t="n">
        <f aca="false">P59-'War credit'!T59-Abroad!U59-S59</f>
        <v>384.704156466764</v>
      </c>
      <c r="U59" s="107" t="str">
        <f aca="false">IF(A59=1901,"Carnegie Steel bought for $480m in Pacifica Steel 5% gold bonds and 7% preference shares","No separately priced acquisition")</f>
        <v>No separately priced acquisition</v>
      </c>
      <c r="V59" s="107" t="n">
        <f aca="false">Y58</f>
        <v>0</v>
      </c>
      <c r="W59" s="107" t="n">
        <f aca="false">V59+K59</f>
        <v>18.6675647446477</v>
      </c>
      <c r="X59" s="107" t="n">
        <f aca="false">MIN('Champion funding'!D59-'Champion funding'!F59,W59)</f>
        <v>18.6675647446477</v>
      </c>
      <c r="Y59" s="107" t="n">
        <f aca="false">W59-X59</f>
        <v>0</v>
      </c>
      <c r="Z59" s="123" t="n">
        <f aca="false">V59+K59-X59-Y59</f>
        <v>0</v>
      </c>
    </row>
    <row r="60" customFormat="false" ht="19.5" hidden="false" customHeight="true" outlineLevel="0" collapsed="false">
      <c r="A60" s="111" t="n">
        <v>1900</v>
      </c>
      <c r="B60" s="107" t="n">
        <f aca="false">C59</f>
        <v>420.015091957607</v>
      </c>
      <c r="C60" s="122" t="n">
        <f aca="false">Champions!AY60-Champions!Q60</f>
        <v>456.452975002478</v>
      </c>
      <c r="D60" s="107" t="n">
        <f aca="false">MAX(0,C60-B60)</f>
        <v>36.4378830448709</v>
      </c>
      <c r="E60" s="107" t="n">
        <f aca="false">MAX(0,B60-C60)</f>
        <v>0</v>
      </c>
      <c r="F60" s="123" t="n">
        <f aca="false">B60+D60-E60-C60</f>
        <v>0</v>
      </c>
      <c r="G60" s="107" t="n">
        <f aca="false">H59</f>
        <v>65.103542735068</v>
      </c>
      <c r="H60" s="122" t="n">
        <f aca="false">Champions!Q60</f>
        <v>70.2937581503817</v>
      </c>
      <c r="I60" s="107" t="n">
        <f aca="false">H60-G60</f>
        <v>5.19021541531366</v>
      </c>
      <c r="J60" s="122" t="n">
        <f aca="false">MAX(0,Champions!BA60)*(1-crown_payout)</f>
        <v>40.8764657668881</v>
      </c>
      <c r="K60" s="122" t="n">
        <f aca="false">J60*'Sources &amp; uses'!$E$28</f>
        <v>20.438232883444</v>
      </c>
      <c r="L60" s="107" t="n">
        <f aca="false">ABS('Champion funding'!S60)</f>
        <v>0</v>
      </c>
      <c r="M60" s="122" t="n">
        <f aca="false">Abroad!C60+Abroad!D60</f>
        <v>81.107286036886</v>
      </c>
      <c r="N60" s="122" t="n">
        <f aca="false">Abroad!F60</f>
        <v>11.5411246940029</v>
      </c>
      <c r="O60" s="122" t="n">
        <f aca="false">Abroad!G60</f>
        <v>0</v>
      </c>
      <c r="P60" s="122" t="n">
        <f aca="false">Abroad!H60</f>
        <v>454.270317809647</v>
      </c>
      <c r="Q60" s="122" t="n">
        <f aca="false">Abroad!S60</f>
        <v>0</v>
      </c>
      <c r="R60" s="122" t="n">
        <f aca="false">Abroad!C60-Q60</f>
        <v>81.107286036886</v>
      </c>
      <c r="S60" s="107" t="n">
        <f aca="false">0</f>
        <v>0</v>
      </c>
      <c r="T60" s="122" t="n">
        <f aca="false">P60-'War credit'!T60-Abroad!U60-S60</f>
        <v>454.270317809647</v>
      </c>
      <c r="U60" s="107" t="str">
        <f aca="false">IF(A60=1901,"Carnegie Steel bought for $480m in Pacifica Steel 5% gold bonds and 7% preference shares","No separately priced acquisition")</f>
        <v>No separately priced acquisition</v>
      </c>
      <c r="V60" s="107" t="n">
        <f aca="false">Y59</f>
        <v>0</v>
      </c>
      <c r="W60" s="107" t="n">
        <f aca="false">V60+K60</f>
        <v>20.438232883444</v>
      </c>
      <c r="X60" s="107" t="n">
        <f aca="false">MIN('Champion funding'!D60-'Champion funding'!F60,W60)</f>
        <v>20.438232883444</v>
      </c>
      <c r="Y60" s="107" t="n">
        <f aca="false">W60-X60</f>
        <v>0</v>
      </c>
      <c r="Z60" s="123" t="n">
        <f aca="false">V60+K60-X60-Y60</f>
        <v>0</v>
      </c>
    </row>
    <row r="61" customFormat="false" ht="19.5" hidden="false" customHeight="true" outlineLevel="0" collapsed="false">
      <c r="A61" s="111" t="n">
        <v>1901</v>
      </c>
      <c r="B61" s="107" t="n">
        <f aca="false">C60</f>
        <v>456.452975002478</v>
      </c>
      <c r="C61" s="122" t="n">
        <f aca="false">Champions!AY61-Champions!Q61</f>
        <v>1134.71095954507</v>
      </c>
      <c r="D61" s="107" t="n">
        <f aca="false">MAX(0,C61-B61)</f>
        <v>678.257984542591</v>
      </c>
      <c r="E61" s="107" t="n">
        <f aca="false">MAX(0,B61-C61)</f>
        <v>0</v>
      </c>
      <c r="F61" s="123" t="n">
        <f aca="false">B61+D61-E61-C61</f>
        <v>0</v>
      </c>
      <c r="G61" s="107" t="n">
        <f aca="false">H60</f>
        <v>70.2937581503817</v>
      </c>
      <c r="H61" s="122" t="n">
        <f aca="false">Champions!Q61</f>
        <v>88.7718104997326</v>
      </c>
      <c r="I61" s="107" t="n">
        <f aca="false">H61-G61</f>
        <v>18.4780523493509</v>
      </c>
      <c r="J61" s="122" t="n">
        <f aca="false">MAX(0,Champions!BA61)*(1-crown_payout)</f>
        <v>65.9136223075559</v>
      </c>
      <c r="K61" s="122" t="n">
        <f aca="false">J61*'Sources &amp; uses'!$E$28</f>
        <v>32.956811153778</v>
      </c>
      <c r="L61" s="107" t="n">
        <f aca="false">ABS('Champion funding'!S61)</f>
        <v>0</v>
      </c>
      <c r="M61" s="122" t="n">
        <f aca="false">Abroad!C61+Abroad!D61</f>
        <v>88.7018283563295</v>
      </c>
      <c r="N61" s="122" t="n">
        <f aca="false">Abroad!F61</f>
        <v>13.6281095342894</v>
      </c>
      <c r="O61" s="122" t="n">
        <f aca="false">Abroad!G61</f>
        <v>0</v>
      </c>
      <c r="P61" s="122" t="n">
        <f aca="false">Abroad!H61</f>
        <v>529.344036631687</v>
      </c>
      <c r="Q61" s="122" t="n">
        <f aca="false">Abroad!S61</f>
        <v>0</v>
      </c>
      <c r="R61" s="122" t="n">
        <f aca="false">Abroad!C61-Q61</f>
        <v>88.7018283563295</v>
      </c>
      <c r="S61" s="107" t="n">
        <f aca="false">0</f>
        <v>0</v>
      </c>
      <c r="T61" s="122" t="n">
        <f aca="false">P61-'War credit'!T61-Abroad!U61-S61</f>
        <v>529.344036631687</v>
      </c>
      <c r="U61" s="107" t="str">
        <f aca="false">IF(A61=1901,"Carnegie Steel bought for $480m in Pacifica Steel 5% gold bonds and 7% preference shares","No separately priced acquisition")</f>
        <v>Carnegie Steel bought for $480m in Pacifica Steel 5% gold bonds and 7% preference shares</v>
      </c>
      <c r="V61" s="107" t="n">
        <f aca="false">Y60</f>
        <v>0</v>
      </c>
      <c r="W61" s="107" t="n">
        <f aca="false">V61+K61</f>
        <v>32.956811153778</v>
      </c>
      <c r="X61" s="107" t="n">
        <f aca="false">MIN('Champion funding'!D61-'Champion funding'!F61,W61)</f>
        <v>32.956811153778</v>
      </c>
      <c r="Y61" s="107" t="n">
        <f aca="false">W61-X61</f>
        <v>0</v>
      </c>
      <c r="Z61" s="123" t="n">
        <f aca="false">V61+K61-X61-Y61</f>
        <v>0</v>
      </c>
    </row>
    <row r="62" customFormat="false" ht="19.5" hidden="false" customHeight="true" outlineLevel="0" collapsed="false">
      <c r="A62" s="111" t="n">
        <v>1902</v>
      </c>
      <c r="B62" s="107" t="n">
        <f aca="false">C61</f>
        <v>1134.71095954507</v>
      </c>
      <c r="C62" s="122" t="n">
        <f aca="false">Champions!AY62-Champions!Q62</f>
        <v>1241.02080311507</v>
      </c>
      <c r="D62" s="107" t="n">
        <f aca="false">MAX(0,C62-B62)</f>
        <v>106.309843569996</v>
      </c>
      <c r="E62" s="107" t="n">
        <f aca="false">MAX(0,B62-C62)</f>
        <v>0</v>
      </c>
      <c r="F62" s="123" t="n">
        <f aca="false">B62+D62-E62-C62</f>
        <v>0</v>
      </c>
      <c r="G62" s="107" t="n">
        <f aca="false">H61</f>
        <v>88.7718104997326</v>
      </c>
      <c r="H62" s="122" t="n">
        <f aca="false">Champions!Q62</f>
        <v>111.38396979637</v>
      </c>
      <c r="I62" s="107" t="n">
        <f aca="false">H62-G62</f>
        <v>22.6121592966376</v>
      </c>
      <c r="J62" s="122" t="n">
        <f aca="false">MAX(0,Champions!BA62)*(1-crown_payout)</f>
        <v>74.2258036682116</v>
      </c>
      <c r="K62" s="122" t="n">
        <f aca="false">J62*'Sources &amp; uses'!$E$28</f>
        <v>37.1129018341058</v>
      </c>
      <c r="L62" s="107" t="n">
        <f aca="false">ABS('Champion funding'!S62)</f>
        <v>0</v>
      </c>
      <c r="M62" s="122" t="n">
        <f aca="false">Abroad!C62+Abroad!D62</f>
        <v>97.1399405861452</v>
      </c>
      <c r="N62" s="122" t="n">
        <f aca="false">Abroad!F62</f>
        <v>15.8803210989506</v>
      </c>
      <c r="O62" s="122" t="n">
        <f aca="false">Abroad!G62</f>
        <v>0</v>
      </c>
      <c r="P62" s="122" t="n">
        <f aca="false">Abroad!H62</f>
        <v>610.603656118882</v>
      </c>
      <c r="Q62" s="122" t="n">
        <f aca="false">Abroad!S62</f>
        <v>0</v>
      </c>
      <c r="R62" s="122" t="n">
        <f aca="false">Abroad!C62-Q62</f>
        <v>97.1399405861452</v>
      </c>
      <c r="S62" s="107" t="n">
        <f aca="false">0</f>
        <v>0</v>
      </c>
      <c r="T62" s="122" t="n">
        <f aca="false">P62-'War credit'!T62-Abroad!U62-S62</f>
        <v>610.603656118882</v>
      </c>
      <c r="U62" s="107" t="str">
        <f aca="false">IF(A62=1901,"Carnegie Steel bought for $480m in Pacifica Steel 5% gold bonds and 7% preference shares","No separately priced acquisition")</f>
        <v>No separately priced acquisition</v>
      </c>
      <c r="V62" s="107" t="n">
        <f aca="false">Y61</f>
        <v>0</v>
      </c>
      <c r="W62" s="107" t="n">
        <f aca="false">V62+K62</f>
        <v>37.1129018341058</v>
      </c>
      <c r="X62" s="107" t="n">
        <f aca="false">MIN('Champion funding'!D62-'Champion funding'!F62,W62)</f>
        <v>37.1129018341058</v>
      </c>
      <c r="Y62" s="107" t="n">
        <f aca="false">W62-X62</f>
        <v>0</v>
      </c>
      <c r="Z62" s="123" t="n">
        <f aca="false">V62+K62-X62-Y62</f>
        <v>0</v>
      </c>
    </row>
    <row r="63" customFormat="false" ht="19.5" hidden="false" customHeight="true" outlineLevel="0" collapsed="false">
      <c r="A63" s="111" t="n">
        <v>1903</v>
      </c>
      <c r="B63" s="107" t="n">
        <f aca="false">C62</f>
        <v>1241.02080311507</v>
      </c>
      <c r="C63" s="122" t="n">
        <f aca="false">Champions!AY63-Champions!Q63</f>
        <v>1348.80632795679</v>
      </c>
      <c r="D63" s="107" t="n">
        <f aca="false">MAX(0,C63-B63)</f>
        <v>107.785524841724</v>
      </c>
      <c r="E63" s="107" t="n">
        <f aca="false">MAX(0,B63-C63)</f>
        <v>0</v>
      </c>
      <c r="F63" s="123" t="n">
        <f aca="false">B63+D63-E63-C63</f>
        <v>0</v>
      </c>
      <c r="G63" s="107" t="n">
        <f aca="false">H62</f>
        <v>111.38396979637</v>
      </c>
      <c r="H63" s="122" t="n">
        <f aca="false">Champions!Q63</f>
        <v>140.510655901803</v>
      </c>
      <c r="I63" s="107" t="n">
        <f aca="false">H63-G63</f>
        <v>29.1266861054327</v>
      </c>
      <c r="J63" s="122" t="n">
        <f aca="false">MAX(0,Champions!BA63)*(1-crown_payout)</f>
        <v>83.1078118915774</v>
      </c>
      <c r="K63" s="122" t="n">
        <f aca="false">J63*'Sources &amp; uses'!$E$28</f>
        <v>41.5539059457887</v>
      </c>
      <c r="L63" s="107" t="n">
        <f aca="false">ABS('Champion funding'!S63)</f>
        <v>0</v>
      </c>
      <c r="M63" s="122" t="n">
        <f aca="false">Abroad!C63+Abroad!D63</f>
        <v>106.488738494944</v>
      </c>
      <c r="N63" s="122" t="n">
        <f aca="false">Abroad!F63</f>
        <v>18.3181096835664</v>
      </c>
      <c r="O63" s="122" t="n">
        <f aca="false">Abroad!G63</f>
        <v>0</v>
      </c>
      <c r="P63" s="122" t="n">
        <f aca="false">Abroad!H63</f>
        <v>698.77428493026</v>
      </c>
      <c r="Q63" s="122" t="n">
        <f aca="false">Abroad!S63</f>
        <v>0</v>
      </c>
      <c r="R63" s="122" t="n">
        <f aca="false">Abroad!C63-Q63</f>
        <v>106.488738494944</v>
      </c>
      <c r="S63" s="107" t="n">
        <f aca="false">0</f>
        <v>0</v>
      </c>
      <c r="T63" s="122" t="n">
        <f aca="false">P63-'War credit'!T63-Abroad!U63-S63</f>
        <v>698.77428493026</v>
      </c>
      <c r="U63" s="107" t="str">
        <f aca="false">IF(A63=1901,"Carnegie Steel bought for $480m in Pacifica Steel 5% gold bonds and 7% preference shares","No separately priced acquisition")</f>
        <v>No separately priced acquisition</v>
      </c>
      <c r="V63" s="107" t="n">
        <f aca="false">Y62</f>
        <v>0</v>
      </c>
      <c r="W63" s="107" t="n">
        <f aca="false">V63+K63</f>
        <v>41.5539059457887</v>
      </c>
      <c r="X63" s="107" t="n">
        <f aca="false">MIN('Champion funding'!D63-'Champion funding'!F63,W63)</f>
        <v>41.5539059457887</v>
      </c>
      <c r="Y63" s="107" t="n">
        <f aca="false">W63-X63</f>
        <v>0</v>
      </c>
      <c r="Z63" s="123" t="n">
        <f aca="false">V63+K63-X63-Y63</f>
        <v>0</v>
      </c>
    </row>
    <row r="64" customFormat="false" ht="19.5" hidden="false" customHeight="true" outlineLevel="0" collapsed="false">
      <c r="A64" s="111" t="n">
        <v>1904</v>
      </c>
      <c r="B64" s="107" t="n">
        <f aca="false">C63</f>
        <v>1348.80632795679</v>
      </c>
      <c r="C64" s="122" t="n">
        <f aca="false">Champions!AY64-Champions!Q64</f>
        <v>1453.50629777622</v>
      </c>
      <c r="D64" s="107" t="n">
        <f aca="false">MAX(0,C64-B64)</f>
        <v>104.699969819433</v>
      </c>
      <c r="E64" s="107" t="n">
        <f aca="false">MAX(0,B64-C64)</f>
        <v>0</v>
      </c>
      <c r="F64" s="123" t="n">
        <f aca="false">B64+D64-E64-C64</f>
        <v>0</v>
      </c>
      <c r="G64" s="107" t="n">
        <f aca="false">H63</f>
        <v>140.510655901803</v>
      </c>
      <c r="H64" s="122" t="n">
        <f aca="false">Champions!Q64</f>
        <v>180.26128566832</v>
      </c>
      <c r="I64" s="107" t="n">
        <f aca="false">H64-G64</f>
        <v>39.7506297665169</v>
      </c>
      <c r="J64" s="122" t="n">
        <f aca="false">MAX(0,Champions!BA64)*(1-crown_payout)</f>
        <v>92.8745921858231</v>
      </c>
      <c r="K64" s="122" t="n">
        <f aca="false">J64*'Sources &amp; uses'!$E$28</f>
        <v>46.4372960929116</v>
      </c>
      <c r="L64" s="107" t="n">
        <f aca="false">ABS('Champion funding'!S64)</f>
        <v>0</v>
      </c>
      <c r="M64" s="122" t="n">
        <f aca="false">Abroad!C64+Abroad!D64</f>
        <v>116.697001257022</v>
      </c>
      <c r="N64" s="122" t="n">
        <f aca="false">Abroad!F64</f>
        <v>20.9632285479078</v>
      </c>
      <c r="O64" s="122" t="n">
        <f aca="false">Abroad!G64</f>
        <v>0</v>
      </c>
      <c r="P64" s="122" t="n">
        <f aca="false">Abroad!H64</f>
        <v>794.508057639374</v>
      </c>
      <c r="Q64" s="122" t="n">
        <f aca="false">Abroad!S64</f>
        <v>0</v>
      </c>
      <c r="R64" s="122" t="n">
        <f aca="false">Abroad!C64-Q64</f>
        <v>116.697001257022</v>
      </c>
      <c r="S64" s="107" t="n">
        <f aca="false">0</f>
        <v>0</v>
      </c>
      <c r="T64" s="122" t="n">
        <f aca="false">P64-'War credit'!T64-Abroad!U64-S64</f>
        <v>794.508057639374</v>
      </c>
      <c r="U64" s="107" t="str">
        <f aca="false">IF(A64=1901,"Carnegie Steel bought for $480m in Pacifica Steel 5% gold bonds and 7% preference shares","No separately priced acquisition")</f>
        <v>No separately priced acquisition</v>
      </c>
      <c r="V64" s="107" t="n">
        <f aca="false">Y63</f>
        <v>0</v>
      </c>
      <c r="W64" s="107" t="n">
        <f aca="false">V64+K64</f>
        <v>46.4372960929116</v>
      </c>
      <c r="X64" s="107" t="n">
        <f aca="false">MIN('Champion funding'!D64-'Champion funding'!F64,W64)</f>
        <v>46.4372960929116</v>
      </c>
      <c r="Y64" s="107" t="n">
        <f aca="false">W64-X64</f>
        <v>0</v>
      </c>
      <c r="Z64" s="123" t="n">
        <f aca="false">V64+K64-X64-Y64</f>
        <v>0</v>
      </c>
    </row>
    <row r="65" customFormat="false" ht="19.5" hidden="false" customHeight="true" outlineLevel="0" collapsed="false">
      <c r="A65" s="111" t="n">
        <v>1905</v>
      </c>
      <c r="B65" s="107" t="n">
        <f aca="false">C64</f>
        <v>1453.50629777622</v>
      </c>
      <c r="C65" s="122" t="n">
        <f aca="false">Champions!AY65-Champions!Q65</f>
        <v>1553.5135324616</v>
      </c>
      <c r="D65" s="107" t="n">
        <f aca="false">MAX(0,C65-B65)</f>
        <v>100.007234685374</v>
      </c>
      <c r="E65" s="107" t="n">
        <f aca="false">MAX(0,B65-C65)</f>
        <v>0</v>
      </c>
      <c r="F65" s="123" t="n">
        <f aca="false">B65+D65-E65-C65</f>
        <v>0</v>
      </c>
      <c r="G65" s="107" t="n">
        <f aca="false">H64</f>
        <v>180.26128566832</v>
      </c>
      <c r="H65" s="122" t="n">
        <f aca="false">Champions!Q65</f>
        <v>227.753686376802</v>
      </c>
      <c r="I65" s="107" t="n">
        <f aca="false">H65-G65</f>
        <v>47.4924007084824</v>
      </c>
      <c r="J65" s="122" t="n">
        <f aca="false">MAX(0,Champions!BA65)*(1-crown_payout)</f>
        <v>102.605118679788</v>
      </c>
      <c r="K65" s="122" t="n">
        <f aca="false">J65*'Sources &amp; uses'!$E$28</f>
        <v>51.3025593398939</v>
      </c>
      <c r="L65" s="107" t="n">
        <f aca="false">ABS('Champion funding'!S65)</f>
        <v>0</v>
      </c>
      <c r="M65" s="122" t="n">
        <f aca="false">Abroad!C65+Abroad!D65</f>
        <v>127.514306455328</v>
      </c>
      <c r="N65" s="122" t="n">
        <f aca="false">Abroad!F65</f>
        <v>23.8352417291812</v>
      </c>
      <c r="O65" s="122" t="n">
        <f aca="false">Abroad!G65</f>
        <v>0</v>
      </c>
      <c r="P65" s="122" t="n">
        <f aca="false">Abroad!H65</f>
        <v>898.187122365521</v>
      </c>
      <c r="Q65" s="122" t="n">
        <f aca="false">Abroad!S65</f>
        <v>0</v>
      </c>
      <c r="R65" s="122" t="n">
        <f aca="false">Abroad!C65-Q65</f>
        <v>127.514306455328</v>
      </c>
      <c r="S65" s="107" t="n">
        <f aca="false">0</f>
        <v>0</v>
      </c>
      <c r="T65" s="122" t="n">
        <f aca="false">P65-'War credit'!T65-Abroad!U65-S65</f>
        <v>898.187122365521</v>
      </c>
      <c r="U65" s="107" t="str">
        <f aca="false">IF(A65=1901,"Carnegie Steel bought for $480m in Pacifica Steel 5% gold bonds and 7% preference shares","No separately priced acquisition")</f>
        <v>No separately priced acquisition</v>
      </c>
      <c r="V65" s="107" t="n">
        <f aca="false">Y64</f>
        <v>0</v>
      </c>
      <c r="W65" s="107" t="n">
        <f aca="false">V65+K65</f>
        <v>51.3025593398939</v>
      </c>
      <c r="X65" s="107" t="n">
        <f aca="false">MIN('Champion funding'!D65-'Champion funding'!F65,W65)</f>
        <v>51.3025593398939</v>
      </c>
      <c r="Y65" s="107" t="n">
        <f aca="false">W65-X65</f>
        <v>0</v>
      </c>
      <c r="Z65" s="123" t="n">
        <f aca="false">V65+K65-X65-Y65</f>
        <v>0</v>
      </c>
    </row>
    <row r="66" customFormat="false" ht="19.5" hidden="false" customHeight="true" outlineLevel="0" collapsed="false">
      <c r="A66" s="111" t="n">
        <v>1906</v>
      </c>
      <c r="B66" s="107" t="n">
        <f aca="false">C65</f>
        <v>1553.5135324616</v>
      </c>
      <c r="C66" s="122" t="n">
        <f aca="false">Champions!AY66-Champions!Q66</f>
        <v>1676.68717113734</v>
      </c>
      <c r="D66" s="107" t="n">
        <f aca="false">MAX(0,C66-B66)</f>
        <v>123.173638675743</v>
      </c>
      <c r="E66" s="107" t="n">
        <f aca="false">MAX(0,B66-C66)</f>
        <v>0</v>
      </c>
      <c r="F66" s="123" t="n">
        <f aca="false">B66+D66-E66-C66</f>
        <v>0</v>
      </c>
      <c r="G66" s="107" t="n">
        <f aca="false">H65</f>
        <v>227.753686376802</v>
      </c>
      <c r="H66" s="122" t="n">
        <f aca="false">Champions!Q66</f>
        <v>256.83005170072</v>
      </c>
      <c r="I66" s="107" t="n">
        <f aca="false">H66-G66</f>
        <v>29.0763653239176</v>
      </c>
      <c r="J66" s="122" t="n">
        <f aca="false">MAX(0,Champions!BA66)*(1-crown_payout)</f>
        <v>111.486999812867</v>
      </c>
      <c r="K66" s="122" t="n">
        <f aca="false">J66*'Sources &amp; uses'!$E$28</f>
        <v>55.7434999064335</v>
      </c>
      <c r="L66" s="107" t="n">
        <f aca="false">ABS('Champion funding'!S66)</f>
        <v>0</v>
      </c>
      <c r="M66" s="122" t="n">
        <f aca="false">Abroad!C66+Abroad!D66</f>
        <v>141.173949222301</v>
      </c>
      <c r="N66" s="122" t="n">
        <f aca="false">Abroad!F66</f>
        <v>26.9456136709656</v>
      </c>
      <c r="O66" s="122" t="n">
        <f aca="false">Abroad!G66</f>
        <v>0</v>
      </c>
      <c r="P66" s="122" t="n">
        <f aca="false">Abroad!H66</f>
        <v>1012.41545791686</v>
      </c>
      <c r="Q66" s="122" t="n">
        <f aca="false">Abroad!S66</f>
        <v>0</v>
      </c>
      <c r="R66" s="122" t="n">
        <f aca="false">Abroad!C66-Q66</f>
        <v>141.173949222301</v>
      </c>
      <c r="S66" s="107" t="n">
        <f aca="false">0</f>
        <v>0</v>
      </c>
      <c r="T66" s="122" t="n">
        <f aca="false">P66-'War credit'!T66-Abroad!U66-S66</f>
        <v>1012.41545791686</v>
      </c>
      <c r="U66" s="107" t="str">
        <f aca="false">IF(A66=1901,"Carnegie Steel bought for $480m in Pacifica Steel 5% gold bonds and 7% preference shares","No separately priced acquisition")</f>
        <v>No separately priced acquisition</v>
      </c>
      <c r="V66" s="107" t="n">
        <f aca="false">Y65</f>
        <v>0</v>
      </c>
      <c r="W66" s="107" t="n">
        <f aca="false">V66+K66</f>
        <v>55.7434999064335</v>
      </c>
      <c r="X66" s="107" t="n">
        <f aca="false">MIN('Champion funding'!D66-'Champion funding'!F66,W66)</f>
        <v>55.7434999064335</v>
      </c>
      <c r="Y66" s="107" t="n">
        <f aca="false">W66-X66</f>
        <v>0</v>
      </c>
      <c r="Z66" s="123" t="n">
        <f aca="false">V66+K66-X66-Y66</f>
        <v>0</v>
      </c>
    </row>
    <row r="67" customFormat="false" ht="19.5" hidden="false" customHeight="true" outlineLevel="0" collapsed="false">
      <c r="A67" s="111" t="n">
        <v>1907</v>
      </c>
      <c r="B67" s="107" t="n">
        <f aca="false">C66</f>
        <v>1676.68717113734</v>
      </c>
      <c r="C67" s="122" t="n">
        <f aca="false">Champions!AY67-Champions!Q67</f>
        <v>1799.12666545126</v>
      </c>
      <c r="D67" s="107" t="n">
        <f aca="false">MAX(0,C67-B67)</f>
        <v>122.43949431392</v>
      </c>
      <c r="E67" s="107" t="n">
        <f aca="false">MAX(0,B67-C67)</f>
        <v>0</v>
      </c>
      <c r="F67" s="123" t="n">
        <f aca="false">B67+D67-E67-C67</f>
        <v>0</v>
      </c>
      <c r="G67" s="107" t="n">
        <f aca="false">H66</f>
        <v>256.83005170072</v>
      </c>
      <c r="H67" s="122" t="n">
        <f aca="false">Champions!Q67</f>
        <v>294.621660779967</v>
      </c>
      <c r="I67" s="107" t="n">
        <f aca="false">H67-G67</f>
        <v>37.7916090792469</v>
      </c>
      <c r="J67" s="122" t="n">
        <f aca="false">MAX(0,Champions!BA67)*(1-crown_payout)</f>
        <v>121.67020722848</v>
      </c>
      <c r="K67" s="122" t="n">
        <f aca="false">J67*'Sources &amp; uses'!$E$28</f>
        <v>60.8351036142401</v>
      </c>
      <c r="L67" s="107" t="n">
        <f aca="false">ABS('Champion funding'!S67)</f>
        <v>0</v>
      </c>
      <c r="M67" s="122" t="n">
        <f aca="false">Abroad!C67+Abroad!D67</f>
        <v>153.777238006159</v>
      </c>
      <c r="N67" s="122" t="n">
        <f aca="false">Abroad!F67</f>
        <v>30.3724637375057</v>
      </c>
      <c r="O67" s="122" t="n">
        <f aca="false">Abroad!G67</f>
        <v>0</v>
      </c>
      <c r="P67" s="122" t="n">
        <f aca="false">Abroad!H67</f>
        <v>1135.82023218551</v>
      </c>
      <c r="Q67" s="122" t="n">
        <f aca="false">Abroad!S67</f>
        <v>0</v>
      </c>
      <c r="R67" s="122" t="n">
        <f aca="false">Abroad!C67-Q67</f>
        <v>153.777238006159</v>
      </c>
      <c r="S67" s="107" t="n">
        <f aca="false">0</f>
        <v>0</v>
      </c>
      <c r="T67" s="122" t="n">
        <f aca="false">P67-'War credit'!T67-Abroad!U67-S67</f>
        <v>1135.82023218551</v>
      </c>
      <c r="U67" s="107" t="str">
        <f aca="false">IF(A67=1901,"Carnegie Steel bought for $480m in Pacifica Steel 5% gold bonds and 7% preference shares","No separately priced acquisition")</f>
        <v>No separately priced acquisition</v>
      </c>
      <c r="V67" s="107" t="n">
        <f aca="false">Y66</f>
        <v>0</v>
      </c>
      <c r="W67" s="107" t="n">
        <f aca="false">V67+K67</f>
        <v>60.8351036142401</v>
      </c>
      <c r="X67" s="107" t="n">
        <f aca="false">MIN('Champion funding'!D67-'Champion funding'!F67,W67)</f>
        <v>60.8351036142401</v>
      </c>
      <c r="Y67" s="107" t="n">
        <f aca="false">W67-X67</f>
        <v>0</v>
      </c>
      <c r="Z67" s="123" t="n">
        <f aca="false">V67+K67-X67-Y67</f>
        <v>0</v>
      </c>
    </row>
    <row r="68" customFormat="false" ht="19.5" hidden="false" customHeight="true" outlineLevel="0" collapsed="false">
      <c r="A68" s="111" t="n">
        <v>1908</v>
      </c>
      <c r="B68" s="107" t="n">
        <f aca="false">C67</f>
        <v>1799.12666545126</v>
      </c>
      <c r="C68" s="122" t="n">
        <f aca="false">Champions!AY68-Champions!Q68</f>
        <v>1923.41471123451</v>
      </c>
      <c r="D68" s="107" t="n">
        <f aca="false">MAX(0,C68-B68)</f>
        <v>124.288045783248</v>
      </c>
      <c r="E68" s="107" t="n">
        <f aca="false">MAX(0,B68-C68)</f>
        <v>0</v>
      </c>
      <c r="F68" s="123" t="n">
        <f aca="false">B68+D68-E68-C68</f>
        <v>0</v>
      </c>
      <c r="G68" s="107" t="n">
        <f aca="false">H67</f>
        <v>294.621660779967</v>
      </c>
      <c r="H68" s="122" t="n">
        <f aca="false">Champions!Q68</f>
        <v>326.241447632799</v>
      </c>
      <c r="I68" s="107" t="n">
        <f aca="false">H68-G68</f>
        <v>31.6197868528321</v>
      </c>
      <c r="J68" s="122" t="n">
        <f aca="false">MAX(0,Champions!BA68)*(1-crown_payout)</f>
        <v>131.496257086898</v>
      </c>
      <c r="K68" s="122" t="n">
        <f aca="false">J68*'Sources &amp; uses'!$E$28</f>
        <v>65.7481285434488</v>
      </c>
      <c r="L68" s="107" t="n">
        <f aca="false">ABS('Champion funding'!S68)</f>
        <v>0</v>
      </c>
      <c r="M68" s="122" t="n">
        <f aca="false">Abroad!C68+Abroad!D68</f>
        <v>163.014832488944</v>
      </c>
      <c r="N68" s="122" t="n">
        <f aca="false">Abroad!F68</f>
        <v>34.0746069655653</v>
      </c>
      <c r="O68" s="122" t="n">
        <f aca="false">Abroad!G68</f>
        <v>0</v>
      </c>
      <c r="P68" s="122" t="n">
        <f aca="false">Abroad!H68</f>
        <v>1264.76045770889</v>
      </c>
      <c r="Q68" s="122" t="n">
        <f aca="false">Abroad!S68</f>
        <v>0</v>
      </c>
      <c r="R68" s="122" t="n">
        <f aca="false">Abroad!C68-Q68</f>
        <v>163.014832488944</v>
      </c>
      <c r="S68" s="107" t="n">
        <f aca="false">0</f>
        <v>0</v>
      </c>
      <c r="T68" s="122" t="n">
        <f aca="false">P68-'War credit'!T68-Abroad!U68-S68</f>
        <v>1264.76045770889</v>
      </c>
      <c r="U68" s="107" t="str">
        <f aca="false">IF(A68=1901,"Carnegie Steel bought for $480m in Pacifica Steel 5% gold bonds and 7% preference shares","No separately priced acquisition")</f>
        <v>No separately priced acquisition</v>
      </c>
      <c r="V68" s="107" t="n">
        <f aca="false">Y67</f>
        <v>0</v>
      </c>
      <c r="W68" s="107" t="n">
        <f aca="false">V68+K68</f>
        <v>65.7481285434488</v>
      </c>
      <c r="X68" s="107" t="n">
        <f aca="false">MIN('Champion funding'!D68-'Champion funding'!F68,W68)</f>
        <v>65.7481285434488</v>
      </c>
      <c r="Y68" s="107" t="n">
        <f aca="false">W68-X68</f>
        <v>0</v>
      </c>
      <c r="Z68" s="123" t="n">
        <f aca="false">V68+K68-X68-Y68</f>
        <v>0</v>
      </c>
    </row>
    <row r="69" customFormat="false" ht="19.5" hidden="false" customHeight="true" outlineLevel="0" collapsed="false">
      <c r="A69" s="111" t="n">
        <v>1909</v>
      </c>
      <c r="B69" s="107" t="n">
        <f aca="false">C68</f>
        <v>1923.41471123451</v>
      </c>
      <c r="C69" s="122" t="n">
        <f aca="false">Champions!AY69-Champions!Q69</f>
        <v>2042.00886548116</v>
      </c>
      <c r="D69" s="107" t="n">
        <f aca="false">MAX(0,C69-B69)</f>
        <v>118.59415424665</v>
      </c>
      <c r="E69" s="107" t="n">
        <f aca="false">MAX(0,B69-C69)</f>
        <v>0</v>
      </c>
      <c r="F69" s="123" t="n">
        <f aca="false">B69+D69-E69-C69</f>
        <v>0</v>
      </c>
      <c r="G69" s="107" t="n">
        <f aca="false">H68</f>
        <v>326.241447632799</v>
      </c>
      <c r="H69" s="122" t="n">
        <f aca="false">Champions!Q69</f>
        <v>361.57652913882</v>
      </c>
      <c r="I69" s="107" t="n">
        <f aca="false">H69-G69</f>
        <v>35.335081506021</v>
      </c>
      <c r="J69" s="122" t="n">
        <f aca="false">MAX(0,Champions!BA69)*(1-crown_payout)</f>
        <v>141.234846951796</v>
      </c>
      <c r="K69" s="122" t="n">
        <f aca="false">J69*'Sources &amp; uses'!$E$28</f>
        <v>70.6174234758981</v>
      </c>
      <c r="L69" s="107" t="n">
        <f aca="false">ABS('Champion funding'!S69)</f>
        <v>0</v>
      </c>
      <c r="M69" s="122" t="n">
        <f aca="false">Abroad!C69+Abroad!D69</f>
        <v>187.901984467618</v>
      </c>
      <c r="N69" s="122" t="n">
        <f aca="false">Abroad!F69</f>
        <v>37.9428137312667</v>
      </c>
      <c r="O69" s="122" t="n">
        <f aca="false">Abroad!G69</f>
        <v>0</v>
      </c>
      <c r="P69" s="122" t="n">
        <f aca="false">Abroad!H69</f>
        <v>1414.71962844524</v>
      </c>
      <c r="Q69" s="122" t="n">
        <f aca="false">Abroad!S69</f>
        <v>0</v>
      </c>
      <c r="R69" s="122" t="n">
        <f aca="false">Abroad!C69-Q69</f>
        <v>187.901984467618</v>
      </c>
      <c r="S69" s="107" t="n">
        <f aca="false">0</f>
        <v>0</v>
      </c>
      <c r="T69" s="122" t="n">
        <f aca="false">P69-'War credit'!T69-Abroad!U69-S69</f>
        <v>1414.71962844524</v>
      </c>
      <c r="U69" s="107" t="str">
        <f aca="false">IF(A69=1901,"Carnegie Steel bought for $480m in Pacifica Steel 5% gold bonds and 7% preference shares","No separately priced acquisition")</f>
        <v>No separately priced acquisition</v>
      </c>
      <c r="V69" s="107" t="n">
        <f aca="false">Y68</f>
        <v>0</v>
      </c>
      <c r="W69" s="107" t="n">
        <f aca="false">V69+K69</f>
        <v>70.6174234758981</v>
      </c>
      <c r="X69" s="107" t="n">
        <f aca="false">MIN('Champion funding'!D69-'Champion funding'!F69,W69)</f>
        <v>70.6174234758981</v>
      </c>
      <c r="Y69" s="107" t="n">
        <f aca="false">W69-X69</f>
        <v>0</v>
      </c>
      <c r="Z69" s="123" t="n">
        <f aca="false">V69+K69-X69-Y69</f>
        <v>0</v>
      </c>
    </row>
    <row r="70" customFormat="false" ht="19.5" hidden="false" customHeight="true" outlineLevel="0" collapsed="false">
      <c r="A70" s="111" t="n">
        <v>1910</v>
      </c>
      <c r="B70" s="107" t="n">
        <f aca="false">C69</f>
        <v>2042.00886548116</v>
      </c>
      <c r="C70" s="122" t="n">
        <f aca="false">Champions!AY70-Champions!Q70</f>
        <v>2164.0878158319</v>
      </c>
      <c r="D70" s="107" t="n">
        <f aca="false">MAX(0,C70-B70)</f>
        <v>122.078950350749</v>
      </c>
      <c r="E70" s="107" t="n">
        <f aca="false">MAX(0,B70-C70)</f>
        <v>0</v>
      </c>
      <c r="F70" s="123" t="n">
        <f aca="false">B70+D70-E70-C70</f>
        <v>0</v>
      </c>
      <c r="G70" s="107" t="n">
        <f aca="false">H69</f>
        <v>361.57652913882</v>
      </c>
      <c r="H70" s="122" t="n">
        <f aca="false">Champions!Q70</f>
        <v>391.735664712117</v>
      </c>
      <c r="I70" s="107" t="n">
        <f aca="false">H70-G70</f>
        <v>30.1591355732974</v>
      </c>
      <c r="J70" s="122" t="n">
        <f aca="false">MAX(0,Champions!BA70)*(1-crown_payout)</f>
        <v>151.99540698095</v>
      </c>
      <c r="K70" s="122" t="n">
        <f aca="false">J70*'Sources &amp; uses'!$E$28</f>
        <v>75.9977034904751</v>
      </c>
      <c r="L70" s="107" t="n">
        <f aca="false">ABS('Champion funding'!S70)</f>
        <v>0</v>
      </c>
      <c r="M70" s="122" t="n">
        <f aca="false">Abroad!C70+Abroad!D70</f>
        <v>205.786224888986</v>
      </c>
      <c r="N70" s="122" t="n">
        <f aca="false">Abroad!F70</f>
        <v>42.4415888533572</v>
      </c>
      <c r="O70" s="122" t="n">
        <f aca="false">Abroad!G70</f>
        <v>0</v>
      </c>
      <c r="P70" s="122" t="n">
        <f aca="false">Abroad!H70</f>
        <v>1578.06426448087</v>
      </c>
      <c r="Q70" s="122" t="n">
        <f aca="false">Abroad!S70</f>
        <v>0</v>
      </c>
      <c r="R70" s="122" t="n">
        <f aca="false">Abroad!C70-Q70</f>
        <v>205.786224888986</v>
      </c>
      <c r="S70" s="107" t="n">
        <f aca="false">0</f>
        <v>0</v>
      </c>
      <c r="T70" s="122" t="n">
        <f aca="false">P70-'War credit'!T70-Abroad!U70-S70</f>
        <v>1578.06426448087</v>
      </c>
      <c r="U70" s="107" t="str">
        <f aca="false">IF(A70=1901,"Carnegie Steel bought for $480m in Pacifica Steel 5% gold bonds and 7% preference shares","No separately priced acquisition")</f>
        <v>No separately priced acquisition</v>
      </c>
      <c r="V70" s="107" t="n">
        <f aca="false">Y69</f>
        <v>0</v>
      </c>
      <c r="W70" s="107" t="n">
        <f aca="false">V70+K70</f>
        <v>75.9977034904751</v>
      </c>
      <c r="X70" s="107" t="n">
        <f aca="false">MIN('Champion funding'!D70-'Champion funding'!F70,W70)</f>
        <v>75.9977034904751</v>
      </c>
      <c r="Y70" s="107" t="n">
        <f aca="false">W70-X70</f>
        <v>0</v>
      </c>
      <c r="Z70" s="123" t="n">
        <f aca="false">V70+K70-X70-Y70</f>
        <v>0</v>
      </c>
    </row>
    <row r="71" customFormat="false" ht="19.5" hidden="false" customHeight="true" outlineLevel="0" collapsed="false">
      <c r="A71" s="111" t="n">
        <v>1911</v>
      </c>
      <c r="B71" s="107" t="n">
        <f aca="false">C70</f>
        <v>2164.0878158319</v>
      </c>
      <c r="C71" s="122" t="n">
        <f aca="false">Champions!AY71-Champions!Q71</f>
        <v>2304.75694994674</v>
      </c>
      <c r="D71" s="107" t="n">
        <f aca="false">MAX(0,C71-B71)</f>
        <v>140.669134114841</v>
      </c>
      <c r="E71" s="107" t="n">
        <f aca="false">MAX(0,B71-C71)</f>
        <v>0</v>
      </c>
      <c r="F71" s="123" t="n">
        <f aca="false">B71+D71-E71-C71</f>
        <v>0</v>
      </c>
      <c r="G71" s="107" t="n">
        <f aca="false">H70</f>
        <v>391.735664712117</v>
      </c>
      <c r="H71" s="122" t="n">
        <f aca="false">Champions!Q71</f>
        <v>427.915003868812</v>
      </c>
      <c r="I71" s="107" t="n">
        <f aca="false">H71-G71</f>
        <v>36.1793391566951</v>
      </c>
      <c r="J71" s="122" t="n">
        <f aca="false">MAX(0,Champions!BA71)*(1-crown_payout)</f>
        <v>164.180919782827</v>
      </c>
      <c r="K71" s="122" t="n">
        <f aca="false">J71*'Sources &amp; uses'!$E$28</f>
        <v>82.0904598914133</v>
      </c>
      <c r="L71" s="107" t="n">
        <f aca="false">ABS('Champion funding'!S71)</f>
        <v>0</v>
      </c>
      <c r="M71" s="122" t="n">
        <f aca="false">Abroad!C71+Abroad!D71</f>
        <v>224.28466554879</v>
      </c>
      <c r="N71" s="122" t="n">
        <f aca="false">Abroad!F71</f>
        <v>47.341927934426</v>
      </c>
      <c r="O71" s="122" t="n">
        <f aca="false">Abroad!G71</f>
        <v>0</v>
      </c>
      <c r="P71" s="122" t="n">
        <f aca="false">Abroad!H71</f>
        <v>1755.00700209523</v>
      </c>
      <c r="Q71" s="122" t="n">
        <f aca="false">Abroad!S71</f>
        <v>0</v>
      </c>
      <c r="R71" s="122" t="n">
        <f aca="false">Abroad!C71-Q71</f>
        <v>224.28466554879</v>
      </c>
      <c r="S71" s="107" t="n">
        <f aca="false">0</f>
        <v>0</v>
      </c>
      <c r="T71" s="122" t="n">
        <f aca="false">P71-'War credit'!T71-Abroad!U71-S71</f>
        <v>1755.00700209523</v>
      </c>
      <c r="U71" s="107" t="str">
        <f aca="false">IF(A71=1901,"Carnegie Steel bought for $480m in Pacifica Steel 5% gold bonds and 7% preference shares","No separately priced acquisition")</f>
        <v>No separately priced acquisition</v>
      </c>
      <c r="V71" s="107" t="n">
        <f aca="false">Y70</f>
        <v>0</v>
      </c>
      <c r="W71" s="107" t="n">
        <f aca="false">V71+K71</f>
        <v>82.0904598914133</v>
      </c>
      <c r="X71" s="107" t="n">
        <f aca="false">MIN('Champion funding'!D71-'Champion funding'!F71,W71)</f>
        <v>82.0904598914133</v>
      </c>
      <c r="Y71" s="107" t="n">
        <f aca="false">W71-X71</f>
        <v>0</v>
      </c>
      <c r="Z71" s="123" t="n">
        <f aca="false">V71+K71-X71-Y71</f>
        <v>0</v>
      </c>
    </row>
    <row r="72" customFormat="false" ht="19.5" hidden="false" customHeight="true" outlineLevel="0" collapsed="false">
      <c r="A72" s="111" t="n">
        <v>1912</v>
      </c>
      <c r="B72" s="107" t="n">
        <f aca="false">C71</f>
        <v>2304.75694994674</v>
      </c>
      <c r="C72" s="122" t="n">
        <f aca="false">Champions!AY72-Champions!Q72</f>
        <v>2446.01758872109</v>
      </c>
      <c r="D72" s="107" t="n">
        <f aca="false">MAX(0,C72-B72)</f>
        <v>141.260638774345</v>
      </c>
      <c r="E72" s="107" t="n">
        <f aca="false">MAX(0,B72-C72)</f>
        <v>0</v>
      </c>
      <c r="F72" s="123" t="n">
        <f aca="false">B72+D72-E72-C72</f>
        <v>0</v>
      </c>
      <c r="G72" s="107" t="n">
        <f aca="false">H71</f>
        <v>427.915003868812</v>
      </c>
      <c r="H72" s="122" t="n">
        <f aca="false">Champions!Q72</f>
        <v>459.269364263089</v>
      </c>
      <c r="I72" s="107" t="n">
        <f aca="false">H72-G72</f>
        <v>31.3543603942769</v>
      </c>
      <c r="J72" s="122" t="n">
        <f aca="false">MAX(0,Champions!BA72)*(1-crown_payout)</f>
        <v>178.8058684113</v>
      </c>
      <c r="K72" s="122" t="n">
        <f aca="false">J72*'Sources &amp; uses'!$E$28</f>
        <v>89.4029342056502</v>
      </c>
      <c r="L72" s="107" t="n">
        <f aca="false">ABS('Champion funding'!S72)</f>
        <v>0</v>
      </c>
      <c r="M72" s="122" t="n">
        <f aca="false">Abroad!C72+Abroad!D72</f>
        <v>244.620362315991</v>
      </c>
      <c r="N72" s="122" t="n">
        <f aca="false">Abroad!F72</f>
        <v>52.650210062857</v>
      </c>
      <c r="O72" s="122" t="n">
        <f aca="false">Abroad!G72</f>
        <v>0</v>
      </c>
      <c r="P72" s="122" t="n">
        <f aca="false">Abroad!H72</f>
        <v>1946.97715434837</v>
      </c>
      <c r="Q72" s="122" t="n">
        <f aca="false">Abroad!S72</f>
        <v>0</v>
      </c>
      <c r="R72" s="122" t="n">
        <f aca="false">Abroad!C72-Q72</f>
        <v>244.620362315991</v>
      </c>
      <c r="S72" s="107" t="n">
        <f aca="false">0</f>
        <v>0</v>
      </c>
      <c r="T72" s="122" t="n">
        <f aca="false">P72-'War credit'!T72-Abroad!U72-S72</f>
        <v>1946.97715434837</v>
      </c>
      <c r="U72" s="107" t="str">
        <f aca="false">IF(A72=1901,"Carnegie Steel bought for $480m in Pacifica Steel 5% gold bonds and 7% preference shares","No separately priced acquisition")</f>
        <v>No separately priced acquisition</v>
      </c>
      <c r="V72" s="107" t="n">
        <f aca="false">Y71</f>
        <v>0</v>
      </c>
      <c r="W72" s="107" t="n">
        <f aca="false">V72+K72</f>
        <v>89.4029342056502</v>
      </c>
      <c r="X72" s="107" t="n">
        <f aca="false">MIN('Champion funding'!D72-'Champion funding'!F72,W72)</f>
        <v>89.4029342056502</v>
      </c>
      <c r="Y72" s="107" t="n">
        <f aca="false">W72-X72</f>
        <v>0</v>
      </c>
      <c r="Z72" s="123" t="n">
        <f aca="false">V72+K72-X72-Y72</f>
        <v>0</v>
      </c>
    </row>
    <row r="73" customFormat="false" ht="19.5" hidden="false" customHeight="true" outlineLevel="0" collapsed="false">
      <c r="A73" s="111" t="n">
        <v>1913</v>
      </c>
      <c r="B73" s="107" t="n">
        <f aca="false">C72</f>
        <v>2446.01758872109</v>
      </c>
      <c r="C73" s="122" t="n">
        <f aca="false">Champions!AY73-Champions!Q73</f>
        <v>2588.06111916464</v>
      </c>
      <c r="D73" s="107" t="n">
        <f aca="false">MAX(0,C73-B73)</f>
        <v>142.043530443547</v>
      </c>
      <c r="E73" s="107" t="n">
        <f aca="false">MAX(0,B73-C73)</f>
        <v>0</v>
      </c>
      <c r="F73" s="123" t="n">
        <f aca="false">B73+D73-E73-C73</f>
        <v>0</v>
      </c>
      <c r="G73" s="107" t="n">
        <f aca="false">H72</f>
        <v>459.269364263089</v>
      </c>
      <c r="H73" s="122" t="n">
        <f aca="false">Champions!Q73</f>
        <v>497.658728937363</v>
      </c>
      <c r="I73" s="107" t="n">
        <f aca="false">H73-G73</f>
        <v>38.3893646742737</v>
      </c>
      <c r="J73" s="122" t="n">
        <f aca="false">MAX(0,Champions!BA73)*(1-crown_payout)</f>
        <v>193.256989197472</v>
      </c>
      <c r="K73" s="122" t="n">
        <f aca="false">J73*'Sources &amp; uses'!$E$28</f>
        <v>96.6284945987361</v>
      </c>
      <c r="L73" s="107" t="n">
        <f aca="false">ABS('Champion funding'!S73)</f>
        <v>0</v>
      </c>
      <c r="M73" s="122" t="n">
        <f aca="false">Abroad!C73+Abroad!D73</f>
        <v>266.28352345103</v>
      </c>
      <c r="N73" s="122" t="n">
        <f aca="false">Abroad!F73</f>
        <v>58.409314630451</v>
      </c>
      <c r="O73" s="122" t="n">
        <f aca="false">Abroad!G73</f>
        <v>0</v>
      </c>
      <c r="P73" s="122" t="n">
        <f aca="false">Abroad!H73</f>
        <v>2154.85136316895</v>
      </c>
      <c r="Q73" s="122" t="n">
        <f aca="false">Abroad!S73</f>
        <v>0</v>
      </c>
      <c r="R73" s="122" t="n">
        <f aca="false">Abroad!C73-Q73</f>
        <v>266.28352345103</v>
      </c>
      <c r="S73" s="122" t="n">
        <f aca="false">'Japan expansion'!T52</f>
        <v>240</v>
      </c>
      <c r="T73" s="122" t="n">
        <f aca="false">P73-'War credit'!T73-Abroad!U73-S73</f>
        <v>1914.85136316895</v>
      </c>
      <c r="U73" s="107" t="str">
        <f aca="false">IF(A73=1901,"Carnegie Steel bought for $480m in Pacifica Steel 5% gold bonds and 7% preference shares","No separately priced acquisition")</f>
        <v>No separately priced acquisition</v>
      </c>
      <c r="V73" s="107" t="n">
        <f aca="false">Y72</f>
        <v>0</v>
      </c>
      <c r="W73" s="107" t="n">
        <f aca="false">V73+K73</f>
        <v>96.6284945987361</v>
      </c>
      <c r="X73" s="107" t="n">
        <f aca="false">MIN('Champion funding'!D73-'Champion funding'!F73,W73)</f>
        <v>96.6284945987361</v>
      </c>
      <c r="Y73" s="107" t="n">
        <f aca="false">W73-X73</f>
        <v>0</v>
      </c>
      <c r="Z73" s="123" t="n">
        <f aca="false">V73+K73-X73-Y73</f>
        <v>0</v>
      </c>
    </row>
    <row r="74" customFormat="false" ht="19.5" hidden="false" customHeight="true" outlineLevel="0" collapsed="false">
      <c r="A74" s="111" t="n">
        <v>1914</v>
      </c>
      <c r="B74" s="107" t="n">
        <f aca="false">C73</f>
        <v>2588.06111916464</v>
      </c>
      <c r="C74" s="122" t="n">
        <f aca="false">Champions!AY74-Champions!Q74</f>
        <v>2722.07105374232</v>
      </c>
      <c r="D74" s="107" t="n">
        <f aca="false">MAX(0,C74-B74)</f>
        <v>134.009934577688</v>
      </c>
      <c r="E74" s="107" t="n">
        <f aca="false">MAX(0,B74-C74)</f>
        <v>0</v>
      </c>
      <c r="F74" s="123" t="n">
        <f aca="false">B74+D74-E74-C74</f>
        <v>0</v>
      </c>
      <c r="G74" s="107" t="n">
        <f aca="false">H73</f>
        <v>497.658728937363</v>
      </c>
      <c r="H74" s="122" t="n">
        <f aca="false">Champions!Q74</f>
        <v>615.221049962083</v>
      </c>
      <c r="I74" s="107" t="n">
        <f aca="false">H74-G74</f>
        <v>117.56232102472</v>
      </c>
      <c r="J74" s="122" t="n">
        <f aca="false">MAX(0,Champions!BA74)*(1-crown_payout)</f>
        <v>226.269662039252</v>
      </c>
      <c r="K74" s="122" t="n">
        <f aca="false">J74*'Sources &amp; uses'!$E$28</f>
        <v>113.134831019626</v>
      </c>
      <c r="L74" s="107" t="n">
        <f aca="false">ABS('Champion funding'!S74)</f>
        <v>0</v>
      </c>
      <c r="M74" s="122" t="n">
        <f aca="false">Abroad!C74+Abroad!D74</f>
        <v>478.752609521724</v>
      </c>
      <c r="N74" s="122" t="n">
        <f aca="false">Abroad!F74</f>
        <v>64.6455408950684</v>
      </c>
      <c r="O74" s="122" t="n">
        <f aca="false">Abroad!G74</f>
        <v>0</v>
      </c>
      <c r="P74" s="122" t="n">
        <f aca="false">Abroad!H74</f>
        <v>2568.9584317956</v>
      </c>
      <c r="Q74" s="122" t="n">
        <f aca="false">Abroad!S74</f>
        <v>0</v>
      </c>
      <c r="R74" s="122" t="n">
        <f aca="false">Abroad!C74-Q74</f>
        <v>138.752609521724</v>
      </c>
      <c r="S74" s="122" t="n">
        <f aca="false">'Japan expansion'!T53</f>
        <v>258</v>
      </c>
      <c r="T74" s="122" t="n">
        <f aca="false">P74-'War credit'!T74-Abroad!U74-S74</f>
        <v>1970.9584317956</v>
      </c>
      <c r="U74" s="107" t="str">
        <f aca="false">IF(A74=1901,"Carnegie Steel bought for $480m in Pacifica Steel 5% gold bonds and 7% preference shares","No separately priced acquisition")</f>
        <v>No separately priced acquisition</v>
      </c>
      <c r="V74" s="107" t="n">
        <f aca="false">Y73</f>
        <v>0</v>
      </c>
      <c r="W74" s="107" t="n">
        <f aca="false">V74+K74</f>
        <v>113.134831019626</v>
      </c>
      <c r="X74" s="107" t="n">
        <f aca="false">MIN('Champion funding'!D74-'Champion funding'!F74,W74)</f>
        <v>113.134831019626</v>
      </c>
      <c r="Y74" s="107" t="n">
        <f aca="false">W74-X74</f>
        <v>0</v>
      </c>
      <c r="Z74" s="123" t="n">
        <f aca="false">V74+K74-X74-Y74</f>
        <v>0</v>
      </c>
    </row>
    <row r="75" customFormat="false" ht="19.5" hidden="false" customHeight="true" outlineLevel="0" collapsed="false">
      <c r="A75" s="111" t="n">
        <v>1915</v>
      </c>
      <c r="B75" s="107" t="n">
        <f aca="false">C74</f>
        <v>2722.07105374232</v>
      </c>
      <c r="C75" s="122" t="n">
        <f aca="false">Champions!AY75-Champions!Q75</f>
        <v>2854.49214760665</v>
      </c>
      <c r="D75" s="107" t="n">
        <f aca="false">MAX(0,C75-B75)</f>
        <v>132.421093864327</v>
      </c>
      <c r="E75" s="107" t="n">
        <f aca="false">MAX(0,B75-C75)</f>
        <v>0</v>
      </c>
      <c r="F75" s="123" t="n">
        <f aca="false">B75+D75-E75-C75</f>
        <v>0</v>
      </c>
      <c r="G75" s="107" t="n">
        <f aca="false">H74</f>
        <v>615.221049962083</v>
      </c>
      <c r="H75" s="122" t="n">
        <f aca="false">Champions!Q75</f>
        <v>743.796179693497</v>
      </c>
      <c r="I75" s="107" t="n">
        <f aca="false">H75-G75</f>
        <v>128.575129731414</v>
      </c>
      <c r="J75" s="122" t="n">
        <f aca="false">MAX(0,Champions!BA75)*(1-crown_payout)</f>
        <v>262.345081899534</v>
      </c>
      <c r="K75" s="122" t="n">
        <f aca="false">J75*'Sources &amp; uses'!$E$28</f>
        <v>131.172540949767</v>
      </c>
      <c r="L75" s="107" t="n">
        <f aca="false">ABS('Champion funding'!S75)</f>
        <v>0</v>
      </c>
      <c r="M75" s="122" t="n">
        <f aca="false">Abroad!C75+Abroad!D75</f>
        <v>536.703948485804</v>
      </c>
      <c r="N75" s="122" t="n">
        <f aca="false">Abroad!F75</f>
        <v>66.868752953868</v>
      </c>
      <c r="O75" s="122" t="n">
        <f aca="false">Abroad!G75</f>
        <v>0</v>
      </c>
      <c r="P75" s="122" t="n">
        <f aca="false">Abroad!H75</f>
        <v>3038.79362732754</v>
      </c>
      <c r="Q75" s="122" t="n">
        <f aca="false">Abroad!S75</f>
        <v>0</v>
      </c>
      <c r="R75" s="122" t="n">
        <f aca="false">Abroad!C75-Q75</f>
        <v>155.263948485804</v>
      </c>
      <c r="S75" s="122" t="n">
        <f aca="false">'Japan expansion'!T54</f>
        <v>305.988</v>
      </c>
      <c r="T75" s="122" t="n">
        <f aca="false">P75-'War credit'!T75-Abroad!U75-S75</f>
        <v>2011.36562732754</v>
      </c>
      <c r="U75" s="107" t="str">
        <f aca="false">IF(A75=1901,"Carnegie Steel bought for $480m in Pacifica Steel 5% gold bonds and 7% preference shares","No separately priced acquisition")</f>
        <v>No separately priced acquisition</v>
      </c>
      <c r="V75" s="107" t="n">
        <f aca="false">Y74</f>
        <v>0</v>
      </c>
      <c r="W75" s="107" t="n">
        <f aca="false">V75+K75</f>
        <v>131.172540949767</v>
      </c>
      <c r="X75" s="107" t="n">
        <f aca="false">MIN('Champion funding'!D75-'Champion funding'!F75,W75)</f>
        <v>131.172540949767</v>
      </c>
      <c r="Y75" s="107" t="n">
        <f aca="false">W75-X75</f>
        <v>0</v>
      </c>
      <c r="Z75" s="123" t="n">
        <f aca="false">V75+K75-X75-Y75</f>
        <v>0</v>
      </c>
    </row>
    <row r="76" customFormat="false" ht="19.5" hidden="false" customHeight="true" outlineLevel="0" collapsed="false">
      <c r="A76" s="111" t="n">
        <v>1916</v>
      </c>
      <c r="B76" s="107" t="n">
        <f aca="false">C75</f>
        <v>2854.49214760665</v>
      </c>
      <c r="C76" s="122" t="n">
        <f aca="false">Champions!AY76-Champions!Q76</f>
        <v>2990.01972918354</v>
      </c>
      <c r="D76" s="107" t="n">
        <f aca="false">MAX(0,C76-B76)</f>
        <v>135.527581576893</v>
      </c>
      <c r="E76" s="107" t="n">
        <f aca="false">MAX(0,B76-C76)</f>
        <v>0</v>
      </c>
      <c r="F76" s="123" t="n">
        <f aca="false">B76+D76-E76-C76</f>
        <v>0</v>
      </c>
      <c r="G76" s="107" t="n">
        <f aca="false">H75</f>
        <v>743.796179693497</v>
      </c>
      <c r="H76" s="122" t="n">
        <f aca="false">Champions!Q76</f>
        <v>888.402389250656</v>
      </c>
      <c r="I76" s="107" t="n">
        <f aca="false">H76-G76</f>
        <v>144.606209557159</v>
      </c>
      <c r="J76" s="122" t="n">
        <f aca="false">MAX(0,Champions!BA76)*(1-crown_payout)</f>
        <v>303.688883848205</v>
      </c>
      <c r="K76" s="122" t="n">
        <f aca="false">J76*'Sources &amp; uses'!$E$28</f>
        <v>151.844441924103</v>
      </c>
      <c r="L76" s="107" t="n">
        <f aca="false">ABS('Champion funding'!S76)</f>
        <v>0</v>
      </c>
      <c r="M76" s="122" t="n">
        <f aca="false">Abroad!C76+Abroad!D76</f>
        <v>720.613704577914</v>
      </c>
      <c r="N76" s="122" t="n">
        <f aca="false">Abroad!F76</f>
        <v>69.5206088198261</v>
      </c>
      <c r="O76" s="122" t="n">
        <f aca="false">Abroad!G76</f>
        <v>0</v>
      </c>
      <c r="P76" s="122" t="n">
        <f aca="false">Abroad!H76</f>
        <v>3689.88672308563</v>
      </c>
      <c r="Q76" s="122" t="n">
        <f aca="false">Abroad!S76</f>
        <v>0</v>
      </c>
      <c r="R76" s="122" t="n">
        <f aca="false">Abroad!C76-Q76</f>
        <v>184.173704577914</v>
      </c>
      <c r="S76" s="122" t="n">
        <f aca="false">'Japan expansion'!T55</f>
        <v>389.976</v>
      </c>
      <c r="T76" s="122" t="n">
        <f aca="false">P76-'War credit'!T76-Abroad!U76-S76</f>
        <v>2042.03072308563</v>
      </c>
      <c r="U76" s="107" t="str">
        <f aca="false">IF(A76=1901,"Carnegie Steel bought for $480m in Pacifica Steel 5% gold bonds and 7% preference shares","No separately priced acquisition")</f>
        <v>No separately priced acquisition</v>
      </c>
      <c r="V76" s="107" t="n">
        <f aca="false">Y75</f>
        <v>0</v>
      </c>
      <c r="W76" s="107" t="n">
        <f aca="false">V76+K76</f>
        <v>151.844441924103</v>
      </c>
      <c r="X76" s="107" t="n">
        <f aca="false">MIN('Champion funding'!D76-'Champion funding'!F76,W76)</f>
        <v>151.844441924103</v>
      </c>
      <c r="Y76" s="107" t="n">
        <f aca="false">W76-X76</f>
        <v>0</v>
      </c>
      <c r="Z76" s="123" t="n">
        <f aca="false">V76+K76-X76-Y76</f>
        <v>0</v>
      </c>
    </row>
    <row r="77" customFormat="false" ht="19.5" hidden="false" customHeight="true" outlineLevel="0" collapsed="false">
      <c r="A77" s="111" t="n">
        <v>1917</v>
      </c>
      <c r="B77" s="107" t="n">
        <f aca="false">C76</f>
        <v>2990.01972918354</v>
      </c>
      <c r="C77" s="122" t="n">
        <f aca="false">Champions!AY77-Champions!Q77</f>
        <v>3128.38131033173</v>
      </c>
      <c r="D77" s="107" t="n">
        <f aca="false">MAX(0,C77-B77)</f>
        <v>138.361581148189</v>
      </c>
      <c r="E77" s="107" t="n">
        <f aca="false">MAX(0,B77-C77)</f>
        <v>0</v>
      </c>
      <c r="F77" s="123" t="n">
        <f aca="false">B77+D77-E77-C77</f>
        <v>0</v>
      </c>
      <c r="G77" s="107" t="n">
        <f aca="false">H76</f>
        <v>888.402389250656</v>
      </c>
      <c r="H77" s="122" t="n">
        <f aca="false">Champions!Q77</f>
        <v>1038.72164041025</v>
      </c>
      <c r="I77" s="107" t="n">
        <f aca="false">H77-G77</f>
        <v>150.319251159591</v>
      </c>
      <c r="J77" s="122" t="n">
        <f aca="false">MAX(0,Champions!BA77)*(1-crown_payout)</f>
        <v>342.321153303002</v>
      </c>
      <c r="K77" s="122" t="n">
        <f aca="false">J77*'Sources &amp; uses'!$E$28</f>
        <v>171.160576651501</v>
      </c>
      <c r="L77" s="107" t="n">
        <f aca="false">ABS('Champion funding'!S77)</f>
        <v>0</v>
      </c>
      <c r="M77" s="122" t="n">
        <f aca="false">Abroad!C77+Abroad!D77</f>
        <v>1071.65283151323</v>
      </c>
      <c r="N77" s="122" t="n">
        <f aca="false">Abroad!F77</f>
        <v>72.9602016925688</v>
      </c>
      <c r="O77" s="122" t="n">
        <f aca="false">Abroad!G77</f>
        <v>0</v>
      </c>
      <c r="P77" s="122" t="n">
        <f aca="false">Abroad!H77</f>
        <v>4688.57935290629</v>
      </c>
      <c r="Q77" s="122" t="n">
        <f aca="false">Abroad!S77</f>
        <v>0</v>
      </c>
      <c r="R77" s="122" t="n">
        <f aca="false">Abroad!C77-Q77</f>
        <v>231.652831513233</v>
      </c>
      <c r="S77" s="122" t="n">
        <f aca="false">'Japan expansion'!T56</f>
        <v>497.976</v>
      </c>
      <c r="T77" s="122" t="n">
        <f aca="false">P77-'War credit'!T77-Abroad!U77-S77</f>
        <v>2092.72335290629</v>
      </c>
      <c r="U77" s="107" t="str">
        <f aca="false">IF(A77=1901,"Carnegie Steel bought for $480m in Pacifica Steel 5% gold bonds and 7% preference shares","No separately priced acquisition")</f>
        <v>No separately priced acquisition</v>
      </c>
      <c r="V77" s="107" t="n">
        <f aca="false">Y76</f>
        <v>0</v>
      </c>
      <c r="W77" s="107" t="n">
        <f aca="false">V77+K77</f>
        <v>171.160576651501</v>
      </c>
      <c r="X77" s="107" t="n">
        <f aca="false">MIN('Champion funding'!D77-'Champion funding'!F77,W77)</f>
        <v>171.160576651501</v>
      </c>
      <c r="Y77" s="107" t="n">
        <f aca="false">W77-X77</f>
        <v>0</v>
      </c>
      <c r="Z77" s="123" t="n">
        <f aca="false">V77+K77-X77-Y77</f>
        <v>0</v>
      </c>
    </row>
    <row r="78" customFormat="false" ht="19.5" hidden="false" customHeight="true" outlineLevel="0" collapsed="false">
      <c r="A78" s="111" t="n">
        <v>1918</v>
      </c>
      <c r="B78" s="107" t="n">
        <f aca="false">C77</f>
        <v>3128.38131033173</v>
      </c>
      <c r="C78" s="122" t="n">
        <f aca="false">Champions!AY78-Champions!Q78</f>
        <v>3267.30965072503</v>
      </c>
      <c r="D78" s="107" t="n">
        <f aca="false">MAX(0,C78-B78)</f>
        <v>138.928340393299</v>
      </c>
      <c r="E78" s="107" t="n">
        <f aca="false">MAX(0,B78-C78)</f>
        <v>0</v>
      </c>
      <c r="F78" s="123" t="n">
        <f aca="false">B78+D78-E78-C78</f>
        <v>0</v>
      </c>
      <c r="G78" s="107" t="n">
        <f aca="false">H77</f>
        <v>1038.72164041025</v>
      </c>
      <c r="H78" s="122" t="n">
        <f aca="false">Champions!Q78</f>
        <v>1263.98605422064</v>
      </c>
      <c r="I78" s="107" t="n">
        <f aca="false">H78-G78</f>
        <v>225.264413810388</v>
      </c>
      <c r="J78" s="122" t="n">
        <f aca="false">MAX(0,Champions!BA78)*(1-crown_payout)</f>
        <v>386.475828740682</v>
      </c>
      <c r="K78" s="122" t="n">
        <f aca="false">J78*'Sources &amp; uses'!$E$28</f>
        <v>193.237914370341</v>
      </c>
      <c r="L78" s="107" t="n">
        <f aca="false">ABS('Champion funding'!S78)</f>
        <v>0</v>
      </c>
      <c r="M78" s="122" t="n">
        <f aca="false">Abroad!C78+Abroad!D78</f>
        <v>1030.79182902662</v>
      </c>
      <c r="N78" s="122" t="n">
        <f aca="false">Abroad!F78</f>
        <v>77.7209805871887</v>
      </c>
      <c r="O78" s="122" t="n">
        <f aca="false">Abroad!G78</f>
        <v>342</v>
      </c>
      <c r="P78" s="122" t="n">
        <f aca="false">Abroad!H78</f>
        <v>5299.65020134572</v>
      </c>
      <c r="Q78" s="122" t="n">
        <f aca="false">Abroad!S78</f>
        <v>0</v>
      </c>
      <c r="R78" s="122" t="n">
        <f aca="false">Abroad!C78-Q78</f>
        <v>278.671829026622</v>
      </c>
      <c r="S78" s="122" t="n">
        <f aca="false">'Japan expansion'!T57</f>
        <v>600</v>
      </c>
      <c r="T78" s="122" t="n">
        <f aca="false">P78-'War credit'!T78-Abroad!U78-S78</f>
        <v>2191.65020134572</v>
      </c>
      <c r="U78" s="107" t="str">
        <f aca="false">IF(A78=1901,"Carnegie Steel bought for $480m in Pacifica Steel 5% gold bonds and 7% preference shares","No separately priced acquisition")</f>
        <v>No separately priced acquisition</v>
      </c>
      <c r="V78" s="107" t="n">
        <f aca="false">Y77</f>
        <v>0</v>
      </c>
      <c r="W78" s="107" t="n">
        <f aca="false">V78+K78</f>
        <v>193.237914370341</v>
      </c>
      <c r="X78" s="107" t="n">
        <f aca="false">MIN('Champion funding'!D78-'Champion funding'!F78,W78)</f>
        <v>193.237914370341</v>
      </c>
      <c r="Y78" s="107" t="n">
        <f aca="false">W78-X78</f>
        <v>0</v>
      </c>
      <c r="Z78" s="123" t="n">
        <f aca="false">V78+K78-X78-Y78</f>
        <v>0</v>
      </c>
    </row>
    <row r="79" customFormat="false" ht="19.5" hidden="false" customHeight="true" outlineLevel="0" collapsed="false">
      <c r="A79" s="111" t="n">
        <v>1919</v>
      </c>
      <c r="B79" s="107" t="n">
        <f aca="false">C78</f>
        <v>3267.30965072503</v>
      </c>
      <c r="C79" s="122" t="n">
        <f aca="false">Champions!AY79-Champions!Q79</f>
        <v>3455.72304100875</v>
      </c>
      <c r="D79" s="107" t="n">
        <f aca="false">MAX(0,C79-B79)</f>
        <v>188.413390283718</v>
      </c>
      <c r="E79" s="107" t="n">
        <f aca="false">MAX(0,B79-C79)</f>
        <v>0</v>
      </c>
      <c r="F79" s="123" t="n">
        <f aca="false">B79+D79-E79-C79</f>
        <v>0</v>
      </c>
      <c r="G79" s="107" t="n">
        <f aca="false">H78</f>
        <v>1263.98605422064</v>
      </c>
      <c r="H79" s="122" t="n">
        <f aca="false">Champions!Q79</f>
        <v>1509.29523331568</v>
      </c>
      <c r="I79" s="107" t="n">
        <f aca="false">H79-G79</f>
        <v>245.309179095048</v>
      </c>
      <c r="J79" s="122" t="n">
        <f aca="false">MAX(0,Champions!BA79)*(1-crown_payout)</f>
        <v>421.710775158362</v>
      </c>
      <c r="K79" s="122" t="n">
        <f aca="false">J79*'Sources &amp; uses'!$E$28</f>
        <v>210.855387579181</v>
      </c>
      <c r="L79" s="107" t="n">
        <f aca="false">ABS('Champion funding'!S79)</f>
        <v>0</v>
      </c>
      <c r="M79" s="122" t="n">
        <f aca="false">Abroad!C79+Abroad!D79</f>
        <v>1108.13820062549</v>
      </c>
      <c r="N79" s="122" t="n">
        <f aca="false">Abroad!F79</f>
        <v>83.7495060403717</v>
      </c>
      <c r="O79" s="122" t="n">
        <f aca="false">Abroad!G79</f>
        <v>0</v>
      </c>
      <c r="P79" s="122" t="n">
        <f aca="false">Abroad!H79</f>
        <v>6324.03889593084</v>
      </c>
      <c r="Q79" s="122" t="n">
        <f aca="false">Abroad!S79</f>
        <v>0</v>
      </c>
      <c r="R79" s="122" t="n">
        <f aca="false">Abroad!C79-Q79</f>
        <v>1108.13820062549</v>
      </c>
      <c r="S79" s="122" t="n">
        <f aca="false">'Japan expansion'!T58</f>
        <v>660</v>
      </c>
      <c r="T79" s="122" t="n">
        <f aca="false">P79-'War credit'!T79-Abroad!U79-S79</f>
        <v>3156.03889593084</v>
      </c>
      <c r="U79" s="107" t="str">
        <f aca="false">IF(A79=1901,"Carnegie Steel bought for $480m in Pacifica Steel 5% gold bonds and 7% preference shares","No separately priced acquisition")</f>
        <v>No separately priced acquisition</v>
      </c>
      <c r="V79" s="107" t="n">
        <f aca="false">Y78</f>
        <v>0</v>
      </c>
      <c r="W79" s="107" t="n">
        <f aca="false">V79+K79</f>
        <v>210.855387579181</v>
      </c>
      <c r="X79" s="107" t="n">
        <f aca="false">MIN('Champion funding'!D79-'Champion funding'!F79,W79)</f>
        <v>210.855387579181</v>
      </c>
      <c r="Y79" s="107" t="n">
        <f aca="false">W79-X79</f>
        <v>0</v>
      </c>
      <c r="Z79" s="123" t="n">
        <f aca="false">V79+K79-X79-Y79</f>
        <v>0</v>
      </c>
    </row>
    <row r="80" customFormat="false" ht="19.5" hidden="false" customHeight="true" outlineLevel="0" collapsed="false">
      <c r="A80" s="111" t="n">
        <v>1920</v>
      </c>
      <c r="B80" s="107" t="n">
        <f aca="false">C79</f>
        <v>3455.72304100875</v>
      </c>
      <c r="C80" s="122" t="n">
        <f aca="false">Champions!AY80-Champions!Q80</f>
        <v>3650.95530344736</v>
      </c>
      <c r="D80" s="107" t="n">
        <f aca="false">MAX(0,C80-B80)</f>
        <v>195.232262438612</v>
      </c>
      <c r="E80" s="107" t="n">
        <f aca="false">MAX(0,B80-C80)</f>
        <v>0</v>
      </c>
      <c r="F80" s="123" t="n">
        <f aca="false">B80+D80-E80-C80</f>
        <v>0</v>
      </c>
      <c r="G80" s="107" t="n">
        <f aca="false">H79</f>
        <v>1509.29523331568</v>
      </c>
      <c r="H80" s="122" t="n">
        <f aca="false">Champions!Q80</f>
        <v>1785.13938151705</v>
      </c>
      <c r="I80" s="107" t="n">
        <f aca="false">H80-G80</f>
        <v>275.84414820137</v>
      </c>
      <c r="J80" s="122" t="n">
        <f aca="false">MAX(0,Champions!BA80)*(1-crown_payout)</f>
        <v>459.902458327572</v>
      </c>
      <c r="K80" s="122" t="n">
        <f aca="false">J80*'Sources &amp; uses'!$E$28</f>
        <v>229.951229163786</v>
      </c>
      <c r="L80" s="107" t="n">
        <f aca="false">ABS('Champion funding'!S80)</f>
        <v>0</v>
      </c>
      <c r="M80" s="122" t="n">
        <f aca="false">Abroad!C80+Abroad!D80</f>
        <v>1298.03831148663</v>
      </c>
      <c r="N80" s="122" t="n">
        <f aca="false">Abroad!F80</f>
        <v>114.481166877925</v>
      </c>
      <c r="O80" s="122" t="n">
        <f aca="false">Abroad!G80</f>
        <v>0</v>
      </c>
      <c r="P80" s="122" t="n">
        <f aca="false">Abroad!H80</f>
        <v>7507.59604053955</v>
      </c>
      <c r="Q80" s="122" t="n">
        <f aca="false">Abroad!S80</f>
        <v>0</v>
      </c>
      <c r="R80" s="122" t="n">
        <f aca="false">Abroad!C80-Q80</f>
        <v>1298.03831148663</v>
      </c>
      <c r="S80" s="122" t="n">
        <f aca="false">'Japan expansion'!T59</f>
        <v>720</v>
      </c>
      <c r="T80" s="122" t="n">
        <f aca="false">P80-'War credit'!T80-Abroad!U80-S80</f>
        <v>4279.59604053955</v>
      </c>
      <c r="U80" s="107" t="str">
        <f aca="false">IF(A80=1901,"Carnegie Steel bought for $480m in Pacifica Steel 5% gold bonds and 7% preference shares","No separately priced acquisition")</f>
        <v>No separately priced acquisition</v>
      </c>
      <c r="V80" s="107" t="n">
        <f aca="false">Y79</f>
        <v>0</v>
      </c>
      <c r="W80" s="107" t="n">
        <f aca="false">V80+K80</f>
        <v>229.951229163786</v>
      </c>
      <c r="X80" s="107" t="n">
        <f aca="false">MIN('Champion funding'!D80-'Champion funding'!F80,W80)</f>
        <v>229.951229163786</v>
      </c>
      <c r="Y80" s="107" t="n">
        <f aca="false">W80-X80</f>
        <v>0</v>
      </c>
      <c r="Z80" s="123" t="n">
        <f aca="false">V80+K80-X80-Y80</f>
        <v>0</v>
      </c>
    </row>
    <row r="81" customFormat="false" ht="19.5" hidden="false" customHeight="true" outlineLevel="0" collapsed="false">
      <c r="A81" s="111" t="n">
        <v>1921</v>
      </c>
      <c r="B81" s="107" t="n">
        <f aca="false">C80</f>
        <v>3650.95530344736</v>
      </c>
      <c r="C81" s="122" t="n">
        <f aca="false">Champions!AY81-Champions!Q81</f>
        <v>4028.68811556207</v>
      </c>
      <c r="D81" s="107" t="n">
        <f aca="false">MAX(0,C81-B81)</f>
        <v>377.732812114703</v>
      </c>
      <c r="E81" s="107" t="n">
        <f aca="false">MAX(0,B81-C81)</f>
        <v>0</v>
      </c>
      <c r="F81" s="123" t="n">
        <f aca="false">B81+D81-E81-C81</f>
        <v>0</v>
      </c>
      <c r="G81" s="107" t="n">
        <f aca="false">H80</f>
        <v>1785.13938151705</v>
      </c>
      <c r="H81" s="122" t="n">
        <f aca="false">Champions!Q81</f>
        <v>1941.99455793235</v>
      </c>
      <c r="I81" s="107" t="n">
        <f aca="false">H81-G81</f>
        <v>156.855176415297</v>
      </c>
      <c r="J81" s="122" t="n">
        <f aca="false">MAX(0,Champions!BA81)*(1-crown_payout)</f>
        <v>463.595851156477</v>
      </c>
      <c r="K81" s="122" t="n">
        <f aca="false">J81*'Sources &amp; uses'!$E$28</f>
        <v>231.797925578239</v>
      </c>
      <c r="L81" s="107" t="n">
        <f aca="false">ABS('Champion funding'!S81)</f>
        <v>0</v>
      </c>
      <c r="M81" s="122" t="n">
        <f aca="false">Abroad!C81+Abroad!D81</f>
        <v>1060.94629596474</v>
      </c>
      <c r="N81" s="122" t="n">
        <f aca="false">Abroad!F81</f>
        <v>149.987881216186</v>
      </c>
      <c r="O81" s="122" t="n">
        <f aca="false">Abroad!G81</f>
        <v>0</v>
      </c>
      <c r="P81" s="122" t="n">
        <f aca="false">Abroad!H81</f>
        <v>8418.5544552881</v>
      </c>
      <c r="Q81" s="122" t="n">
        <f aca="false">Abroad!S81</f>
        <v>0</v>
      </c>
      <c r="R81" s="122" t="n">
        <f aca="false">Abroad!C81-Q81</f>
        <v>1060.94629596474</v>
      </c>
      <c r="S81" s="122" t="n">
        <f aca="false">'Japan expansion'!T60</f>
        <v>765</v>
      </c>
      <c r="T81" s="122" t="n">
        <f aca="false">P81-'War credit'!T81-Abroad!U81-S81</f>
        <v>5145.5544552881</v>
      </c>
      <c r="U81" s="107" t="str">
        <f aca="false">IF(A81=1901,"Carnegie Steel bought for $480m in Pacifica Steel 5% gold bonds and 7% preference shares","No separately priced acquisition")</f>
        <v>No separately priced acquisition</v>
      </c>
      <c r="V81" s="107" t="n">
        <f aca="false">Y80</f>
        <v>0</v>
      </c>
      <c r="W81" s="107" t="n">
        <f aca="false">V81+K81</f>
        <v>231.797925578239</v>
      </c>
      <c r="X81" s="107" t="n">
        <f aca="false">MIN('Champion funding'!D81-'Champion funding'!F81,W81)</f>
        <v>231.797925578239</v>
      </c>
      <c r="Y81" s="107" t="n">
        <f aca="false">W81-X81</f>
        <v>0</v>
      </c>
      <c r="Z81" s="123" t="n">
        <f aca="false">V81+K81-X81-Y81</f>
        <v>0</v>
      </c>
    </row>
    <row r="82" customFormat="false" ht="19.5" hidden="false" customHeight="true" outlineLevel="0" collapsed="false">
      <c r="A82" s="111" t="n">
        <v>1922</v>
      </c>
      <c r="B82" s="107" t="n">
        <f aca="false">C81</f>
        <v>4028.68811556207</v>
      </c>
      <c r="C82" s="122" t="n">
        <f aca="false">Champions!AY82-Champions!Q82</f>
        <v>4413.36544456303</v>
      </c>
      <c r="D82" s="107" t="n">
        <f aca="false">MAX(0,C82-B82)</f>
        <v>384.677329000968</v>
      </c>
      <c r="E82" s="107" t="n">
        <f aca="false">MAX(0,B82-C82)</f>
        <v>0</v>
      </c>
      <c r="F82" s="123" t="n">
        <f aca="false">B82+D82-E82-C82</f>
        <v>0</v>
      </c>
      <c r="G82" s="107" t="n">
        <f aca="false">H81</f>
        <v>1941.99455793235</v>
      </c>
      <c r="H82" s="122" t="n">
        <f aca="false">Champions!Q82</f>
        <v>2091.42729616814</v>
      </c>
      <c r="I82" s="107" t="n">
        <f aca="false">H82-G82</f>
        <v>149.432738235788</v>
      </c>
      <c r="J82" s="122" t="n">
        <f aca="false">MAX(0,Champions!BA82)*(1-crown_payout)</f>
        <v>525.046168311916</v>
      </c>
      <c r="K82" s="122" t="n">
        <f aca="false">J82*'Sources &amp; uses'!$E$28</f>
        <v>262.523084155958</v>
      </c>
      <c r="L82" s="107" t="n">
        <f aca="false">ABS('Champion funding'!S82)</f>
        <v>0</v>
      </c>
      <c r="M82" s="122" t="n">
        <f aca="false">Abroad!C82+Abroad!D82</f>
        <v>1100.68671204826</v>
      </c>
      <c r="N82" s="122" t="n">
        <f aca="false">Abroad!F82</f>
        <v>177.316633658643</v>
      </c>
      <c r="O82" s="122" t="n">
        <f aca="false">Abroad!G82</f>
        <v>0</v>
      </c>
      <c r="P82" s="122" t="n">
        <f aca="false">Abroad!H82</f>
        <v>9341.92453367771</v>
      </c>
      <c r="Q82" s="122" t="n">
        <f aca="false">Abroad!S82</f>
        <v>0</v>
      </c>
      <c r="R82" s="122" t="n">
        <f aca="false">Abroad!C82-Q82</f>
        <v>1100.68671204826</v>
      </c>
      <c r="S82" s="122" t="n">
        <f aca="false">'Japan expansion'!T61</f>
        <v>810</v>
      </c>
      <c r="T82" s="122" t="n">
        <f aca="false">P82-'War credit'!T82-Abroad!U82-S82</f>
        <v>6023.92453367771</v>
      </c>
      <c r="U82" s="107" t="str">
        <f aca="false">IF(A82=1901,"Carnegie Steel bought for $480m in Pacifica Steel 5% gold bonds and 7% preference shares","No separately priced acquisition")</f>
        <v>No separately priced acquisition</v>
      </c>
      <c r="V82" s="107" t="n">
        <f aca="false">Y81</f>
        <v>0</v>
      </c>
      <c r="W82" s="107" t="n">
        <f aca="false">V82+K82</f>
        <v>262.523084155958</v>
      </c>
      <c r="X82" s="107" t="n">
        <f aca="false">MIN('Champion funding'!D82-'Champion funding'!F82,W82)</f>
        <v>262.523084155958</v>
      </c>
      <c r="Y82" s="107" t="n">
        <f aca="false">W82-X82</f>
        <v>0</v>
      </c>
      <c r="Z82" s="123" t="n">
        <f aca="false">V82+K82-X82-Y82</f>
        <v>0</v>
      </c>
    </row>
    <row r="83" customFormat="false" ht="19.5" hidden="false" customHeight="true" outlineLevel="0" collapsed="false">
      <c r="A83" s="111" t="n">
        <v>1923</v>
      </c>
      <c r="B83" s="107" t="n">
        <f aca="false">C82</f>
        <v>4413.36544456303</v>
      </c>
      <c r="C83" s="122" t="n">
        <f aca="false">Champions!AY83-Champions!Q83</f>
        <v>4813.15226090848</v>
      </c>
      <c r="D83" s="107" t="n">
        <f aca="false">MAX(0,C83-B83)</f>
        <v>399.786816345448</v>
      </c>
      <c r="E83" s="107" t="n">
        <f aca="false">MAX(0,B83-C83)</f>
        <v>0</v>
      </c>
      <c r="F83" s="123" t="n">
        <f aca="false">B83+D83-E83-C83</f>
        <v>0</v>
      </c>
      <c r="G83" s="107" t="n">
        <f aca="false">H82</f>
        <v>2091.42729616814</v>
      </c>
      <c r="H83" s="122" t="n">
        <f aca="false">Champions!Q83</f>
        <v>2238.81320805795</v>
      </c>
      <c r="I83" s="107" t="n">
        <f aca="false">H83-G83</f>
        <v>147.385911889808</v>
      </c>
      <c r="J83" s="122" t="n">
        <f aca="false">MAX(0,Champions!BA83)*(1-crown_payout)</f>
        <v>589.282525436578</v>
      </c>
      <c r="K83" s="122" t="n">
        <f aca="false">J83*'Sources &amp; uses'!$E$28</f>
        <v>294.641262718289</v>
      </c>
      <c r="L83" s="107" t="n">
        <f aca="false">ABS('Champion funding'!S83)</f>
        <v>0</v>
      </c>
      <c r="M83" s="122" t="n">
        <f aca="false">Abroad!C83+Abroad!D83</f>
        <v>1245.33158379231</v>
      </c>
      <c r="N83" s="122" t="n">
        <f aca="false">Abroad!F83</f>
        <v>245.145736010331</v>
      </c>
      <c r="O83" s="122" t="n">
        <f aca="false">Abroad!G83</f>
        <v>0</v>
      </c>
      <c r="P83" s="122" t="n">
        <f aca="false">Abroad!H83</f>
        <v>10342.1103814597</v>
      </c>
      <c r="Q83" s="122" t="n">
        <f aca="false">Abroad!S83</f>
        <v>0</v>
      </c>
      <c r="R83" s="122" t="n">
        <f aca="false">Abroad!C83-Q83</f>
        <v>1245.33158379231</v>
      </c>
      <c r="S83" s="122" t="n">
        <f aca="false">'Japan expansion'!T62</f>
        <v>990</v>
      </c>
      <c r="T83" s="122" t="n">
        <f aca="false">P83-'War credit'!T83-Abroad!U83-S83</f>
        <v>6884.23838145969</v>
      </c>
      <c r="U83" s="107" t="str">
        <f aca="false">IF(A83=1901,"Carnegie Steel bought for $480m in Pacifica Steel 5% gold bonds and 7% preference shares","No separately priced acquisition")</f>
        <v>No separately priced acquisition</v>
      </c>
      <c r="V83" s="107" t="n">
        <f aca="false">Y82</f>
        <v>0</v>
      </c>
      <c r="W83" s="107" t="n">
        <f aca="false">V83+K83</f>
        <v>294.641262718289</v>
      </c>
      <c r="X83" s="107" t="n">
        <f aca="false">MIN('Champion funding'!D83-'Champion funding'!F83,W83)</f>
        <v>294.641262718289</v>
      </c>
      <c r="Y83" s="107" t="n">
        <f aca="false">W83-X83</f>
        <v>0</v>
      </c>
      <c r="Z83" s="123" t="n">
        <f aca="false">V83+K83-X83-Y83</f>
        <v>0</v>
      </c>
    </row>
    <row r="84" customFormat="false" ht="19.5" hidden="false" customHeight="true" outlineLevel="0" collapsed="false">
      <c r="A84" s="111" t="n">
        <v>1924</v>
      </c>
      <c r="B84" s="107" t="n">
        <f aca="false">C83</f>
        <v>4813.15226090848</v>
      </c>
      <c r="C84" s="122" t="n">
        <f aca="false">Champions!AY84-Champions!Q84</f>
        <v>5209.81309266571</v>
      </c>
      <c r="D84" s="107" t="n">
        <f aca="false">MAX(0,C84-B84)</f>
        <v>396.660831757225</v>
      </c>
      <c r="E84" s="107" t="n">
        <f aca="false">MAX(0,B84-C84)</f>
        <v>0</v>
      </c>
      <c r="F84" s="123" t="n">
        <f aca="false">B84+D84-E84-C84</f>
        <v>0</v>
      </c>
      <c r="G84" s="107" t="n">
        <f aca="false">H83</f>
        <v>2238.81320805795</v>
      </c>
      <c r="H84" s="122" t="n">
        <f aca="false">Champions!Q84</f>
        <v>2363.2575469864</v>
      </c>
      <c r="I84" s="107" t="n">
        <f aca="false">H84-G84</f>
        <v>124.444338928449</v>
      </c>
      <c r="J84" s="122" t="n">
        <f aca="false">MAX(0,Champions!BA84)*(1-crown_payout)</f>
        <v>644.54987294912</v>
      </c>
      <c r="K84" s="122" t="n">
        <f aca="false">J84*'Sources &amp; uses'!$E$28</f>
        <v>322.27493647456</v>
      </c>
      <c r="L84" s="107" t="n">
        <f aca="false">ABS('Champion funding'!S84)</f>
        <v>0</v>
      </c>
      <c r="M84" s="122" t="n">
        <f aca="false">Abroad!C84+Abroad!D84</f>
        <v>1331.68791191626</v>
      </c>
      <c r="N84" s="122" t="n">
        <f aca="false">Abroad!F84</f>
        <v>275.713103443791</v>
      </c>
      <c r="O84" s="122" t="n">
        <f aca="false">Abroad!G84</f>
        <v>0</v>
      </c>
      <c r="P84" s="122" t="n">
        <f aca="false">Abroad!H84</f>
        <v>11398.0851899322</v>
      </c>
      <c r="Q84" s="122" t="n">
        <f aca="false">Abroad!S84</f>
        <v>0</v>
      </c>
      <c r="R84" s="122" t="n">
        <f aca="false">Abroad!C84-Q84</f>
        <v>1331.68791191626</v>
      </c>
      <c r="S84" s="122" t="n">
        <f aca="false">'Japan expansion'!T63</f>
        <v>1110</v>
      </c>
      <c r="T84" s="122" t="n">
        <f aca="false">P84-'War credit'!T84-Abroad!U84-S84</f>
        <v>7859.69914193216</v>
      </c>
      <c r="U84" s="107" t="str">
        <f aca="false">IF(A84=1901,"Carnegie Steel bought for $480m in Pacifica Steel 5% gold bonds and 7% preference shares","No separately priced acquisition")</f>
        <v>No separately priced acquisition</v>
      </c>
      <c r="V84" s="107" t="n">
        <f aca="false">Y83</f>
        <v>0</v>
      </c>
      <c r="W84" s="107" t="n">
        <f aca="false">V84+K84</f>
        <v>322.27493647456</v>
      </c>
      <c r="X84" s="107" t="n">
        <f aca="false">MIN('Champion funding'!D84-'Champion funding'!F84,W84)</f>
        <v>322.27493647456</v>
      </c>
      <c r="Y84" s="107" t="n">
        <f aca="false">W84-X84</f>
        <v>0</v>
      </c>
      <c r="Z84" s="123" t="n">
        <f aca="false">V84+K84-X84-Y84</f>
        <v>0</v>
      </c>
    </row>
    <row r="85" customFormat="false" ht="19.5" hidden="false" customHeight="true" outlineLevel="0" collapsed="false">
      <c r="A85" s="111" t="n">
        <v>1925</v>
      </c>
      <c r="B85" s="107" t="n">
        <f aca="false">C84</f>
        <v>5209.81309266571</v>
      </c>
      <c r="C85" s="122" t="n">
        <f aca="false">Champions!AY85-Champions!Q85</f>
        <v>5606.01771677697</v>
      </c>
      <c r="D85" s="107" t="n">
        <f aca="false">MAX(0,C85-B85)</f>
        <v>396.20462411126</v>
      </c>
      <c r="E85" s="107" t="n">
        <f aca="false">MAX(0,B85-C85)</f>
        <v>0</v>
      </c>
      <c r="F85" s="123" t="n">
        <f aca="false">B85+D85-E85-C85</f>
        <v>0</v>
      </c>
      <c r="G85" s="107" t="n">
        <f aca="false">H84</f>
        <v>2363.2575469864</v>
      </c>
      <c r="H85" s="122" t="n">
        <f aca="false">Champions!Q85</f>
        <v>2472.6598501819</v>
      </c>
      <c r="I85" s="107" t="n">
        <f aca="false">H85-G85</f>
        <v>109.402303195503</v>
      </c>
      <c r="J85" s="122" t="n">
        <f aca="false">MAX(0,Champions!BA85)*(1-crown_payout)</f>
        <v>694.257704111181</v>
      </c>
      <c r="K85" s="122" t="n">
        <f aca="false">J85*'Sources &amp; uses'!$E$28</f>
        <v>347.12885205559</v>
      </c>
      <c r="L85" s="107" t="n">
        <f aca="false">ABS('Champion funding'!S85)</f>
        <v>0</v>
      </c>
      <c r="M85" s="122" t="n">
        <f aca="false">Abroad!C85+Abroad!D85</f>
        <v>1440.73512519383</v>
      </c>
      <c r="N85" s="122" t="n">
        <f aca="false">Abroad!F85</f>
        <v>307.945151025965</v>
      </c>
      <c r="O85" s="122" t="n">
        <f aca="false">Abroad!G85</f>
        <v>0</v>
      </c>
      <c r="P85" s="122" t="n">
        <f aca="false">Abroad!H85</f>
        <v>12530.8751641</v>
      </c>
      <c r="Q85" s="122" t="n">
        <f aca="false">Abroad!S85</f>
        <v>0</v>
      </c>
      <c r="R85" s="122" t="n">
        <f aca="false">Abroad!C85-Q85</f>
        <v>1440.73512519383</v>
      </c>
      <c r="S85" s="122" t="n">
        <f aca="false">'Japan expansion'!T64</f>
        <v>1155</v>
      </c>
      <c r="T85" s="122" t="n">
        <f aca="false">P85-'War credit'!T85-Abroad!U85-S85</f>
        <v>8986.34329286802</v>
      </c>
      <c r="U85" s="107" t="str">
        <f aca="false">IF(A85=1901,"Carnegie Steel bought for $480m in Pacifica Steel 5% gold bonds and 7% preference shares","No separately priced acquisition")</f>
        <v>No separately priced acquisition</v>
      </c>
      <c r="V85" s="107" t="n">
        <f aca="false">Y84</f>
        <v>0</v>
      </c>
      <c r="W85" s="107" t="n">
        <f aca="false">V85+K85</f>
        <v>347.12885205559</v>
      </c>
      <c r="X85" s="107" t="n">
        <f aca="false">MIN('Champion funding'!D85-'Champion funding'!F85,W85)</f>
        <v>347.12885205559</v>
      </c>
      <c r="Y85" s="107" t="n">
        <f aca="false">W85-X85</f>
        <v>0</v>
      </c>
      <c r="Z85" s="123" t="n">
        <f aca="false">V85+K85-X85-Y85</f>
        <v>0</v>
      </c>
    </row>
    <row r="86" customFormat="false" ht="19.5" hidden="false" customHeight="true" outlineLevel="0" collapsed="false">
      <c r="A86" s="111" t="n">
        <v>1926</v>
      </c>
      <c r="B86" s="107" t="n">
        <f aca="false">C85</f>
        <v>5606.01771677697</v>
      </c>
      <c r="C86" s="122" t="n">
        <f aca="false">Champions!AY86-Champions!Q86</f>
        <v>6206.54112504311</v>
      </c>
      <c r="D86" s="107" t="n">
        <f aca="false">MAX(0,C86-B86)</f>
        <v>600.523408266139</v>
      </c>
      <c r="E86" s="107" t="n">
        <f aca="false">MAX(0,B86-C86)</f>
        <v>0</v>
      </c>
      <c r="F86" s="123" t="n">
        <f aca="false">B86+D86-E86-C86</f>
        <v>0</v>
      </c>
      <c r="G86" s="107" t="n">
        <f aca="false">H85</f>
        <v>2472.6598501819</v>
      </c>
      <c r="H86" s="122" t="n">
        <f aca="false">Champions!Q86</f>
        <v>2587.82997816569</v>
      </c>
      <c r="I86" s="107" t="n">
        <f aca="false">H86-G86</f>
        <v>115.170127983791</v>
      </c>
      <c r="J86" s="122" t="n">
        <f aca="false">MAX(0,Champions!BA86)*(1-crown_payout)</f>
        <v>751.54532846754</v>
      </c>
      <c r="K86" s="122" t="n">
        <f aca="false">J86*'Sources &amp; uses'!$E$28</f>
        <v>375.77266423377</v>
      </c>
      <c r="L86" s="107" t="n">
        <f aca="false">ABS('Champion funding'!S86)</f>
        <v>0</v>
      </c>
      <c r="M86" s="122" t="n">
        <f aca="false">Abroad!C86+Abroad!D86</f>
        <v>1504.26242099552</v>
      </c>
      <c r="N86" s="122" t="n">
        <f aca="false">Abroad!F86</f>
        <v>342.472808725753</v>
      </c>
      <c r="O86" s="122" t="n">
        <f aca="false">Abroad!G86</f>
        <v>0</v>
      </c>
      <c r="P86" s="122" t="n">
        <f aca="false">Abroad!H86</f>
        <v>13692.6647763698</v>
      </c>
      <c r="Q86" s="122" t="n">
        <f aca="false">Abroad!S86</f>
        <v>0</v>
      </c>
      <c r="R86" s="122" t="n">
        <f aca="false">Abroad!C86-Q86</f>
        <v>1504.26242099552</v>
      </c>
      <c r="S86" s="122" t="n">
        <f aca="false">'Japan expansion'!T65</f>
        <v>1200</v>
      </c>
      <c r="T86" s="122" t="n">
        <f aca="false">P86-'War credit'!T86-Abroad!U86-S86</f>
        <v>10141.3654150775</v>
      </c>
      <c r="U86" s="107" t="str">
        <f aca="false">IF(A86=1901,"Carnegie Steel bought for $480m in Pacifica Steel 5% gold bonds and 7% preference shares","No separately priced acquisition")</f>
        <v>No separately priced acquisition</v>
      </c>
      <c r="V86" s="107" t="n">
        <f aca="false">Y85</f>
        <v>0</v>
      </c>
      <c r="W86" s="107" t="n">
        <f aca="false">V86+K86</f>
        <v>375.77266423377</v>
      </c>
      <c r="X86" s="107" t="n">
        <f aca="false">MIN('Champion funding'!D86-'Champion funding'!F86,W86)</f>
        <v>375.77266423377</v>
      </c>
      <c r="Y86" s="107" t="n">
        <f aca="false">W86-X86</f>
        <v>0</v>
      </c>
      <c r="Z86" s="123" t="n">
        <f aca="false">V86+K86-X86-Y86</f>
        <v>0</v>
      </c>
    </row>
    <row r="87" customFormat="false" ht="19.5" hidden="false" customHeight="true" outlineLevel="0" collapsed="false">
      <c r="A87" s="111" t="n">
        <v>1927</v>
      </c>
      <c r="B87" s="107" t="n">
        <f aca="false">C86</f>
        <v>6206.54112504311</v>
      </c>
      <c r="C87" s="122" t="n">
        <f aca="false">Champions!AY87-Champions!Q87</f>
        <v>6818.95453311273</v>
      </c>
      <c r="D87" s="107" t="n">
        <f aca="false">MAX(0,C87-B87)</f>
        <v>612.413408069623</v>
      </c>
      <c r="E87" s="107" t="n">
        <f aca="false">MAX(0,B87-C87)</f>
        <v>0</v>
      </c>
      <c r="F87" s="123" t="n">
        <f aca="false">B87+D87-E87-C87</f>
        <v>0</v>
      </c>
      <c r="G87" s="107" t="n">
        <f aca="false">H86</f>
        <v>2587.82997816569</v>
      </c>
      <c r="H87" s="122" t="n">
        <f aca="false">Champions!Q87</f>
        <v>2902.37043538198</v>
      </c>
      <c r="I87" s="107" t="n">
        <f aca="false">H87-G87</f>
        <v>314.540457216289</v>
      </c>
      <c r="J87" s="122" t="n">
        <f aca="false">MAX(0,Champions!BA87)*(1-crown_payout)</f>
        <v>827.354514939465</v>
      </c>
      <c r="K87" s="122" t="n">
        <f aca="false">J87*'Sources &amp; uses'!$E$28</f>
        <v>413.677257469733</v>
      </c>
      <c r="L87" s="107" t="n">
        <f aca="false">ABS('Champion funding'!S87)</f>
        <v>0</v>
      </c>
      <c r="M87" s="122" t="n">
        <f aca="false">Abroad!C87+Abroad!D87</f>
        <v>1560.7307791676</v>
      </c>
      <c r="N87" s="122" t="n">
        <f aca="false">Abroad!F87</f>
        <v>377.861752233002</v>
      </c>
      <c r="O87" s="122" t="n">
        <f aca="false">Abroad!G87</f>
        <v>0</v>
      </c>
      <c r="P87" s="122" t="n">
        <f aca="false">Abroad!H87</f>
        <v>14875.5338033044</v>
      </c>
      <c r="Q87" s="122" t="n">
        <f aca="false">Abroad!S87</f>
        <v>331.240823011965</v>
      </c>
      <c r="R87" s="122" t="n">
        <f aca="false">Abroad!C87-Q87</f>
        <v>1229.48995615563</v>
      </c>
      <c r="S87" s="107" t="n">
        <f aca="false">0</f>
        <v>0</v>
      </c>
      <c r="T87" s="122" t="n">
        <f aca="false">P87-'War credit'!T87-Abroad!U87-S87</f>
        <v>12230.6144087808</v>
      </c>
      <c r="U87" s="107" t="str">
        <f aca="false">IF(A87=1901,"Carnegie Steel bought for $480m in Pacifica Steel 5% gold bonds and 7% preference shares","No separately priced acquisition")</f>
        <v>No separately priced acquisition</v>
      </c>
      <c r="V87" s="107" t="n">
        <f aca="false">Y86</f>
        <v>0</v>
      </c>
      <c r="W87" s="107" t="n">
        <f aca="false">V87+K87</f>
        <v>413.677257469733</v>
      </c>
      <c r="X87" s="107" t="n">
        <f aca="false">MIN('Champion funding'!D87-'Champion funding'!F87,W87)</f>
        <v>413.677257469733</v>
      </c>
      <c r="Y87" s="107" t="n">
        <f aca="false">W87-X87</f>
        <v>0</v>
      </c>
      <c r="Z87" s="123" t="n">
        <f aca="false">V87+K87-X87-Y87</f>
        <v>0</v>
      </c>
    </row>
    <row r="88" customFormat="false" ht="19.5" hidden="false" customHeight="true" outlineLevel="0" collapsed="false">
      <c r="A88" s="111" t="n">
        <v>1928</v>
      </c>
      <c r="B88" s="107" t="n">
        <f aca="false">C87</f>
        <v>6818.95453311273</v>
      </c>
      <c r="C88" s="122" t="n">
        <f aca="false">Champions!AY88-Champions!Q88</f>
        <v>7431.69486303344</v>
      </c>
      <c r="D88" s="107" t="n">
        <f aca="false">MAX(0,C88-B88)</f>
        <v>612.740329920713</v>
      </c>
      <c r="E88" s="107" t="n">
        <f aca="false">MAX(0,B88-C88)</f>
        <v>0</v>
      </c>
      <c r="F88" s="123" t="n">
        <f aca="false">B88+D88-E88-C88</f>
        <v>0</v>
      </c>
      <c r="G88" s="107" t="n">
        <f aca="false">H87</f>
        <v>2902.37043538198</v>
      </c>
      <c r="H88" s="122" t="n">
        <f aca="false">Champions!Q88</f>
        <v>3197.62831885512</v>
      </c>
      <c r="I88" s="107" t="n">
        <f aca="false">H88-G88</f>
        <v>295.257883473138</v>
      </c>
      <c r="J88" s="122" t="n">
        <f aca="false">MAX(0,Champions!BA88)*(1-crown_payout)</f>
        <v>902.168715821696</v>
      </c>
      <c r="K88" s="122" t="n">
        <f aca="false">J88*'Sources &amp; uses'!$E$28</f>
        <v>451.084357910848</v>
      </c>
      <c r="L88" s="107" t="n">
        <f aca="false">ABS('Champion funding'!S88)</f>
        <v>0</v>
      </c>
      <c r="M88" s="122" t="n">
        <f aca="false">Abroad!C88+Abroad!D88</f>
        <v>1674.99183051693</v>
      </c>
      <c r="N88" s="122" t="n">
        <f aca="false">Abroad!F88</f>
        <v>403.93728940761</v>
      </c>
      <c r="O88" s="122" t="n">
        <f aca="false">Abroad!G88</f>
        <v>0</v>
      </c>
      <c r="P88" s="122" t="n">
        <f aca="false">Abroad!H88</f>
        <v>16146.5883444137</v>
      </c>
      <c r="Q88" s="122" t="n">
        <f aca="false">Abroad!S88</f>
        <v>0</v>
      </c>
      <c r="R88" s="122" t="n">
        <f aca="false">Abroad!C88-Q88</f>
        <v>1674.99183051693</v>
      </c>
      <c r="S88" s="107" t="n">
        <f aca="false">0</f>
        <v>0</v>
      </c>
      <c r="T88" s="122" t="n">
        <f aca="false">P88-'War credit'!T88-Abroad!U88-S88</f>
        <v>13538.6878070343</v>
      </c>
      <c r="U88" s="107" t="str">
        <f aca="false">IF(A88=1901,"Carnegie Steel bought for $480m in Pacifica Steel 5% gold bonds and 7% preference shares","No separately priced acquisition")</f>
        <v>No separately priced acquisition</v>
      </c>
      <c r="V88" s="107" t="n">
        <f aca="false">Y87</f>
        <v>0</v>
      </c>
      <c r="W88" s="107" t="n">
        <f aca="false">V88+K88</f>
        <v>451.084357910848</v>
      </c>
      <c r="X88" s="107" t="n">
        <f aca="false">MIN('Champion funding'!D88-'Champion funding'!F88,W88)</f>
        <v>451.084357910848</v>
      </c>
      <c r="Y88" s="107" t="n">
        <f aca="false">W88-X88</f>
        <v>0</v>
      </c>
      <c r="Z88" s="123" t="n">
        <f aca="false">V88+K88-X88-Y88</f>
        <v>0</v>
      </c>
    </row>
    <row r="89" customFormat="false" ht="19.5" hidden="false" customHeight="true" outlineLevel="0" collapsed="false">
      <c r="A89" s="111" t="n">
        <v>1929</v>
      </c>
      <c r="B89" s="107" t="n">
        <f aca="false">C88</f>
        <v>7431.69486303344</v>
      </c>
      <c r="C89" s="122" t="n">
        <f aca="false">Champions!AY89-Champions!Q89</f>
        <v>8062.53094865774</v>
      </c>
      <c r="D89" s="107" t="n">
        <f aca="false">MAX(0,C89-B89)</f>
        <v>630.836085624301</v>
      </c>
      <c r="E89" s="107" t="n">
        <f aca="false">MAX(0,B89-C89)</f>
        <v>0</v>
      </c>
      <c r="F89" s="123" t="n">
        <f aca="false">B89+D89-E89-C89</f>
        <v>0</v>
      </c>
      <c r="G89" s="107" t="n">
        <f aca="false">H88</f>
        <v>3197.62831885512</v>
      </c>
      <c r="H89" s="122" t="n">
        <f aca="false">Champions!Q89</f>
        <v>3492.27859875562</v>
      </c>
      <c r="I89" s="107" t="n">
        <f aca="false">H89-G89</f>
        <v>294.650279900503</v>
      </c>
      <c r="J89" s="122" t="n">
        <f aca="false">MAX(0,Champions!BA89)*(1-crown_payout)</f>
        <v>976.691655660493</v>
      </c>
      <c r="K89" s="122" t="n">
        <f aca="false">J89*'Sources &amp; uses'!$E$28</f>
        <v>488.345827830246</v>
      </c>
      <c r="L89" s="107" t="n">
        <f aca="false">ABS('Champion funding'!S89)</f>
        <v>0</v>
      </c>
      <c r="M89" s="122" t="n">
        <f aca="false">Abroad!C89+Abroad!D89</f>
        <v>1777.34650621436</v>
      </c>
      <c r="N89" s="122" t="n">
        <f aca="false">Abroad!F89</f>
        <v>508.835354243301</v>
      </c>
      <c r="O89" s="122" t="n">
        <f aca="false">Abroad!G89</f>
        <v>0</v>
      </c>
      <c r="P89" s="122" t="n">
        <f aca="false">Abroad!H89</f>
        <v>17415.0994963848</v>
      </c>
      <c r="Q89" s="122" t="n">
        <f aca="false">Abroad!S89</f>
        <v>0</v>
      </c>
      <c r="R89" s="122" t="n">
        <f aca="false">Abroad!C89-Q89</f>
        <v>1777.34650621436</v>
      </c>
      <c r="S89" s="107" t="n">
        <f aca="false">0</f>
        <v>0</v>
      </c>
      <c r="T89" s="122" t="n">
        <f aca="false">P89-'War credit'!T89-Abroad!U89-S89</f>
        <v>14909.8736790376</v>
      </c>
      <c r="U89" s="107" t="str">
        <f aca="false">IF(A89=1901,"Carnegie Steel bought for $480m in Pacifica Steel 5% gold bonds and 7% preference shares","No separately priced acquisition")</f>
        <v>No separately priced acquisition</v>
      </c>
      <c r="V89" s="107" t="n">
        <f aca="false">Y88</f>
        <v>0</v>
      </c>
      <c r="W89" s="107" t="n">
        <f aca="false">V89+K89</f>
        <v>488.345827830246</v>
      </c>
      <c r="X89" s="107" t="n">
        <f aca="false">MIN('Champion funding'!D89-'Champion funding'!F89,W89)</f>
        <v>488.345827830246</v>
      </c>
      <c r="Y89" s="107" t="n">
        <f aca="false">W89-X89</f>
        <v>0</v>
      </c>
      <c r="Z89" s="123" t="n">
        <f aca="false">V89+K89-X89-Y89</f>
        <v>0</v>
      </c>
    </row>
    <row r="90" customFormat="false" ht="19.5" hidden="false" customHeight="true" outlineLevel="0" collapsed="false">
      <c r="A90" s="111" t="n">
        <v>1930</v>
      </c>
      <c r="B90" s="107" t="n">
        <f aca="false">C89</f>
        <v>8062.53094865774</v>
      </c>
      <c r="C90" s="122" t="n">
        <f aca="false">Champions!AY90-Champions!Q90</f>
        <v>7982.36337606824</v>
      </c>
      <c r="D90" s="107" t="n">
        <f aca="false">MAX(0,C90-B90)</f>
        <v>0</v>
      </c>
      <c r="E90" s="107" t="n">
        <f aca="false">MAX(0,B90-C90)</f>
        <v>80.1675725894984</v>
      </c>
      <c r="F90" s="123" t="n">
        <f aca="false">B90+D90-E90-C90</f>
        <v>0</v>
      </c>
      <c r="G90" s="107" t="n">
        <f aca="false">H89</f>
        <v>3492.27859875562</v>
      </c>
      <c r="H90" s="122" t="n">
        <f aca="false">Champions!Q90</f>
        <v>2955.68769312994</v>
      </c>
      <c r="I90" s="107" t="n">
        <f aca="false">H90-G90</f>
        <v>-536.590905625677</v>
      </c>
      <c r="J90" s="122" t="n">
        <f aca="false">MAX(0,Champions!BA90)*(1-crown_payout)</f>
        <v>871.057903538123</v>
      </c>
      <c r="K90" s="122" t="n">
        <f aca="false">J90*'Sources &amp; uses'!$E$28</f>
        <v>435.528951769061</v>
      </c>
      <c r="L90" s="107" t="n">
        <f aca="false">ABS('Champion funding'!S90)</f>
        <v>0</v>
      </c>
      <c r="M90" s="122" t="n">
        <f aca="false">Abroad!C90+Abroad!D90</f>
        <v>238.066066279593</v>
      </c>
      <c r="N90" s="122" t="n">
        <f aca="false">Abroad!F90</f>
        <v>549.388105516523</v>
      </c>
      <c r="O90" s="122" t="n">
        <f aca="false">Abroad!G90</f>
        <v>0</v>
      </c>
      <c r="P90" s="122" t="n">
        <f aca="false">Abroad!H90</f>
        <v>17103.7774571478</v>
      </c>
      <c r="Q90" s="122" t="n">
        <f aca="false">Abroad!S90</f>
        <v>0</v>
      </c>
      <c r="R90" s="122" t="n">
        <f aca="false">Abroad!C90-Q90</f>
        <v>238.066066279593</v>
      </c>
      <c r="S90" s="107" t="n">
        <f aca="false">0</f>
        <v>0</v>
      </c>
      <c r="T90" s="122" t="n">
        <f aca="false">P90-'War credit'!T90-Abroad!U90-S90</f>
        <v>14700.6435349461</v>
      </c>
      <c r="U90" s="107" t="str">
        <f aca="false">IF(A90=1901,"Carnegie Steel bought for $480m in Pacifica Steel 5% gold bonds and 7% preference shares","No separately priced acquisition")</f>
        <v>No separately priced acquisition</v>
      </c>
      <c r="V90" s="107" t="n">
        <f aca="false">Y89</f>
        <v>0</v>
      </c>
      <c r="W90" s="107" t="n">
        <f aca="false">V90+K90</f>
        <v>435.528951769061</v>
      </c>
      <c r="X90" s="107" t="n">
        <f aca="false">MIN('Champion funding'!D90-'Champion funding'!F90,W90)</f>
        <v>0</v>
      </c>
      <c r="Y90" s="107" t="n">
        <f aca="false">W90-X90</f>
        <v>435.528951769061</v>
      </c>
      <c r="Z90" s="123" t="n">
        <f aca="false">V90+K90-X90-Y90</f>
        <v>0</v>
      </c>
    </row>
    <row r="91" customFormat="false" ht="19.5" hidden="false" customHeight="true" outlineLevel="0" collapsed="false">
      <c r="A91" s="111" t="n">
        <v>1931</v>
      </c>
      <c r="B91" s="107" t="n">
        <f aca="false">C90</f>
        <v>7982.36337606824</v>
      </c>
      <c r="C91" s="122" t="n">
        <f aca="false">Champions!AY91-Champions!Q91</f>
        <v>7896.24871060129</v>
      </c>
      <c r="D91" s="107" t="n">
        <f aca="false">MAX(0,C91-B91)</f>
        <v>0</v>
      </c>
      <c r="E91" s="107" t="n">
        <f aca="false">MAX(0,B91-C91)</f>
        <v>86.114665466951</v>
      </c>
      <c r="F91" s="123" t="n">
        <f aca="false">B91+D91-E91-C91</f>
        <v>0</v>
      </c>
      <c r="G91" s="107" t="n">
        <f aca="false">H90</f>
        <v>2955.68769312994</v>
      </c>
      <c r="H91" s="122" t="n">
        <f aca="false">Champions!Q91</f>
        <v>2438.39425719882</v>
      </c>
      <c r="I91" s="107" t="n">
        <f aca="false">H91-G91</f>
        <v>-517.293435931119</v>
      </c>
      <c r="J91" s="122" t="n">
        <f aca="false">MAX(0,Champions!BA91)*(1-crown_payout)</f>
        <v>691.235011441534</v>
      </c>
      <c r="K91" s="122" t="n">
        <f aca="false">J91*'Sources &amp; uses'!$E$28</f>
        <v>345.617505720767</v>
      </c>
      <c r="L91" s="107" t="n">
        <f aca="false">ABS('Champion funding'!S91)</f>
        <v>0</v>
      </c>
      <c r="M91" s="122" t="n">
        <f aca="false">Abroad!C91+Abroad!D91</f>
        <v>214.770269571028</v>
      </c>
      <c r="N91" s="122" t="n">
        <f aca="false">Abroad!F91</f>
        <v>507.267470650776</v>
      </c>
      <c r="O91" s="122" t="n">
        <f aca="false">Abroad!G91</f>
        <v>588.025741397844</v>
      </c>
      <c r="P91" s="122" t="n">
        <f aca="false">Abroad!H91</f>
        <v>16223.2545146702</v>
      </c>
      <c r="Q91" s="122" t="n">
        <f aca="false">Abroad!S91</f>
        <v>0</v>
      </c>
      <c r="R91" s="122" t="n">
        <f aca="false">Abroad!C91-Q91</f>
        <v>214.770269571028</v>
      </c>
      <c r="S91" s="107" t="n">
        <f aca="false">0</f>
        <v>0</v>
      </c>
      <c r="T91" s="122" t="n">
        <f aca="false">P91-'War credit'!T91-Abroad!U91-S91</f>
        <v>13886.3687570709</v>
      </c>
      <c r="U91" s="107" t="str">
        <f aca="false">IF(A91=1901,"Carnegie Steel bought for $480m in Pacifica Steel 5% gold bonds and 7% preference shares","No separately priced acquisition")</f>
        <v>No separately priced acquisition</v>
      </c>
      <c r="V91" s="107" t="n">
        <f aca="false">Y90</f>
        <v>435.528951769061</v>
      </c>
      <c r="W91" s="107" t="n">
        <f aca="false">V91+K91</f>
        <v>781.146457489829</v>
      </c>
      <c r="X91" s="107" t="n">
        <f aca="false">MIN('Champion funding'!D91-'Champion funding'!F91,W91)</f>
        <v>0</v>
      </c>
      <c r="Y91" s="107" t="n">
        <f aca="false">W91-X91</f>
        <v>781.146457489829</v>
      </c>
      <c r="Z91" s="123" t="n">
        <f aca="false">V91+K91-X91-Y91</f>
        <v>0</v>
      </c>
    </row>
    <row r="92" customFormat="false" ht="19.5" hidden="false" customHeight="true" outlineLevel="0" collapsed="false">
      <c r="A92" s="111" t="n">
        <v>1932</v>
      </c>
      <c r="B92" s="107" t="n">
        <f aca="false">C91</f>
        <v>7896.24871060129</v>
      </c>
      <c r="C92" s="122" t="n">
        <f aca="false">Champions!AY92-Champions!Q92</f>
        <v>7821.10233500562</v>
      </c>
      <c r="D92" s="107" t="n">
        <f aca="false">MAX(0,C92-B92)</f>
        <v>0</v>
      </c>
      <c r="E92" s="107" t="n">
        <f aca="false">MAX(0,B92-C92)</f>
        <v>75.1463755956738</v>
      </c>
      <c r="F92" s="123" t="n">
        <f aca="false">B92+D92-E92-C92</f>
        <v>0</v>
      </c>
      <c r="G92" s="107" t="n">
        <f aca="false">H91</f>
        <v>2438.39425719882</v>
      </c>
      <c r="H92" s="122" t="n">
        <f aca="false">Champions!Q92</f>
        <v>1879.01219818985</v>
      </c>
      <c r="I92" s="107" t="n">
        <f aca="false">H92-G92</f>
        <v>-559.382059008972</v>
      </c>
      <c r="J92" s="122" t="n">
        <f aca="false">MAX(0,Champions!BA92)*(1-crown_payout)</f>
        <v>601.729761871234</v>
      </c>
      <c r="K92" s="122" t="n">
        <f aca="false">J92*'Sources &amp; uses'!$E$28</f>
        <v>300.864880935617</v>
      </c>
      <c r="L92" s="107" t="n">
        <f aca="false">ABS('Champion funding'!S92)</f>
        <v>0</v>
      </c>
      <c r="M92" s="122" t="n">
        <f aca="false">Abroad!C92+Abroad!D92</f>
        <v>197.476666954187</v>
      </c>
      <c r="N92" s="122" t="n">
        <f aca="false">Abroad!F92</f>
        <v>482.83922731452</v>
      </c>
      <c r="O92" s="122" t="n">
        <f aca="false">Abroad!G92</f>
        <v>555.454750282836</v>
      </c>
      <c r="P92" s="122" t="n">
        <f aca="false">Abroad!H92</f>
        <v>15382.4372040271</v>
      </c>
      <c r="Q92" s="122" t="n">
        <f aca="false">Abroad!S92</f>
        <v>0</v>
      </c>
      <c r="R92" s="122" t="n">
        <f aca="false">Abroad!C92-Q92</f>
        <v>197.476666954187</v>
      </c>
      <c r="S92" s="107" t="n">
        <f aca="false">0</f>
        <v>0</v>
      </c>
      <c r="T92" s="122" t="n">
        <f aca="false">P92-'War credit'!T92-Abroad!U92-S92</f>
        <v>13111.7996110301</v>
      </c>
      <c r="U92" s="107" t="str">
        <f aca="false">IF(A92=1901,"Carnegie Steel bought for $480m in Pacifica Steel 5% gold bonds and 7% preference shares","No separately priced acquisition")</f>
        <v>No separately priced acquisition</v>
      </c>
      <c r="V92" s="107" t="n">
        <f aca="false">Y91</f>
        <v>781.146457489829</v>
      </c>
      <c r="W92" s="107" t="n">
        <f aca="false">V92+K92</f>
        <v>1082.01133842545</v>
      </c>
      <c r="X92" s="107" t="n">
        <f aca="false">MIN('Champion funding'!D92-'Champion funding'!F92,W92)</f>
        <v>0</v>
      </c>
      <c r="Y92" s="107" t="n">
        <f aca="false">W92-X92</f>
        <v>1082.01133842545</v>
      </c>
      <c r="Z92" s="123" t="n">
        <f aca="false">V92+K92-X92-Y92</f>
        <v>0</v>
      </c>
    </row>
    <row r="93" customFormat="false" ht="19.5" hidden="false" customHeight="true" outlineLevel="0" collapsed="false">
      <c r="A93" s="100"/>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customFormat="false" ht="19.5" hidden="false" customHeight="true" outlineLevel="0" collapsed="false">
      <c r="A94" s="100"/>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customFormat="false" ht="19.5" hidden="false" customHeight="true" outlineLevel="0" collapsed="false">
      <c r="A95" s="100" t="s">
        <v>2411</v>
      </c>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customFormat="false" ht="19.5" hidden="false" customHeight="true" outlineLevel="0" collapsed="false">
      <c r="A96" s="100" t="s">
        <v>2412</v>
      </c>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customFormat="false" ht="19.5" hidden="false" customHeight="true" outlineLevel="0" collapsed="false">
      <c r="A97" s="100" t="s">
        <v>2413</v>
      </c>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customFormat="false" ht="19.5" hidden="false" customHeight="true" outlineLevel="0" collapsed="false">
      <c r="A98" s="100" t="s">
        <v>2414</v>
      </c>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customFormat="false" ht="19.5" hidden="false" customHeight="true" outlineLevel="0" collapsed="false">
      <c r="A99" s="100" t="s">
        <v>2415</v>
      </c>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sheetData>
    <row r="1" customFormat="false" ht="13.8" hidden="false" customHeight="false" outlineLevel="0" collapsed="false">
      <c r="A1" s="28" t="s">
        <v>2416</v>
      </c>
    </row>
    <row r="2" customFormat="false" ht="13.8" hidden="false" customHeight="false" outlineLevel="0" collapsed="false">
      <c r="A2" s="1" t="s">
        <v>2417</v>
      </c>
    </row>
    <row r="3" customFormat="false" ht="13.8" hidden="false" customHeight="false" outlineLevel="0" collapsed="false">
      <c r="A3" s="1" t="s">
        <v>2039</v>
      </c>
      <c r="E3" s="1" t="str">
        <f aca="false">IF(Levers!$E$4=1,"Story case","Stress case")</f>
        <v>Story case</v>
      </c>
    </row>
    <row r="4" customFormat="false" ht="13.8" hidden="false" customHeight="false" outlineLevel="0" collapsed="false"/>
    <row r="5" customFormat="false" ht="13.8" hidden="false" customHeight="false" outlineLevel="0" collapsed="false">
      <c r="A5" s="28" t="s">
        <v>103</v>
      </c>
      <c r="B5" s="28" t="s">
        <v>2418</v>
      </c>
      <c r="C5" s="28" t="s">
        <v>2419</v>
      </c>
      <c r="D5" s="28" t="s">
        <v>2420</v>
      </c>
      <c r="E5" s="28" t="s">
        <v>2421</v>
      </c>
      <c r="F5" s="28" t="s">
        <v>2422</v>
      </c>
      <c r="G5" s="28" t="s">
        <v>2423</v>
      </c>
      <c r="H5" s="28" t="s">
        <v>2424</v>
      </c>
      <c r="I5" s="28" t="s">
        <v>2425</v>
      </c>
      <c r="J5" s="28" t="s">
        <v>2426</v>
      </c>
      <c r="K5" s="28" t="s">
        <v>2427</v>
      </c>
      <c r="L5" s="28" t="s">
        <v>2428</v>
      </c>
      <c r="M5" s="28" t="s">
        <v>2429</v>
      </c>
      <c r="N5" s="28" t="s">
        <v>2430</v>
      </c>
      <c r="O5" s="28" t="s">
        <v>2431</v>
      </c>
      <c r="P5" s="28" t="s">
        <v>2432</v>
      </c>
      <c r="Q5" s="28" t="s">
        <v>2433</v>
      </c>
      <c r="R5" s="28" t="s">
        <v>2434</v>
      </c>
      <c r="S5" s="28" t="s">
        <v>2435</v>
      </c>
    </row>
    <row r="6" customFormat="false" ht="13.8" hidden="false" customHeight="false" outlineLevel="0" collapsed="false">
      <c r="A6" s="1" t="n">
        <v>1846</v>
      </c>
      <c r="B6" s="126" t="n">
        <f aca="false">'Capital accounts'!D6</f>
        <v>0</v>
      </c>
      <c r="C6" s="75" t="n">
        <f aca="false">MAX(0,'Capital accounts'!I6)*$E$106/oil_book</f>
        <v>0</v>
      </c>
      <c r="D6" s="75" t="n">
        <f aca="false">B6+C6</f>
        <v>0</v>
      </c>
      <c r="E6" s="126" t="n">
        <f aca="false">'Capital accounts'!X6</f>
        <v>0</v>
      </c>
      <c r="F6" s="75" t="n">
        <f aca="false">IF(A6=1901,MIN($E$98,B6),0)</f>
        <v>0</v>
      </c>
      <c r="G6" s="75" t="n">
        <f aca="false">MIN(MAX(0,D6-E6-F6),$E$97*(D6-F6))</f>
        <v>0</v>
      </c>
      <c r="H6" s="75" t="n">
        <f aca="false">IF(AND(A6&gt;=1880,A6&lt;=1899),$E$101,IF(AND(A6&gt;=1900,A6&lt;=1913),$E$102,IF(AND(A6&gt;=1919,A6&lt;=1929),$E$103,0)))</f>
        <v>0</v>
      </c>
      <c r="I6" s="75" t="n">
        <f aca="false">MIN(H6,MAX(0,D6-E6-F6-G6))</f>
        <v>0</v>
      </c>
      <c r="J6" s="75" t="n">
        <f aca="false">MAX(0,D6-E6-F6-G6-I6)</f>
        <v>0</v>
      </c>
      <c r="K6" s="75" t="n">
        <f aca="false">F6+G6+I6</f>
        <v>0</v>
      </c>
      <c r="L6" s="75" t="n">
        <f aca="false">I6</f>
        <v>0</v>
      </c>
      <c r="M6" s="75" t="n">
        <f aca="false">G6</f>
        <v>0</v>
      </c>
      <c r="N6" s="75" t="n">
        <f aca="false">F6</f>
        <v>0</v>
      </c>
      <c r="O6" s="127" t="n">
        <f aca="false">IF(Champions!AY6&gt;0,Champions!AZ6/Champions!AY6,0)</f>
        <v>0</v>
      </c>
      <c r="P6" s="75" t="n">
        <v>0</v>
      </c>
      <c r="Q6" s="75" t="n">
        <v>0</v>
      </c>
      <c r="R6" s="75" t="n">
        <v>0</v>
      </c>
      <c r="S6" s="75" t="n">
        <f aca="false">D6-E6-F6-G6-I6-J6</f>
        <v>0</v>
      </c>
    </row>
    <row r="7" customFormat="false" ht="13.8" hidden="false" customHeight="false" outlineLevel="0" collapsed="false">
      <c r="A7" s="1" t="n">
        <v>1847</v>
      </c>
      <c r="B7" s="126" t="n">
        <f aca="false">'Capital accounts'!D7</f>
        <v>0</v>
      </c>
      <c r="C7" s="75" t="n">
        <f aca="false">MAX(0,'Capital accounts'!I7)*$E$106/oil_book</f>
        <v>0</v>
      </c>
      <c r="D7" s="75" t="n">
        <f aca="false">B7+C7</f>
        <v>0</v>
      </c>
      <c r="E7" s="126" t="n">
        <f aca="false">'Capital accounts'!X7</f>
        <v>0</v>
      </c>
      <c r="F7" s="75" t="n">
        <f aca="false">IF(A7=1901,MIN($E$98,B7),0)</f>
        <v>0</v>
      </c>
      <c r="G7" s="75" t="n">
        <f aca="false">MIN(MAX(0,D7-E7-F7),$E$97*(D7-F7))</f>
        <v>0</v>
      </c>
      <c r="H7" s="75" t="n">
        <f aca="false">IF(AND(A7&gt;=1880,A7&lt;=1899),$E$101,IF(AND(A7&gt;=1900,A7&lt;=1913),$E$102,IF(AND(A7&gt;=1919,A7&lt;=1929),$E$103,0)))</f>
        <v>0</v>
      </c>
      <c r="I7" s="75" t="n">
        <f aca="false">MIN(H7,MAX(0,D7-E7-F7-G7))</f>
        <v>0</v>
      </c>
      <c r="J7" s="75" t="n">
        <f aca="false">MAX(0,D7-E7-F7-G7-I7)</f>
        <v>0</v>
      </c>
      <c r="K7" s="75" t="n">
        <f aca="false">F7+G7+I7</f>
        <v>0</v>
      </c>
      <c r="L7" s="75" t="n">
        <f aca="false">L6*(1-$E$105)+I7</f>
        <v>0</v>
      </c>
      <c r="M7" s="75" t="n">
        <f aca="false">M6+G7</f>
        <v>0</v>
      </c>
      <c r="N7" s="75" t="n">
        <f aca="false">N6*(1-$E$100)+F7</f>
        <v>0</v>
      </c>
      <c r="O7" s="127" t="n">
        <f aca="false">IF(Champions!AY7&gt;0,Champions!AZ7/Champions!AY7,0)</f>
        <v>0</v>
      </c>
      <c r="P7" s="75" t="n">
        <f aca="false">L6*$E$104+N6*$E$99+M6*O7</f>
        <v>0</v>
      </c>
      <c r="Q7" s="75" t="n">
        <f aca="false">L6*$E$105</f>
        <v>0</v>
      </c>
      <c r="R7" s="75" t="n">
        <f aca="false">N6*$E$100</f>
        <v>0</v>
      </c>
      <c r="S7" s="75" t="n">
        <f aca="false">D7-E7-F7-G7-I7-J7</f>
        <v>0</v>
      </c>
    </row>
    <row r="8" customFormat="false" ht="13.8" hidden="false" customHeight="false" outlineLevel="0" collapsed="false">
      <c r="A8" s="1" t="n">
        <v>1848</v>
      </c>
      <c r="B8" s="126" t="n">
        <f aca="false">'Capital accounts'!D8</f>
        <v>0</v>
      </c>
      <c r="C8" s="75" t="n">
        <f aca="false">MAX(0,'Capital accounts'!I8)*$E$106/oil_book</f>
        <v>0</v>
      </c>
      <c r="D8" s="75" t="n">
        <f aca="false">B8+C8</f>
        <v>0</v>
      </c>
      <c r="E8" s="126" t="n">
        <f aca="false">'Capital accounts'!X8</f>
        <v>0</v>
      </c>
      <c r="F8" s="75" t="n">
        <f aca="false">IF(A8=1901,MIN($E$98,B8),0)</f>
        <v>0</v>
      </c>
      <c r="G8" s="75" t="n">
        <f aca="false">MIN(MAX(0,D8-E8-F8),$E$97*(D8-F8))</f>
        <v>0</v>
      </c>
      <c r="H8" s="75" t="n">
        <f aca="false">IF(AND(A8&gt;=1880,A8&lt;=1899),$E$101,IF(AND(A8&gt;=1900,A8&lt;=1913),$E$102,IF(AND(A8&gt;=1919,A8&lt;=1929),$E$103,0)))</f>
        <v>0</v>
      </c>
      <c r="I8" s="75" t="n">
        <f aca="false">MIN(H8,MAX(0,D8-E8-F8-G8))</f>
        <v>0</v>
      </c>
      <c r="J8" s="75" t="n">
        <f aca="false">MAX(0,D8-E8-F8-G8-I8)</f>
        <v>0</v>
      </c>
      <c r="K8" s="75" t="n">
        <f aca="false">F8+G8+I8</f>
        <v>0</v>
      </c>
      <c r="L8" s="75" t="n">
        <f aca="false">L7*(1-$E$105)+I8</f>
        <v>0</v>
      </c>
      <c r="M8" s="75" t="n">
        <f aca="false">M7+G8</f>
        <v>0</v>
      </c>
      <c r="N8" s="75" t="n">
        <f aca="false">N7*(1-$E$100)+F8</f>
        <v>0</v>
      </c>
      <c r="O8" s="127" t="n">
        <f aca="false">IF(Champions!AY8&gt;0,Champions!AZ8/Champions!AY8,0)</f>
        <v>0</v>
      </c>
      <c r="P8" s="75" t="n">
        <f aca="false">L7*$E$104+N7*$E$99+M7*O8</f>
        <v>0</v>
      </c>
      <c r="Q8" s="75" t="n">
        <f aca="false">L7*$E$105</f>
        <v>0</v>
      </c>
      <c r="R8" s="75" t="n">
        <f aca="false">N7*$E$100</f>
        <v>0</v>
      </c>
      <c r="S8" s="75" t="n">
        <f aca="false">D8-E8-F8-G8-I8-J8</f>
        <v>0</v>
      </c>
    </row>
    <row r="9" customFormat="false" ht="13.8" hidden="false" customHeight="false" outlineLevel="0" collapsed="false">
      <c r="A9" s="1" t="n">
        <v>1849</v>
      </c>
      <c r="B9" s="126" t="n">
        <f aca="false">'Capital accounts'!D9</f>
        <v>0</v>
      </c>
      <c r="C9" s="75" t="n">
        <f aca="false">MAX(0,'Capital accounts'!I9)*$E$106/oil_book</f>
        <v>0</v>
      </c>
      <c r="D9" s="75" t="n">
        <f aca="false">B9+C9</f>
        <v>0</v>
      </c>
      <c r="E9" s="126" t="n">
        <f aca="false">'Capital accounts'!X9</f>
        <v>0</v>
      </c>
      <c r="F9" s="75" t="n">
        <f aca="false">IF(A9=1901,MIN($E$98,B9),0)</f>
        <v>0</v>
      </c>
      <c r="G9" s="75" t="n">
        <f aca="false">MIN(MAX(0,D9-E9-F9),$E$97*(D9-F9))</f>
        <v>0</v>
      </c>
      <c r="H9" s="75" t="n">
        <f aca="false">IF(AND(A9&gt;=1880,A9&lt;=1899),$E$101,IF(AND(A9&gt;=1900,A9&lt;=1913),$E$102,IF(AND(A9&gt;=1919,A9&lt;=1929),$E$103,0)))</f>
        <v>0</v>
      </c>
      <c r="I9" s="75" t="n">
        <f aca="false">MIN(H9,MAX(0,D9-E9-F9-G9))</f>
        <v>0</v>
      </c>
      <c r="J9" s="75" t="n">
        <f aca="false">MAX(0,D9-E9-F9-G9-I9)</f>
        <v>0</v>
      </c>
      <c r="K9" s="75" t="n">
        <f aca="false">F9+G9+I9</f>
        <v>0</v>
      </c>
      <c r="L9" s="75" t="n">
        <f aca="false">L8*(1-$E$105)+I9</f>
        <v>0</v>
      </c>
      <c r="M9" s="75" t="n">
        <f aca="false">M8+G9</f>
        <v>0</v>
      </c>
      <c r="N9" s="75" t="n">
        <f aca="false">N8*(1-$E$100)+F9</f>
        <v>0</v>
      </c>
      <c r="O9" s="127" t="n">
        <f aca="false">IF(Champions!AY9&gt;0,Champions!AZ9/Champions!AY9,0)</f>
        <v>0</v>
      </c>
      <c r="P9" s="75" t="n">
        <f aca="false">L8*$E$104+N8*$E$99+M8*O9</f>
        <v>0</v>
      </c>
      <c r="Q9" s="75" t="n">
        <f aca="false">L8*$E$105</f>
        <v>0</v>
      </c>
      <c r="R9" s="75" t="n">
        <f aca="false">N8*$E$100</f>
        <v>0</v>
      </c>
      <c r="S9" s="75" t="n">
        <f aca="false">D9-E9-F9-G9-I9-J9</f>
        <v>0</v>
      </c>
    </row>
    <row r="10" customFormat="false" ht="13.8" hidden="false" customHeight="false" outlineLevel="0" collapsed="false">
      <c r="A10" s="1" t="n">
        <v>1850</v>
      </c>
      <c r="B10" s="126" t="n">
        <f aca="false">'Capital accounts'!D10</f>
        <v>0</v>
      </c>
      <c r="C10" s="75" t="n">
        <f aca="false">MAX(0,'Capital accounts'!I10)*$E$106/oil_book</f>
        <v>0</v>
      </c>
      <c r="D10" s="75" t="n">
        <f aca="false">B10+C10</f>
        <v>0</v>
      </c>
      <c r="E10" s="126" t="n">
        <f aca="false">'Capital accounts'!X10</f>
        <v>0</v>
      </c>
      <c r="F10" s="75" t="n">
        <f aca="false">IF(A10=1901,MIN($E$98,B10),0)</f>
        <v>0</v>
      </c>
      <c r="G10" s="75" t="n">
        <f aca="false">MIN(MAX(0,D10-E10-F10),$E$97*(D10-F10))</f>
        <v>0</v>
      </c>
      <c r="H10" s="75" t="n">
        <f aca="false">IF(AND(A10&gt;=1880,A10&lt;=1899),$E$101,IF(AND(A10&gt;=1900,A10&lt;=1913),$E$102,IF(AND(A10&gt;=1919,A10&lt;=1929),$E$103,0)))</f>
        <v>0</v>
      </c>
      <c r="I10" s="75" t="n">
        <f aca="false">MIN(H10,MAX(0,D10-E10-F10-G10))</f>
        <v>0</v>
      </c>
      <c r="J10" s="75" t="n">
        <f aca="false">MAX(0,D10-E10-F10-G10-I10)</f>
        <v>0</v>
      </c>
      <c r="K10" s="75" t="n">
        <f aca="false">F10+G10+I10</f>
        <v>0</v>
      </c>
      <c r="L10" s="75" t="n">
        <f aca="false">L9*(1-$E$105)+I10</f>
        <v>0</v>
      </c>
      <c r="M10" s="75" t="n">
        <f aca="false">M9+G10</f>
        <v>0</v>
      </c>
      <c r="N10" s="75" t="n">
        <f aca="false">N9*(1-$E$100)+F10</f>
        <v>0</v>
      </c>
      <c r="O10" s="127" t="n">
        <f aca="false">IF(Champions!AY10&gt;0,Champions!AZ10/Champions!AY10,0)</f>
        <v>0</v>
      </c>
      <c r="P10" s="75" t="n">
        <f aca="false">L9*$E$104+N9*$E$99+M9*O10</f>
        <v>0</v>
      </c>
      <c r="Q10" s="75" t="n">
        <f aca="false">L9*$E$105</f>
        <v>0</v>
      </c>
      <c r="R10" s="75" t="n">
        <f aca="false">N9*$E$100</f>
        <v>0</v>
      </c>
      <c r="S10" s="75" t="n">
        <f aca="false">D10-E10-F10-G10-I10-J10</f>
        <v>0</v>
      </c>
    </row>
    <row r="11" customFormat="false" ht="13.8" hidden="false" customHeight="false" outlineLevel="0" collapsed="false">
      <c r="A11" s="1" t="n">
        <v>1851</v>
      </c>
      <c r="B11" s="126" t="n">
        <f aca="false">'Capital accounts'!D11</f>
        <v>0</v>
      </c>
      <c r="C11" s="75" t="n">
        <f aca="false">MAX(0,'Capital accounts'!I11)*$E$106/oil_book</f>
        <v>0</v>
      </c>
      <c r="D11" s="75" t="n">
        <f aca="false">B11+C11</f>
        <v>0</v>
      </c>
      <c r="E11" s="126" t="n">
        <f aca="false">'Capital accounts'!X11</f>
        <v>0</v>
      </c>
      <c r="F11" s="75" t="n">
        <f aca="false">IF(A11=1901,MIN($E$98,B11),0)</f>
        <v>0</v>
      </c>
      <c r="G11" s="75" t="n">
        <f aca="false">MIN(MAX(0,D11-E11-F11),$E$97*(D11-F11))</f>
        <v>0</v>
      </c>
      <c r="H11" s="75" t="n">
        <f aca="false">IF(AND(A11&gt;=1880,A11&lt;=1899),$E$101,IF(AND(A11&gt;=1900,A11&lt;=1913),$E$102,IF(AND(A11&gt;=1919,A11&lt;=1929),$E$103,0)))</f>
        <v>0</v>
      </c>
      <c r="I11" s="75" t="n">
        <f aca="false">MIN(H11,MAX(0,D11-E11-F11-G11))</f>
        <v>0</v>
      </c>
      <c r="J11" s="75" t="n">
        <f aca="false">MAX(0,D11-E11-F11-G11-I11)</f>
        <v>0</v>
      </c>
      <c r="K11" s="75" t="n">
        <f aca="false">F11+G11+I11</f>
        <v>0</v>
      </c>
      <c r="L11" s="75" t="n">
        <f aca="false">L10*(1-$E$105)+I11</f>
        <v>0</v>
      </c>
      <c r="M11" s="75" t="n">
        <f aca="false">M10+G11</f>
        <v>0</v>
      </c>
      <c r="N11" s="75" t="n">
        <f aca="false">N10*(1-$E$100)+F11</f>
        <v>0</v>
      </c>
      <c r="O11" s="127" t="n">
        <f aca="false">IF(Champions!AY11&gt;0,Champions!AZ11/Champions!AY11,0)</f>
        <v>0</v>
      </c>
      <c r="P11" s="75" t="n">
        <f aca="false">L10*$E$104+N10*$E$99+M10*O11</f>
        <v>0</v>
      </c>
      <c r="Q11" s="75" t="n">
        <f aca="false">L10*$E$105</f>
        <v>0</v>
      </c>
      <c r="R11" s="75" t="n">
        <f aca="false">N10*$E$100</f>
        <v>0</v>
      </c>
      <c r="S11" s="75" t="n">
        <f aca="false">D11-E11-F11-G11-I11-J11</f>
        <v>0</v>
      </c>
    </row>
    <row r="12" customFormat="false" ht="13.8" hidden="false" customHeight="false" outlineLevel="0" collapsed="false">
      <c r="A12" s="1" t="n">
        <v>1852</v>
      </c>
      <c r="B12" s="126" t="n">
        <f aca="false">'Capital accounts'!D12</f>
        <v>0</v>
      </c>
      <c r="C12" s="75" t="n">
        <f aca="false">MAX(0,'Capital accounts'!I12)*$E$106/oil_book</f>
        <v>0</v>
      </c>
      <c r="D12" s="75" t="n">
        <f aca="false">B12+C12</f>
        <v>0</v>
      </c>
      <c r="E12" s="126" t="n">
        <f aca="false">'Capital accounts'!X12</f>
        <v>0</v>
      </c>
      <c r="F12" s="75" t="n">
        <f aca="false">IF(A12=1901,MIN($E$98,B12),0)</f>
        <v>0</v>
      </c>
      <c r="G12" s="75" t="n">
        <f aca="false">MIN(MAX(0,D12-E12-F12),$E$97*(D12-F12))</f>
        <v>0</v>
      </c>
      <c r="H12" s="75" t="n">
        <f aca="false">IF(AND(A12&gt;=1880,A12&lt;=1899),$E$101,IF(AND(A12&gt;=1900,A12&lt;=1913),$E$102,IF(AND(A12&gt;=1919,A12&lt;=1929),$E$103,0)))</f>
        <v>0</v>
      </c>
      <c r="I12" s="75" t="n">
        <f aca="false">MIN(H12,MAX(0,D12-E12-F12-G12))</f>
        <v>0</v>
      </c>
      <c r="J12" s="75" t="n">
        <f aca="false">MAX(0,D12-E12-F12-G12-I12)</f>
        <v>0</v>
      </c>
      <c r="K12" s="75" t="n">
        <f aca="false">F12+G12+I12</f>
        <v>0</v>
      </c>
      <c r="L12" s="75" t="n">
        <f aca="false">L11*(1-$E$105)+I12</f>
        <v>0</v>
      </c>
      <c r="M12" s="75" t="n">
        <f aca="false">M11+G12</f>
        <v>0</v>
      </c>
      <c r="N12" s="75" t="n">
        <f aca="false">N11*(1-$E$100)+F12</f>
        <v>0</v>
      </c>
      <c r="O12" s="127" t="n">
        <f aca="false">IF(Champions!AY12&gt;0,Champions!AZ12/Champions!AY12,0)</f>
        <v>0</v>
      </c>
      <c r="P12" s="75" t="n">
        <f aca="false">L11*$E$104+N11*$E$99+M11*O12</f>
        <v>0</v>
      </c>
      <c r="Q12" s="75" t="n">
        <f aca="false">L11*$E$105</f>
        <v>0</v>
      </c>
      <c r="R12" s="75" t="n">
        <f aca="false">N11*$E$100</f>
        <v>0</v>
      </c>
      <c r="S12" s="75" t="n">
        <f aca="false">D12-E12-F12-G12-I12-J12</f>
        <v>0</v>
      </c>
    </row>
    <row r="13" customFormat="false" ht="13.8" hidden="false" customHeight="false" outlineLevel="0" collapsed="false">
      <c r="A13" s="1" t="n">
        <v>1853</v>
      </c>
      <c r="B13" s="126" t="n">
        <f aca="false">'Capital accounts'!D13</f>
        <v>0</v>
      </c>
      <c r="C13" s="75" t="n">
        <f aca="false">MAX(0,'Capital accounts'!I13)*$E$106/oil_book</f>
        <v>0</v>
      </c>
      <c r="D13" s="75" t="n">
        <f aca="false">B13+C13</f>
        <v>0</v>
      </c>
      <c r="E13" s="126" t="n">
        <f aca="false">'Capital accounts'!X13</f>
        <v>0</v>
      </c>
      <c r="F13" s="75" t="n">
        <f aca="false">IF(A13=1901,MIN($E$98,B13),0)</f>
        <v>0</v>
      </c>
      <c r="G13" s="75" t="n">
        <f aca="false">MIN(MAX(0,D13-E13-F13),$E$97*(D13-F13))</f>
        <v>0</v>
      </c>
      <c r="H13" s="75" t="n">
        <f aca="false">IF(AND(A13&gt;=1880,A13&lt;=1899),$E$101,IF(AND(A13&gt;=1900,A13&lt;=1913),$E$102,IF(AND(A13&gt;=1919,A13&lt;=1929),$E$103,0)))</f>
        <v>0</v>
      </c>
      <c r="I13" s="75" t="n">
        <f aca="false">MIN(H13,MAX(0,D13-E13-F13-G13))</f>
        <v>0</v>
      </c>
      <c r="J13" s="75" t="n">
        <f aca="false">MAX(0,D13-E13-F13-G13-I13)</f>
        <v>0</v>
      </c>
      <c r="K13" s="75" t="n">
        <f aca="false">F13+G13+I13</f>
        <v>0</v>
      </c>
      <c r="L13" s="75" t="n">
        <f aca="false">L12*(1-$E$105)+I13</f>
        <v>0</v>
      </c>
      <c r="M13" s="75" t="n">
        <f aca="false">M12+G13</f>
        <v>0</v>
      </c>
      <c r="N13" s="75" t="n">
        <f aca="false">N12*(1-$E$100)+F13</f>
        <v>0</v>
      </c>
      <c r="O13" s="127" t="n">
        <f aca="false">IF(Champions!AY13&gt;0,Champions!AZ13/Champions!AY13,0)</f>
        <v>0</v>
      </c>
      <c r="P13" s="75" t="n">
        <f aca="false">L12*$E$104+N12*$E$99+M12*O13</f>
        <v>0</v>
      </c>
      <c r="Q13" s="75" t="n">
        <f aca="false">L12*$E$105</f>
        <v>0</v>
      </c>
      <c r="R13" s="75" t="n">
        <f aca="false">N12*$E$100</f>
        <v>0</v>
      </c>
      <c r="S13" s="75" t="n">
        <f aca="false">D13-E13-F13-G13-I13-J13</f>
        <v>0</v>
      </c>
    </row>
    <row r="14" customFormat="false" ht="13.8" hidden="false" customHeight="false" outlineLevel="0" collapsed="false">
      <c r="A14" s="1" t="n">
        <v>1854</v>
      </c>
      <c r="B14" s="126" t="n">
        <f aca="false">'Capital accounts'!D14</f>
        <v>0</v>
      </c>
      <c r="C14" s="75" t="n">
        <f aca="false">MAX(0,'Capital accounts'!I14)*$E$106/oil_book</f>
        <v>0</v>
      </c>
      <c r="D14" s="75" t="n">
        <f aca="false">B14+C14</f>
        <v>0</v>
      </c>
      <c r="E14" s="126" t="n">
        <f aca="false">'Capital accounts'!X14</f>
        <v>0</v>
      </c>
      <c r="F14" s="75" t="n">
        <f aca="false">IF(A14=1901,MIN($E$98,B14),0)</f>
        <v>0</v>
      </c>
      <c r="G14" s="75" t="n">
        <f aca="false">MIN(MAX(0,D14-E14-F14),$E$97*(D14-F14))</f>
        <v>0</v>
      </c>
      <c r="H14" s="75" t="n">
        <f aca="false">IF(AND(A14&gt;=1880,A14&lt;=1899),$E$101,IF(AND(A14&gt;=1900,A14&lt;=1913),$E$102,IF(AND(A14&gt;=1919,A14&lt;=1929),$E$103,0)))</f>
        <v>0</v>
      </c>
      <c r="I14" s="75" t="n">
        <f aca="false">MIN(H14,MAX(0,D14-E14-F14-G14))</f>
        <v>0</v>
      </c>
      <c r="J14" s="75" t="n">
        <f aca="false">MAX(0,D14-E14-F14-G14-I14)</f>
        <v>0</v>
      </c>
      <c r="K14" s="75" t="n">
        <f aca="false">F14+G14+I14</f>
        <v>0</v>
      </c>
      <c r="L14" s="75" t="n">
        <f aca="false">L13*(1-$E$105)+I14</f>
        <v>0</v>
      </c>
      <c r="M14" s="75" t="n">
        <f aca="false">M13+G14</f>
        <v>0</v>
      </c>
      <c r="N14" s="75" t="n">
        <f aca="false">N13*(1-$E$100)+F14</f>
        <v>0</v>
      </c>
      <c r="O14" s="127" t="n">
        <f aca="false">IF(Champions!AY14&gt;0,Champions!AZ14/Champions!AY14,0)</f>
        <v>0</v>
      </c>
      <c r="P14" s="75" t="n">
        <f aca="false">L13*$E$104+N13*$E$99+M13*O14</f>
        <v>0</v>
      </c>
      <c r="Q14" s="75" t="n">
        <f aca="false">L13*$E$105</f>
        <v>0</v>
      </c>
      <c r="R14" s="75" t="n">
        <f aca="false">N13*$E$100</f>
        <v>0</v>
      </c>
      <c r="S14" s="75" t="n">
        <f aca="false">D14-E14-F14-G14-I14-J14</f>
        <v>0</v>
      </c>
    </row>
    <row r="15" customFormat="false" ht="13.8" hidden="false" customHeight="false" outlineLevel="0" collapsed="false">
      <c r="A15" s="1" t="n">
        <v>1855</v>
      </c>
      <c r="B15" s="126" t="n">
        <f aca="false">'Capital accounts'!D15</f>
        <v>0</v>
      </c>
      <c r="C15" s="75" t="n">
        <f aca="false">MAX(0,'Capital accounts'!I15)*$E$106/oil_book</f>
        <v>0</v>
      </c>
      <c r="D15" s="75" t="n">
        <f aca="false">B15+C15</f>
        <v>0</v>
      </c>
      <c r="E15" s="126" t="n">
        <f aca="false">'Capital accounts'!X15</f>
        <v>0</v>
      </c>
      <c r="F15" s="75" t="n">
        <f aca="false">IF(A15=1901,MIN($E$98,B15),0)</f>
        <v>0</v>
      </c>
      <c r="G15" s="75" t="n">
        <f aca="false">MIN(MAX(0,D15-E15-F15),$E$97*(D15-F15))</f>
        <v>0</v>
      </c>
      <c r="H15" s="75" t="n">
        <f aca="false">IF(AND(A15&gt;=1880,A15&lt;=1899),$E$101,IF(AND(A15&gt;=1900,A15&lt;=1913),$E$102,IF(AND(A15&gt;=1919,A15&lt;=1929),$E$103,0)))</f>
        <v>0</v>
      </c>
      <c r="I15" s="75" t="n">
        <f aca="false">MIN(H15,MAX(0,D15-E15-F15-G15))</f>
        <v>0</v>
      </c>
      <c r="J15" s="75" t="n">
        <f aca="false">MAX(0,D15-E15-F15-G15-I15)</f>
        <v>0</v>
      </c>
      <c r="K15" s="75" t="n">
        <f aca="false">F15+G15+I15</f>
        <v>0</v>
      </c>
      <c r="L15" s="75" t="n">
        <f aca="false">L14*(1-$E$105)+I15</f>
        <v>0</v>
      </c>
      <c r="M15" s="75" t="n">
        <f aca="false">M14+G15</f>
        <v>0</v>
      </c>
      <c r="N15" s="75" t="n">
        <f aca="false">N14*(1-$E$100)+F15</f>
        <v>0</v>
      </c>
      <c r="O15" s="127" t="n">
        <f aca="false">IF(Champions!AY15&gt;0,Champions!AZ15/Champions!AY15,0)</f>
        <v>0</v>
      </c>
      <c r="P15" s="75" t="n">
        <f aca="false">L14*$E$104+N14*$E$99+M14*O15</f>
        <v>0</v>
      </c>
      <c r="Q15" s="75" t="n">
        <f aca="false">L14*$E$105</f>
        <v>0</v>
      </c>
      <c r="R15" s="75" t="n">
        <f aca="false">N14*$E$100</f>
        <v>0</v>
      </c>
      <c r="S15" s="75" t="n">
        <f aca="false">D15-E15-F15-G15-I15-J15</f>
        <v>0</v>
      </c>
    </row>
    <row r="16" customFormat="false" ht="13.8" hidden="false" customHeight="false" outlineLevel="0" collapsed="false">
      <c r="A16" s="1" t="n">
        <v>1856</v>
      </c>
      <c r="B16" s="126" t="n">
        <f aca="false">'Capital accounts'!D16</f>
        <v>0</v>
      </c>
      <c r="C16" s="75" t="n">
        <f aca="false">MAX(0,'Capital accounts'!I16)*$E$106/oil_book</f>
        <v>0</v>
      </c>
      <c r="D16" s="75" t="n">
        <f aca="false">B16+C16</f>
        <v>0</v>
      </c>
      <c r="E16" s="126" t="n">
        <f aca="false">'Capital accounts'!X16</f>
        <v>0</v>
      </c>
      <c r="F16" s="75" t="n">
        <f aca="false">IF(A16=1901,MIN($E$98,B16),0)</f>
        <v>0</v>
      </c>
      <c r="G16" s="75" t="n">
        <f aca="false">MIN(MAX(0,D16-E16-F16),$E$97*(D16-F16))</f>
        <v>0</v>
      </c>
      <c r="H16" s="75" t="n">
        <f aca="false">IF(AND(A16&gt;=1880,A16&lt;=1899),$E$101,IF(AND(A16&gt;=1900,A16&lt;=1913),$E$102,IF(AND(A16&gt;=1919,A16&lt;=1929),$E$103,0)))</f>
        <v>0</v>
      </c>
      <c r="I16" s="75" t="n">
        <f aca="false">MIN(H16,MAX(0,D16-E16-F16-G16))</f>
        <v>0</v>
      </c>
      <c r="J16" s="75" t="n">
        <f aca="false">MAX(0,D16-E16-F16-G16-I16)</f>
        <v>0</v>
      </c>
      <c r="K16" s="75" t="n">
        <f aca="false">F16+G16+I16</f>
        <v>0</v>
      </c>
      <c r="L16" s="75" t="n">
        <f aca="false">L15*(1-$E$105)+I16</f>
        <v>0</v>
      </c>
      <c r="M16" s="75" t="n">
        <f aca="false">M15+G16</f>
        <v>0</v>
      </c>
      <c r="N16" s="75" t="n">
        <f aca="false">N15*(1-$E$100)+F16</f>
        <v>0</v>
      </c>
      <c r="O16" s="127" t="n">
        <f aca="false">IF(Champions!AY16&gt;0,Champions!AZ16/Champions!AY16,0)</f>
        <v>0</v>
      </c>
      <c r="P16" s="75" t="n">
        <f aca="false">L15*$E$104+N15*$E$99+M15*O16</f>
        <v>0</v>
      </c>
      <c r="Q16" s="75" t="n">
        <f aca="false">L15*$E$105</f>
        <v>0</v>
      </c>
      <c r="R16" s="75" t="n">
        <f aca="false">N15*$E$100</f>
        <v>0</v>
      </c>
      <c r="S16" s="75" t="n">
        <f aca="false">D16-E16-F16-G16-I16-J16</f>
        <v>0</v>
      </c>
    </row>
    <row r="17" customFormat="false" ht="13.8" hidden="false" customHeight="false" outlineLevel="0" collapsed="false">
      <c r="A17" s="1" t="n">
        <v>1857</v>
      </c>
      <c r="B17" s="126" t="n">
        <f aca="false">'Capital accounts'!D17</f>
        <v>0</v>
      </c>
      <c r="C17" s="75" t="n">
        <f aca="false">MAX(0,'Capital accounts'!I17)*$E$106/oil_book</f>
        <v>0</v>
      </c>
      <c r="D17" s="75" t="n">
        <f aca="false">B17+C17</f>
        <v>0</v>
      </c>
      <c r="E17" s="126" t="n">
        <f aca="false">'Capital accounts'!X17</f>
        <v>0</v>
      </c>
      <c r="F17" s="75" t="n">
        <f aca="false">IF(A17=1901,MIN($E$98,B17),0)</f>
        <v>0</v>
      </c>
      <c r="G17" s="75" t="n">
        <f aca="false">MIN(MAX(0,D17-E17-F17),$E$97*(D17-F17))</f>
        <v>0</v>
      </c>
      <c r="H17" s="75" t="n">
        <f aca="false">IF(AND(A17&gt;=1880,A17&lt;=1899),$E$101,IF(AND(A17&gt;=1900,A17&lt;=1913),$E$102,IF(AND(A17&gt;=1919,A17&lt;=1929),$E$103,0)))</f>
        <v>0</v>
      </c>
      <c r="I17" s="75" t="n">
        <f aca="false">MIN(H17,MAX(0,D17-E17-F17-G17))</f>
        <v>0</v>
      </c>
      <c r="J17" s="75" t="n">
        <f aca="false">MAX(0,D17-E17-F17-G17-I17)</f>
        <v>0</v>
      </c>
      <c r="K17" s="75" t="n">
        <f aca="false">F17+G17+I17</f>
        <v>0</v>
      </c>
      <c r="L17" s="75" t="n">
        <f aca="false">L16*(1-$E$105)+I17</f>
        <v>0</v>
      </c>
      <c r="M17" s="75" t="n">
        <f aca="false">M16+G17</f>
        <v>0</v>
      </c>
      <c r="N17" s="75" t="n">
        <f aca="false">N16*(1-$E$100)+F17</f>
        <v>0</v>
      </c>
      <c r="O17" s="127" t="n">
        <f aca="false">IF(Champions!AY17&gt;0,Champions!AZ17/Champions!AY17,0)</f>
        <v>0</v>
      </c>
      <c r="P17" s="75" t="n">
        <f aca="false">L16*$E$104+N16*$E$99+M16*O17</f>
        <v>0</v>
      </c>
      <c r="Q17" s="75" t="n">
        <f aca="false">L16*$E$105</f>
        <v>0</v>
      </c>
      <c r="R17" s="75" t="n">
        <f aca="false">N16*$E$100</f>
        <v>0</v>
      </c>
      <c r="S17" s="75" t="n">
        <f aca="false">D17-E17-F17-G17-I17-J17</f>
        <v>0</v>
      </c>
    </row>
    <row r="18" customFormat="false" ht="13.8" hidden="false" customHeight="false" outlineLevel="0" collapsed="false">
      <c r="A18" s="1" t="n">
        <v>1858</v>
      </c>
      <c r="B18" s="126" t="n">
        <f aca="false">'Capital accounts'!D18</f>
        <v>0</v>
      </c>
      <c r="C18" s="75" t="n">
        <f aca="false">MAX(0,'Capital accounts'!I18)*$E$106/oil_book</f>
        <v>0</v>
      </c>
      <c r="D18" s="75" t="n">
        <f aca="false">B18+C18</f>
        <v>0</v>
      </c>
      <c r="E18" s="126" t="n">
        <f aca="false">'Capital accounts'!X18</f>
        <v>0</v>
      </c>
      <c r="F18" s="75" t="n">
        <f aca="false">IF(A18=1901,MIN($E$98,B18),0)</f>
        <v>0</v>
      </c>
      <c r="G18" s="75" t="n">
        <f aca="false">MIN(MAX(0,D18-E18-F18),$E$97*(D18-F18))</f>
        <v>0</v>
      </c>
      <c r="H18" s="75" t="n">
        <f aca="false">IF(AND(A18&gt;=1880,A18&lt;=1899),$E$101,IF(AND(A18&gt;=1900,A18&lt;=1913),$E$102,IF(AND(A18&gt;=1919,A18&lt;=1929),$E$103,0)))</f>
        <v>0</v>
      </c>
      <c r="I18" s="75" t="n">
        <f aca="false">MIN(H18,MAX(0,D18-E18-F18-G18))</f>
        <v>0</v>
      </c>
      <c r="J18" s="75" t="n">
        <f aca="false">MAX(0,D18-E18-F18-G18-I18)</f>
        <v>0</v>
      </c>
      <c r="K18" s="75" t="n">
        <f aca="false">F18+G18+I18</f>
        <v>0</v>
      </c>
      <c r="L18" s="75" t="n">
        <f aca="false">L17*(1-$E$105)+I18</f>
        <v>0</v>
      </c>
      <c r="M18" s="75" t="n">
        <f aca="false">M17+G18</f>
        <v>0</v>
      </c>
      <c r="N18" s="75" t="n">
        <f aca="false">N17*(1-$E$100)+F18</f>
        <v>0</v>
      </c>
      <c r="O18" s="127" t="n">
        <f aca="false">IF(Champions!AY18&gt;0,Champions!AZ18/Champions!AY18,0)</f>
        <v>0</v>
      </c>
      <c r="P18" s="75" t="n">
        <f aca="false">L17*$E$104+N17*$E$99+M17*O18</f>
        <v>0</v>
      </c>
      <c r="Q18" s="75" t="n">
        <f aca="false">L17*$E$105</f>
        <v>0</v>
      </c>
      <c r="R18" s="75" t="n">
        <f aca="false">N17*$E$100</f>
        <v>0</v>
      </c>
      <c r="S18" s="75" t="n">
        <f aca="false">D18-E18-F18-G18-I18-J18</f>
        <v>0</v>
      </c>
    </row>
    <row r="19" customFormat="false" ht="13.8" hidden="false" customHeight="false" outlineLevel="0" collapsed="false">
      <c r="A19" s="1" t="n">
        <v>1859</v>
      </c>
      <c r="B19" s="126" t="n">
        <f aca="false">'Capital accounts'!D19</f>
        <v>0</v>
      </c>
      <c r="C19" s="75" t="n">
        <f aca="false">MAX(0,'Capital accounts'!I19)*$E$106/oil_book</f>
        <v>0</v>
      </c>
      <c r="D19" s="75" t="n">
        <f aca="false">B19+C19</f>
        <v>0</v>
      </c>
      <c r="E19" s="126" t="n">
        <f aca="false">'Capital accounts'!X19</f>
        <v>0</v>
      </c>
      <c r="F19" s="75" t="n">
        <f aca="false">IF(A19=1901,MIN($E$98,B19),0)</f>
        <v>0</v>
      </c>
      <c r="G19" s="75" t="n">
        <f aca="false">MIN(MAX(0,D19-E19-F19),$E$97*(D19-F19))</f>
        <v>0</v>
      </c>
      <c r="H19" s="75" t="n">
        <f aca="false">IF(AND(A19&gt;=1880,A19&lt;=1899),$E$101,IF(AND(A19&gt;=1900,A19&lt;=1913),$E$102,IF(AND(A19&gt;=1919,A19&lt;=1929),$E$103,0)))</f>
        <v>0</v>
      </c>
      <c r="I19" s="75" t="n">
        <f aca="false">MIN(H19,MAX(0,D19-E19-F19-G19))</f>
        <v>0</v>
      </c>
      <c r="J19" s="75" t="n">
        <f aca="false">MAX(0,D19-E19-F19-G19-I19)</f>
        <v>0</v>
      </c>
      <c r="K19" s="75" t="n">
        <f aca="false">F19+G19+I19</f>
        <v>0</v>
      </c>
      <c r="L19" s="75" t="n">
        <f aca="false">L18*(1-$E$105)+I19</f>
        <v>0</v>
      </c>
      <c r="M19" s="75" t="n">
        <f aca="false">M18+G19</f>
        <v>0</v>
      </c>
      <c r="N19" s="75" t="n">
        <f aca="false">N18*(1-$E$100)+F19</f>
        <v>0</v>
      </c>
      <c r="O19" s="127" t="n">
        <f aca="false">IF(Champions!AY19&gt;0,Champions!AZ19/Champions!AY19,0)</f>
        <v>0</v>
      </c>
      <c r="P19" s="75" t="n">
        <f aca="false">L18*$E$104+N18*$E$99+M18*O19</f>
        <v>0</v>
      </c>
      <c r="Q19" s="75" t="n">
        <f aca="false">L18*$E$105</f>
        <v>0</v>
      </c>
      <c r="R19" s="75" t="n">
        <f aca="false">N18*$E$100</f>
        <v>0</v>
      </c>
      <c r="S19" s="75" t="n">
        <f aca="false">D19-E19-F19-G19-I19-J19</f>
        <v>0</v>
      </c>
    </row>
    <row r="20" customFormat="false" ht="13.8" hidden="false" customHeight="false" outlineLevel="0" collapsed="false">
      <c r="A20" s="1" t="n">
        <v>1860</v>
      </c>
      <c r="B20" s="126" t="n">
        <f aca="false">'Capital accounts'!D20</f>
        <v>0</v>
      </c>
      <c r="C20" s="75" t="n">
        <f aca="false">MAX(0,'Capital accounts'!I20)*$E$106/oil_book</f>
        <v>0</v>
      </c>
      <c r="D20" s="75" t="n">
        <f aca="false">B20+C20</f>
        <v>0</v>
      </c>
      <c r="E20" s="126" t="n">
        <f aca="false">'Capital accounts'!X20</f>
        <v>0</v>
      </c>
      <c r="F20" s="75" t="n">
        <f aca="false">IF(A20=1901,MIN($E$98,B20),0)</f>
        <v>0</v>
      </c>
      <c r="G20" s="75" t="n">
        <f aca="false">MIN(MAX(0,D20-E20-F20),$E$97*(D20-F20))</f>
        <v>0</v>
      </c>
      <c r="H20" s="75" t="n">
        <f aca="false">IF(AND(A20&gt;=1880,A20&lt;=1899),$E$101,IF(AND(A20&gt;=1900,A20&lt;=1913),$E$102,IF(AND(A20&gt;=1919,A20&lt;=1929),$E$103,0)))</f>
        <v>0</v>
      </c>
      <c r="I20" s="75" t="n">
        <f aca="false">MIN(H20,MAX(0,D20-E20-F20-G20))</f>
        <v>0</v>
      </c>
      <c r="J20" s="75" t="n">
        <f aca="false">MAX(0,D20-E20-F20-G20-I20)</f>
        <v>0</v>
      </c>
      <c r="K20" s="75" t="n">
        <f aca="false">F20+G20+I20</f>
        <v>0</v>
      </c>
      <c r="L20" s="75" t="n">
        <f aca="false">L19*(1-$E$105)+I20</f>
        <v>0</v>
      </c>
      <c r="M20" s="75" t="n">
        <f aca="false">M19+G20</f>
        <v>0</v>
      </c>
      <c r="N20" s="75" t="n">
        <f aca="false">N19*(1-$E$100)+F20</f>
        <v>0</v>
      </c>
      <c r="O20" s="127" t="n">
        <f aca="false">IF(Champions!AY20&gt;0,Champions!AZ20/Champions!AY20,0)</f>
        <v>0</v>
      </c>
      <c r="P20" s="75" t="n">
        <f aca="false">L19*$E$104+N19*$E$99+M19*O20</f>
        <v>0</v>
      </c>
      <c r="Q20" s="75" t="n">
        <f aca="false">L19*$E$105</f>
        <v>0</v>
      </c>
      <c r="R20" s="75" t="n">
        <f aca="false">N19*$E$100</f>
        <v>0</v>
      </c>
      <c r="S20" s="75" t="n">
        <f aca="false">D20-E20-F20-G20-I20-J20</f>
        <v>0</v>
      </c>
    </row>
    <row r="21" customFormat="false" ht="13.8" hidden="false" customHeight="false" outlineLevel="0" collapsed="false">
      <c r="A21" s="1" t="n">
        <v>1861</v>
      </c>
      <c r="B21" s="126" t="n">
        <f aca="false">'Capital accounts'!D21</f>
        <v>0</v>
      </c>
      <c r="C21" s="75" t="n">
        <f aca="false">MAX(0,'Capital accounts'!I21)*$E$106/oil_book</f>
        <v>0</v>
      </c>
      <c r="D21" s="75" t="n">
        <f aca="false">B21+C21</f>
        <v>0</v>
      </c>
      <c r="E21" s="126" t="n">
        <f aca="false">'Capital accounts'!X21</f>
        <v>0</v>
      </c>
      <c r="F21" s="75" t="n">
        <f aca="false">IF(A21=1901,MIN($E$98,B21),0)</f>
        <v>0</v>
      </c>
      <c r="G21" s="75" t="n">
        <f aca="false">MIN(MAX(0,D21-E21-F21),$E$97*(D21-F21))</f>
        <v>0</v>
      </c>
      <c r="H21" s="75" t="n">
        <f aca="false">IF(AND(A21&gt;=1880,A21&lt;=1899),$E$101,IF(AND(A21&gt;=1900,A21&lt;=1913),$E$102,IF(AND(A21&gt;=1919,A21&lt;=1929),$E$103,0)))</f>
        <v>0</v>
      </c>
      <c r="I21" s="75" t="n">
        <f aca="false">MIN(H21,MAX(0,D21-E21-F21-G21))</f>
        <v>0</v>
      </c>
      <c r="J21" s="75" t="n">
        <f aca="false">MAX(0,D21-E21-F21-G21-I21)</f>
        <v>0</v>
      </c>
      <c r="K21" s="75" t="n">
        <f aca="false">F21+G21+I21</f>
        <v>0</v>
      </c>
      <c r="L21" s="75" t="n">
        <f aca="false">L20*(1-$E$105)+I21</f>
        <v>0</v>
      </c>
      <c r="M21" s="75" t="n">
        <f aca="false">M20+G21</f>
        <v>0</v>
      </c>
      <c r="N21" s="75" t="n">
        <f aca="false">N20*(1-$E$100)+F21</f>
        <v>0</v>
      </c>
      <c r="O21" s="127" t="n">
        <f aca="false">IF(Champions!AY21&gt;0,Champions!AZ21/Champions!AY21,0)</f>
        <v>0</v>
      </c>
      <c r="P21" s="75" t="n">
        <f aca="false">L20*$E$104+N20*$E$99+M20*O21</f>
        <v>0</v>
      </c>
      <c r="Q21" s="75" t="n">
        <f aca="false">L20*$E$105</f>
        <v>0</v>
      </c>
      <c r="R21" s="75" t="n">
        <f aca="false">N20*$E$100</f>
        <v>0</v>
      </c>
      <c r="S21" s="75" t="n">
        <f aca="false">D21-E21-F21-G21-I21-J21</f>
        <v>0</v>
      </c>
    </row>
    <row r="22" customFormat="false" ht="13.8" hidden="false" customHeight="false" outlineLevel="0" collapsed="false">
      <c r="A22" s="1" t="n">
        <v>1862</v>
      </c>
      <c r="B22" s="126" t="n">
        <f aca="false">'Capital accounts'!D22</f>
        <v>0</v>
      </c>
      <c r="C22" s="75" t="n">
        <f aca="false">MAX(0,'Capital accounts'!I22)*$E$106/oil_book</f>
        <v>0</v>
      </c>
      <c r="D22" s="75" t="n">
        <f aca="false">B22+C22</f>
        <v>0</v>
      </c>
      <c r="E22" s="126" t="n">
        <f aca="false">'Capital accounts'!X22</f>
        <v>0</v>
      </c>
      <c r="F22" s="75" t="n">
        <f aca="false">IF(A22=1901,MIN($E$98,B22),0)</f>
        <v>0</v>
      </c>
      <c r="G22" s="75" t="n">
        <f aca="false">MIN(MAX(0,D22-E22-F22),$E$97*(D22-F22))</f>
        <v>0</v>
      </c>
      <c r="H22" s="75" t="n">
        <f aca="false">IF(AND(A22&gt;=1880,A22&lt;=1899),$E$101,IF(AND(A22&gt;=1900,A22&lt;=1913),$E$102,IF(AND(A22&gt;=1919,A22&lt;=1929),$E$103,0)))</f>
        <v>0</v>
      </c>
      <c r="I22" s="75" t="n">
        <f aca="false">MIN(H22,MAX(0,D22-E22-F22-G22))</f>
        <v>0</v>
      </c>
      <c r="J22" s="75" t="n">
        <f aca="false">MAX(0,D22-E22-F22-G22-I22)</f>
        <v>0</v>
      </c>
      <c r="K22" s="75" t="n">
        <f aca="false">F22+G22+I22</f>
        <v>0</v>
      </c>
      <c r="L22" s="75" t="n">
        <f aca="false">L21*(1-$E$105)+I22</f>
        <v>0</v>
      </c>
      <c r="M22" s="75" t="n">
        <f aca="false">M21+G22</f>
        <v>0</v>
      </c>
      <c r="N22" s="75" t="n">
        <f aca="false">N21*(1-$E$100)+F22</f>
        <v>0</v>
      </c>
      <c r="O22" s="127" t="n">
        <f aca="false">IF(Champions!AY22&gt;0,Champions!AZ22/Champions!AY22,0)</f>
        <v>0</v>
      </c>
      <c r="P22" s="75" t="n">
        <f aca="false">L21*$E$104+N21*$E$99+M21*O22</f>
        <v>0</v>
      </c>
      <c r="Q22" s="75" t="n">
        <f aca="false">L21*$E$105</f>
        <v>0</v>
      </c>
      <c r="R22" s="75" t="n">
        <f aca="false">N21*$E$100</f>
        <v>0</v>
      </c>
      <c r="S22" s="75" t="n">
        <f aca="false">D22-E22-F22-G22-I22-J22</f>
        <v>0</v>
      </c>
    </row>
    <row r="23" customFormat="false" ht="13.8" hidden="false" customHeight="false" outlineLevel="0" collapsed="false">
      <c r="A23" s="1" t="n">
        <v>1863</v>
      </c>
      <c r="B23" s="126" t="n">
        <f aca="false">'Capital accounts'!D23</f>
        <v>0</v>
      </c>
      <c r="C23" s="75" t="n">
        <f aca="false">MAX(0,'Capital accounts'!I23)*$E$106/oil_book</f>
        <v>0</v>
      </c>
      <c r="D23" s="75" t="n">
        <f aca="false">B23+C23</f>
        <v>0</v>
      </c>
      <c r="E23" s="126" t="n">
        <f aca="false">'Capital accounts'!X23</f>
        <v>0</v>
      </c>
      <c r="F23" s="75" t="n">
        <f aca="false">IF(A23=1901,MIN($E$98,B23),0)</f>
        <v>0</v>
      </c>
      <c r="G23" s="75" t="n">
        <f aca="false">MIN(MAX(0,D23-E23-F23),$E$97*(D23-F23))</f>
        <v>0</v>
      </c>
      <c r="H23" s="75" t="n">
        <f aca="false">IF(AND(A23&gt;=1880,A23&lt;=1899),$E$101,IF(AND(A23&gt;=1900,A23&lt;=1913),$E$102,IF(AND(A23&gt;=1919,A23&lt;=1929),$E$103,0)))</f>
        <v>0</v>
      </c>
      <c r="I23" s="75" t="n">
        <f aca="false">MIN(H23,MAX(0,D23-E23-F23-G23))</f>
        <v>0</v>
      </c>
      <c r="J23" s="75" t="n">
        <f aca="false">MAX(0,D23-E23-F23-G23-I23)</f>
        <v>0</v>
      </c>
      <c r="K23" s="75" t="n">
        <f aca="false">F23+G23+I23</f>
        <v>0</v>
      </c>
      <c r="L23" s="75" t="n">
        <f aca="false">L22*(1-$E$105)+I23</f>
        <v>0</v>
      </c>
      <c r="M23" s="75" t="n">
        <f aca="false">M22+G23</f>
        <v>0</v>
      </c>
      <c r="N23" s="75" t="n">
        <f aca="false">N22*(1-$E$100)+F23</f>
        <v>0</v>
      </c>
      <c r="O23" s="127" t="n">
        <f aca="false">IF(Champions!AY23&gt;0,Champions!AZ23/Champions!AY23,0)</f>
        <v>0</v>
      </c>
      <c r="P23" s="75" t="n">
        <f aca="false">L22*$E$104+N22*$E$99+M22*O23</f>
        <v>0</v>
      </c>
      <c r="Q23" s="75" t="n">
        <f aca="false">L22*$E$105</f>
        <v>0</v>
      </c>
      <c r="R23" s="75" t="n">
        <f aca="false">N22*$E$100</f>
        <v>0</v>
      </c>
      <c r="S23" s="75" t="n">
        <f aca="false">D23-E23-F23-G23-I23-J23</f>
        <v>0</v>
      </c>
    </row>
    <row r="24" customFormat="false" ht="13.8" hidden="false" customHeight="false" outlineLevel="0" collapsed="false">
      <c r="A24" s="1" t="n">
        <v>1864</v>
      </c>
      <c r="B24" s="126" t="n">
        <f aca="false">'Capital accounts'!D24</f>
        <v>0</v>
      </c>
      <c r="C24" s="75" t="n">
        <f aca="false">MAX(0,'Capital accounts'!I24)*$E$106/oil_book</f>
        <v>0</v>
      </c>
      <c r="D24" s="75" t="n">
        <f aca="false">B24+C24</f>
        <v>0</v>
      </c>
      <c r="E24" s="126" t="n">
        <f aca="false">'Capital accounts'!X24</f>
        <v>0</v>
      </c>
      <c r="F24" s="75" t="n">
        <f aca="false">IF(A24=1901,MIN($E$98,B24),0)</f>
        <v>0</v>
      </c>
      <c r="G24" s="75" t="n">
        <f aca="false">MIN(MAX(0,D24-E24-F24),$E$97*(D24-F24))</f>
        <v>0</v>
      </c>
      <c r="H24" s="75" t="n">
        <f aca="false">IF(AND(A24&gt;=1880,A24&lt;=1899),$E$101,IF(AND(A24&gt;=1900,A24&lt;=1913),$E$102,IF(AND(A24&gt;=1919,A24&lt;=1929),$E$103,0)))</f>
        <v>0</v>
      </c>
      <c r="I24" s="75" t="n">
        <f aca="false">MIN(H24,MAX(0,D24-E24-F24-G24))</f>
        <v>0</v>
      </c>
      <c r="J24" s="75" t="n">
        <f aca="false">MAX(0,D24-E24-F24-G24-I24)</f>
        <v>0</v>
      </c>
      <c r="K24" s="75" t="n">
        <f aca="false">F24+G24+I24</f>
        <v>0</v>
      </c>
      <c r="L24" s="75" t="n">
        <f aca="false">L23*(1-$E$105)+I24</f>
        <v>0</v>
      </c>
      <c r="M24" s="75" t="n">
        <f aca="false">M23+G24</f>
        <v>0</v>
      </c>
      <c r="N24" s="75" t="n">
        <f aca="false">N23*(1-$E$100)+F24</f>
        <v>0</v>
      </c>
      <c r="O24" s="127" t="n">
        <f aca="false">IF(Champions!AY24&gt;0,Champions!AZ24/Champions!AY24,0)</f>
        <v>0</v>
      </c>
      <c r="P24" s="75" t="n">
        <f aca="false">L23*$E$104+N23*$E$99+M23*O24</f>
        <v>0</v>
      </c>
      <c r="Q24" s="75" t="n">
        <f aca="false">L23*$E$105</f>
        <v>0</v>
      </c>
      <c r="R24" s="75" t="n">
        <f aca="false">N23*$E$100</f>
        <v>0</v>
      </c>
      <c r="S24" s="75" t="n">
        <f aca="false">D24-E24-F24-G24-I24-J24</f>
        <v>0</v>
      </c>
    </row>
    <row r="25" customFormat="false" ht="13.8" hidden="false" customHeight="false" outlineLevel="0" collapsed="false">
      <c r="A25" s="1" t="n">
        <v>1865</v>
      </c>
      <c r="B25" s="126" t="n">
        <f aca="false">'Capital accounts'!D25</f>
        <v>0</v>
      </c>
      <c r="C25" s="75" t="n">
        <f aca="false">MAX(0,'Capital accounts'!I25)*$E$106/oil_book</f>
        <v>0</v>
      </c>
      <c r="D25" s="75" t="n">
        <f aca="false">B25+C25</f>
        <v>0</v>
      </c>
      <c r="E25" s="126" t="n">
        <f aca="false">'Capital accounts'!X25</f>
        <v>0</v>
      </c>
      <c r="F25" s="75" t="n">
        <f aca="false">IF(A25=1901,MIN($E$98,B25),0)</f>
        <v>0</v>
      </c>
      <c r="G25" s="75" t="n">
        <f aca="false">MIN(MAX(0,D25-E25-F25),$E$97*(D25-F25))</f>
        <v>0</v>
      </c>
      <c r="H25" s="75" t="n">
        <f aca="false">IF(AND(A25&gt;=1880,A25&lt;=1899),$E$101,IF(AND(A25&gt;=1900,A25&lt;=1913),$E$102,IF(AND(A25&gt;=1919,A25&lt;=1929),$E$103,0)))</f>
        <v>0</v>
      </c>
      <c r="I25" s="75" t="n">
        <f aca="false">MIN(H25,MAX(0,D25-E25-F25-G25))</f>
        <v>0</v>
      </c>
      <c r="J25" s="75" t="n">
        <f aca="false">MAX(0,D25-E25-F25-G25-I25)</f>
        <v>0</v>
      </c>
      <c r="K25" s="75" t="n">
        <f aca="false">F25+G25+I25</f>
        <v>0</v>
      </c>
      <c r="L25" s="75" t="n">
        <f aca="false">L24*(1-$E$105)+I25</f>
        <v>0</v>
      </c>
      <c r="M25" s="75" t="n">
        <f aca="false">M24+G25</f>
        <v>0</v>
      </c>
      <c r="N25" s="75" t="n">
        <f aca="false">N24*(1-$E$100)+F25</f>
        <v>0</v>
      </c>
      <c r="O25" s="127" t="n">
        <f aca="false">IF(Champions!AY25&gt;0,Champions!AZ25/Champions!AY25,0)</f>
        <v>0</v>
      </c>
      <c r="P25" s="75" t="n">
        <f aca="false">L24*$E$104+N24*$E$99+M24*O25</f>
        <v>0</v>
      </c>
      <c r="Q25" s="75" t="n">
        <f aca="false">L24*$E$105</f>
        <v>0</v>
      </c>
      <c r="R25" s="75" t="n">
        <f aca="false">N24*$E$100</f>
        <v>0</v>
      </c>
      <c r="S25" s="75" t="n">
        <f aca="false">D25-E25-F25-G25-I25-J25</f>
        <v>0</v>
      </c>
    </row>
    <row r="26" customFormat="false" ht="13.8" hidden="false" customHeight="false" outlineLevel="0" collapsed="false">
      <c r="A26" s="1" t="n">
        <v>1866</v>
      </c>
      <c r="B26" s="126" t="n">
        <f aca="false">'Capital accounts'!D26</f>
        <v>0</v>
      </c>
      <c r="C26" s="75" t="n">
        <f aca="false">MAX(0,'Capital accounts'!I26)*$E$106/oil_book</f>
        <v>0</v>
      </c>
      <c r="D26" s="75" t="n">
        <f aca="false">B26+C26</f>
        <v>0</v>
      </c>
      <c r="E26" s="126" t="n">
        <f aca="false">'Capital accounts'!X26</f>
        <v>0</v>
      </c>
      <c r="F26" s="75" t="n">
        <f aca="false">IF(A26=1901,MIN($E$98,B26),0)</f>
        <v>0</v>
      </c>
      <c r="G26" s="75" t="n">
        <f aca="false">MIN(MAX(0,D26-E26-F26),$E$97*(D26-F26))</f>
        <v>0</v>
      </c>
      <c r="H26" s="75" t="n">
        <f aca="false">IF(AND(A26&gt;=1880,A26&lt;=1899),$E$101,IF(AND(A26&gt;=1900,A26&lt;=1913),$E$102,IF(AND(A26&gt;=1919,A26&lt;=1929),$E$103,0)))</f>
        <v>0</v>
      </c>
      <c r="I26" s="75" t="n">
        <f aca="false">MIN(H26,MAX(0,D26-E26-F26-G26))</f>
        <v>0</v>
      </c>
      <c r="J26" s="75" t="n">
        <f aca="false">MAX(0,D26-E26-F26-G26-I26)</f>
        <v>0</v>
      </c>
      <c r="K26" s="75" t="n">
        <f aca="false">F26+G26+I26</f>
        <v>0</v>
      </c>
      <c r="L26" s="75" t="n">
        <f aca="false">L25*(1-$E$105)+I26</f>
        <v>0</v>
      </c>
      <c r="M26" s="75" t="n">
        <f aca="false">M25+G26</f>
        <v>0</v>
      </c>
      <c r="N26" s="75" t="n">
        <f aca="false">N25*(1-$E$100)+F26</f>
        <v>0</v>
      </c>
      <c r="O26" s="127" t="n">
        <f aca="false">IF(Champions!AY26&gt;0,Champions!AZ26/Champions!AY26,0)</f>
        <v>0</v>
      </c>
      <c r="P26" s="75" t="n">
        <f aca="false">L25*$E$104+N25*$E$99+M25*O26</f>
        <v>0</v>
      </c>
      <c r="Q26" s="75" t="n">
        <f aca="false">L25*$E$105</f>
        <v>0</v>
      </c>
      <c r="R26" s="75" t="n">
        <f aca="false">N25*$E$100</f>
        <v>0</v>
      </c>
      <c r="S26" s="75" t="n">
        <f aca="false">D26-E26-F26-G26-I26-J26</f>
        <v>0</v>
      </c>
    </row>
    <row r="27" customFormat="false" ht="13.8" hidden="false" customHeight="false" outlineLevel="0" collapsed="false">
      <c r="A27" s="1" t="n">
        <v>1867</v>
      </c>
      <c r="B27" s="126" t="n">
        <f aca="false">'Capital accounts'!D27</f>
        <v>0</v>
      </c>
      <c r="C27" s="75" t="n">
        <f aca="false">MAX(0,'Capital accounts'!I27)*$E$106/oil_book</f>
        <v>0</v>
      </c>
      <c r="D27" s="75" t="n">
        <f aca="false">B27+C27</f>
        <v>0</v>
      </c>
      <c r="E27" s="126" t="n">
        <f aca="false">'Capital accounts'!X27</f>
        <v>0</v>
      </c>
      <c r="F27" s="75" t="n">
        <f aca="false">IF(A27=1901,MIN($E$98,B27),0)</f>
        <v>0</v>
      </c>
      <c r="G27" s="75" t="n">
        <f aca="false">MIN(MAX(0,D27-E27-F27),$E$97*(D27-F27))</f>
        <v>0</v>
      </c>
      <c r="H27" s="75" t="n">
        <f aca="false">IF(AND(A27&gt;=1880,A27&lt;=1899),$E$101,IF(AND(A27&gt;=1900,A27&lt;=1913),$E$102,IF(AND(A27&gt;=1919,A27&lt;=1929),$E$103,0)))</f>
        <v>0</v>
      </c>
      <c r="I27" s="75" t="n">
        <f aca="false">MIN(H27,MAX(0,D27-E27-F27-G27))</f>
        <v>0</v>
      </c>
      <c r="J27" s="75" t="n">
        <f aca="false">MAX(0,D27-E27-F27-G27-I27)</f>
        <v>0</v>
      </c>
      <c r="K27" s="75" t="n">
        <f aca="false">F27+G27+I27</f>
        <v>0</v>
      </c>
      <c r="L27" s="75" t="n">
        <f aca="false">L26*(1-$E$105)+I27</f>
        <v>0</v>
      </c>
      <c r="M27" s="75" t="n">
        <f aca="false">M26+G27</f>
        <v>0</v>
      </c>
      <c r="N27" s="75" t="n">
        <f aca="false">N26*(1-$E$100)+F27</f>
        <v>0</v>
      </c>
      <c r="O27" s="127" t="n">
        <f aca="false">IF(Champions!AY27&gt;0,Champions!AZ27/Champions!AY27,0)</f>
        <v>0</v>
      </c>
      <c r="P27" s="75" t="n">
        <f aca="false">L26*$E$104+N26*$E$99+M26*O27</f>
        <v>0</v>
      </c>
      <c r="Q27" s="75" t="n">
        <f aca="false">L26*$E$105</f>
        <v>0</v>
      </c>
      <c r="R27" s="75" t="n">
        <f aca="false">N26*$E$100</f>
        <v>0</v>
      </c>
      <c r="S27" s="75" t="n">
        <f aca="false">D27-E27-F27-G27-I27-J27</f>
        <v>0</v>
      </c>
    </row>
    <row r="28" customFormat="false" ht="13.8" hidden="false" customHeight="false" outlineLevel="0" collapsed="false">
      <c r="A28" s="1" t="n">
        <v>1868</v>
      </c>
      <c r="B28" s="126" t="n">
        <f aca="false">'Capital accounts'!D28</f>
        <v>0</v>
      </c>
      <c r="C28" s="75" t="n">
        <f aca="false">MAX(0,'Capital accounts'!I28)*$E$106/oil_book</f>
        <v>0</v>
      </c>
      <c r="D28" s="75" t="n">
        <f aca="false">B28+C28</f>
        <v>0</v>
      </c>
      <c r="E28" s="126" t="n">
        <f aca="false">'Capital accounts'!X28</f>
        <v>0</v>
      </c>
      <c r="F28" s="75" t="n">
        <f aca="false">IF(A28=1901,MIN($E$98,B28),0)</f>
        <v>0</v>
      </c>
      <c r="G28" s="75" t="n">
        <f aca="false">MIN(MAX(0,D28-E28-F28),$E$97*(D28-F28))</f>
        <v>0</v>
      </c>
      <c r="H28" s="75" t="n">
        <f aca="false">IF(AND(A28&gt;=1880,A28&lt;=1899),$E$101,IF(AND(A28&gt;=1900,A28&lt;=1913),$E$102,IF(AND(A28&gt;=1919,A28&lt;=1929),$E$103,0)))</f>
        <v>0</v>
      </c>
      <c r="I28" s="75" t="n">
        <f aca="false">MIN(H28,MAX(0,D28-E28-F28-G28))</f>
        <v>0</v>
      </c>
      <c r="J28" s="75" t="n">
        <f aca="false">MAX(0,D28-E28-F28-G28-I28)</f>
        <v>0</v>
      </c>
      <c r="K28" s="75" t="n">
        <f aca="false">F28+G28+I28</f>
        <v>0</v>
      </c>
      <c r="L28" s="75" t="n">
        <f aca="false">L27*(1-$E$105)+I28</f>
        <v>0</v>
      </c>
      <c r="M28" s="75" t="n">
        <f aca="false">M27+G28</f>
        <v>0</v>
      </c>
      <c r="N28" s="75" t="n">
        <f aca="false">N27*(1-$E$100)+F28</f>
        <v>0</v>
      </c>
      <c r="O28" s="127" t="n">
        <f aca="false">IF(Champions!AY28&gt;0,Champions!AZ28/Champions!AY28,0)</f>
        <v>0</v>
      </c>
      <c r="P28" s="75" t="n">
        <f aca="false">L27*$E$104+N27*$E$99+M27*O28</f>
        <v>0</v>
      </c>
      <c r="Q28" s="75" t="n">
        <f aca="false">L27*$E$105</f>
        <v>0</v>
      </c>
      <c r="R28" s="75" t="n">
        <f aca="false">N27*$E$100</f>
        <v>0</v>
      </c>
      <c r="S28" s="75" t="n">
        <f aca="false">D28-E28-F28-G28-I28-J28</f>
        <v>0</v>
      </c>
    </row>
    <row r="29" customFormat="false" ht="13.8" hidden="false" customHeight="false" outlineLevel="0" collapsed="false">
      <c r="A29" s="1" t="n">
        <v>1869</v>
      </c>
      <c r="B29" s="126" t="n">
        <f aca="false">'Capital accounts'!D29</f>
        <v>0</v>
      </c>
      <c r="C29" s="75" t="n">
        <f aca="false">MAX(0,'Capital accounts'!I29)*$E$106/oil_book</f>
        <v>0</v>
      </c>
      <c r="D29" s="75" t="n">
        <f aca="false">B29+C29</f>
        <v>0</v>
      </c>
      <c r="E29" s="126" t="n">
        <f aca="false">'Capital accounts'!X29</f>
        <v>0</v>
      </c>
      <c r="F29" s="75" t="n">
        <f aca="false">IF(A29=1901,MIN($E$98,B29),0)</f>
        <v>0</v>
      </c>
      <c r="G29" s="75" t="n">
        <f aca="false">MIN(MAX(0,D29-E29-F29),$E$97*(D29-F29))</f>
        <v>0</v>
      </c>
      <c r="H29" s="75" t="n">
        <f aca="false">IF(AND(A29&gt;=1880,A29&lt;=1899),$E$101,IF(AND(A29&gt;=1900,A29&lt;=1913),$E$102,IF(AND(A29&gt;=1919,A29&lt;=1929),$E$103,0)))</f>
        <v>0</v>
      </c>
      <c r="I29" s="75" t="n">
        <f aca="false">MIN(H29,MAX(0,D29-E29-F29-G29))</f>
        <v>0</v>
      </c>
      <c r="J29" s="75" t="n">
        <f aca="false">MAX(0,D29-E29-F29-G29-I29)</f>
        <v>0</v>
      </c>
      <c r="K29" s="75" t="n">
        <f aca="false">F29+G29+I29</f>
        <v>0</v>
      </c>
      <c r="L29" s="75" t="n">
        <f aca="false">L28*(1-$E$105)+I29</f>
        <v>0</v>
      </c>
      <c r="M29" s="75" t="n">
        <f aca="false">M28+G29</f>
        <v>0</v>
      </c>
      <c r="N29" s="75" t="n">
        <f aca="false">N28*(1-$E$100)+F29</f>
        <v>0</v>
      </c>
      <c r="O29" s="127" t="n">
        <f aca="false">IF(Champions!AY29&gt;0,Champions!AZ29/Champions!AY29,0)</f>
        <v>0</v>
      </c>
      <c r="P29" s="75" t="n">
        <f aca="false">L28*$E$104+N28*$E$99+M28*O29</f>
        <v>0</v>
      </c>
      <c r="Q29" s="75" t="n">
        <f aca="false">L28*$E$105</f>
        <v>0</v>
      </c>
      <c r="R29" s="75" t="n">
        <f aca="false">N28*$E$100</f>
        <v>0</v>
      </c>
      <c r="S29" s="75" t="n">
        <f aca="false">D29-E29-F29-G29-I29-J29</f>
        <v>0</v>
      </c>
    </row>
    <row r="30" customFormat="false" ht="13.8" hidden="false" customHeight="false" outlineLevel="0" collapsed="false">
      <c r="A30" s="1" t="n">
        <v>1870</v>
      </c>
      <c r="B30" s="126" t="n">
        <f aca="false">'Capital accounts'!D30</f>
        <v>7.02658390748947</v>
      </c>
      <c r="C30" s="75" t="n">
        <f aca="false">MAX(0,'Capital accounts'!I30)*$E$106/oil_book</f>
        <v>0</v>
      </c>
      <c r="D30" s="75" t="n">
        <f aca="false">B30+C30</f>
        <v>7.02658390748947</v>
      </c>
      <c r="E30" s="126" t="n">
        <f aca="false">'Capital accounts'!X30</f>
        <v>1.5584298218951</v>
      </c>
      <c r="F30" s="75" t="n">
        <f aca="false">IF(A30=1901,MIN($E$98,B30),0)</f>
        <v>0</v>
      </c>
      <c r="G30" s="75" t="n">
        <f aca="false">MIN(MAX(0,D30-E30-F30),$E$97*(D30-F30))</f>
        <v>1.75664597687237</v>
      </c>
      <c r="H30" s="75" t="n">
        <f aca="false">IF(AND(A30&gt;=1880,A30&lt;=1899),$E$101,IF(AND(A30&gt;=1900,A30&lt;=1913),$E$102,IF(AND(A30&gt;=1919,A30&lt;=1929),$E$103,0)))</f>
        <v>0</v>
      </c>
      <c r="I30" s="75" t="n">
        <f aca="false">MIN(H30,MAX(0,D30-E30-F30-G30))</f>
        <v>0</v>
      </c>
      <c r="J30" s="75" t="n">
        <f aca="false">MAX(0,D30-E30-F30-G30-I30)</f>
        <v>3.711508108722</v>
      </c>
      <c r="K30" s="75" t="n">
        <f aca="false">F30+G30+I30</f>
        <v>1.75664597687237</v>
      </c>
      <c r="L30" s="75" t="n">
        <f aca="false">L29*(1-$E$105)+I30</f>
        <v>0</v>
      </c>
      <c r="M30" s="75" t="n">
        <f aca="false">M29+G30</f>
        <v>1.75664597687237</v>
      </c>
      <c r="N30" s="75" t="n">
        <f aca="false">N29*(1-$E$100)+F30</f>
        <v>0</v>
      </c>
      <c r="O30" s="127" t="n">
        <f aca="false">IF(Champions!AY30&gt;0,Champions!AZ30/Champions!AY30,0)</f>
        <v>0.06903</v>
      </c>
      <c r="P30" s="75" t="n">
        <f aca="false">L29*$E$104+N29*$E$99+M29*O30</f>
        <v>0</v>
      </c>
      <c r="Q30" s="75" t="n">
        <f aca="false">L29*$E$105</f>
        <v>0</v>
      </c>
      <c r="R30" s="75" t="n">
        <f aca="false">N29*$E$100</f>
        <v>0</v>
      </c>
      <c r="S30" s="75" t="n">
        <f aca="false">D30-E30-F30-G30-I30-J30</f>
        <v>0</v>
      </c>
    </row>
    <row r="31" customFormat="false" ht="13.8" hidden="false" customHeight="false" outlineLevel="0" collapsed="false">
      <c r="A31" s="1" t="n">
        <v>1871</v>
      </c>
      <c r="B31" s="126" t="n">
        <f aca="false">'Capital accounts'!D31</f>
        <v>4.03238102815338</v>
      </c>
      <c r="C31" s="75" t="n">
        <f aca="false">MAX(0,'Capital accounts'!I31)*$E$106/oil_book</f>
        <v>0</v>
      </c>
      <c r="D31" s="75" t="n">
        <f aca="false">B31+C31</f>
        <v>4.03238102815338</v>
      </c>
      <c r="E31" s="126" t="n">
        <f aca="false">'Capital accounts'!X31</f>
        <v>0.63171823793738</v>
      </c>
      <c r="F31" s="75" t="n">
        <f aca="false">IF(A31=1901,MIN($E$98,B31),0)</f>
        <v>0</v>
      </c>
      <c r="G31" s="75" t="n">
        <f aca="false">MIN(MAX(0,D31-E31-F31),$E$97*(D31-F31))</f>
        <v>1.00809525703834</v>
      </c>
      <c r="H31" s="75" t="n">
        <f aca="false">IF(AND(A31&gt;=1880,A31&lt;=1899),$E$101,IF(AND(A31&gt;=1900,A31&lt;=1913),$E$102,IF(AND(A31&gt;=1919,A31&lt;=1929),$E$103,0)))</f>
        <v>0</v>
      </c>
      <c r="I31" s="75" t="n">
        <f aca="false">MIN(H31,MAX(0,D31-E31-F31-G31))</f>
        <v>0</v>
      </c>
      <c r="J31" s="75" t="n">
        <f aca="false">MAX(0,D31-E31-F31-G31-I31)</f>
        <v>2.39256753317765</v>
      </c>
      <c r="K31" s="75" t="n">
        <f aca="false">F31+G31+I31</f>
        <v>1.00809525703834</v>
      </c>
      <c r="L31" s="75" t="n">
        <f aca="false">L30*(1-$E$105)+I31</f>
        <v>0</v>
      </c>
      <c r="M31" s="75" t="n">
        <f aca="false">M30+G31</f>
        <v>2.76474123391071</v>
      </c>
      <c r="N31" s="75" t="n">
        <f aca="false">N30*(1-$E$100)+F31</f>
        <v>0</v>
      </c>
      <c r="O31" s="127" t="n">
        <f aca="false">IF(Champions!AY31&gt;0,Champions!AZ31/Champions!AY31,0)</f>
        <v>0.0668436363636364</v>
      </c>
      <c r="P31" s="75" t="n">
        <f aca="false">L30*$E$104+N30*$E$99+M30*O31</f>
        <v>0.117420604897701</v>
      </c>
      <c r="Q31" s="75" t="n">
        <f aca="false">L30*$E$105</f>
        <v>0</v>
      </c>
      <c r="R31" s="75" t="n">
        <f aca="false">N30*$E$100</f>
        <v>0</v>
      </c>
      <c r="S31" s="75" t="n">
        <f aca="false">D31-E31-F31-G31-I31-J31</f>
        <v>0</v>
      </c>
    </row>
    <row r="32" customFormat="false" ht="13.8" hidden="false" customHeight="false" outlineLevel="0" collapsed="false">
      <c r="A32" s="1" t="n">
        <v>1872</v>
      </c>
      <c r="B32" s="126" t="n">
        <f aca="false">'Capital accounts'!D32</f>
        <v>3.0386881061054</v>
      </c>
      <c r="C32" s="75" t="n">
        <f aca="false">MAX(0,'Capital accounts'!I32)*$E$106/oil_book</f>
        <v>0</v>
      </c>
      <c r="D32" s="75" t="n">
        <f aca="false">B32+C32</f>
        <v>3.0386881061054</v>
      </c>
      <c r="E32" s="126" t="n">
        <f aca="false">'Capital accounts'!X32</f>
        <v>0.766446599433118</v>
      </c>
      <c r="F32" s="75" t="n">
        <f aca="false">IF(A32=1901,MIN($E$98,B32),0)</f>
        <v>0</v>
      </c>
      <c r="G32" s="75" t="n">
        <f aca="false">MIN(MAX(0,D32-E32-F32),$E$97*(D32-F32))</f>
        <v>0.759672026526349</v>
      </c>
      <c r="H32" s="75" t="n">
        <f aca="false">IF(AND(A32&gt;=1880,A32&lt;=1899),$E$101,IF(AND(A32&gt;=1900,A32&lt;=1913),$E$102,IF(AND(A32&gt;=1919,A32&lt;=1929),$E$103,0)))</f>
        <v>0</v>
      </c>
      <c r="I32" s="75" t="n">
        <f aca="false">MIN(H32,MAX(0,D32-E32-F32-G32))</f>
        <v>0</v>
      </c>
      <c r="J32" s="75" t="n">
        <f aca="false">MAX(0,D32-E32-F32-G32-I32)</f>
        <v>1.51256948014593</v>
      </c>
      <c r="K32" s="75" t="n">
        <f aca="false">F32+G32+I32</f>
        <v>0.759672026526349</v>
      </c>
      <c r="L32" s="75" t="n">
        <f aca="false">L31*(1-$E$105)+I32</f>
        <v>0</v>
      </c>
      <c r="M32" s="75" t="n">
        <f aca="false">M31+G32</f>
        <v>3.52441326043706</v>
      </c>
      <c r="N32" s="75" t="n">
        <f aca="false">N31*(1-$E$100)+F32</f>
        <v>0</v>
      </c>
      <c r="O32" s="127" t="n">
        <f aca="false">IF(Champions!AY32&gt;0,Champions!AZ32/Champions!AY32,0)</f>
        <v>0.0678428571428572</v>
      </c>
      <c r="P32" s="75" t="n">
        <f aca="false">L31*$E$104+N31*$E$99+M31*O32</f>
        <v>0.187567944569171</v>
      </c>
      <c r="Q32" s="75" t="n">
        <f aca="false">L31*$E$105</f>
        <v>0</v>
      </c>
      <c r="R32" s="75" t="n">
        <f aca="false">N31*$E$100</f>
        <v>0</v>
      </c>
      <c r="S32" s="75" t="n">
        <f aca="false">D32-E32-F32-G32-I32-J32</f>
        <v>0</v>
      </c>
    </row>
    <row r="33" customFormat="false" ht="13.8" hidden="false" customHeight="false" outlineLevel="0" collapsed="false">
      <c r="A33" s="1" t="n">
        <v>1873</v>
      </c>
      <c r="B33" s="126" t="n">
        <f aca="false">'Capital accounts'!D33</f>
        <v>2.04069984261205</v>
      </c>
      <c r="C33" s="75" t="n">
        <f aca="false">MAX(0,'Capital accounts'!I33)*$E$106/oil_book</f>
        <v>0</v>
      </c>
      <c r="D33" s="75" t="n">
        <f aca="false">B33+C33</f>
        <v>2.04069984261205</v>
      </c>
      <c r="E33" s="126" t="n">
        <f aca="false">'Capital accounts'!X33</f>
        <v>0.872247713988015</v>
      </c>
      <c r="F33" s="75" t="n">
        <f aca="false">IF(A33=1901,MIN($E$98,B33),0)</f>
        <v>0</v>
      </c>
      <c r="G33" s="75" t="n">
        <f aca="false">MIN(MAX(0,D33-E33-F33),$E$97*(D33-F33))</f>
        <v>0.510174960653012</v>
      </c>
      <c r="H33" s="75" t="n">
        <f aca="false">IF(AND(A33&gt;=1880,A33&lt;=1899),$E$101,IF(AND(A33&gt;=1900,A33&lt;=1913),$E$102,IF(AND(A33&gt;=1919,A33&lt;=1929),$E$103,0)))</f>
        <v>0</v>
      </c>
      <c r="I33" s="75" t="n">
        <f aca="false">MIN(H33,MAX(0,D33-E33-F33-G33))</f>
        <v>0</v>
      </c>
      <c r="J33" s="75" t="n">
        <f aca="false">MAX(0,D33-E33-F33-G33-I33)</f>
        <v>0.658277167971019</v>
      </c>
      <c r="K33" s="75" t="n">
        <f aca="false">F33+G33+I33</f>
        <v>0.510174960653012</v>
      </c>
      <c r="L33" s="75" t="n">
        <f aca="false">L32*(1-$E$105)+I33</f>
        <v>0</v>
      </c>
      <c r="M33" s="75" t="n">
        <f aca="false">M32+G33</f>
        <v>4.03458822109007</v>
      </c>
      <c r="N33" s="75" t="n">
        <f aca="false">N32*(1-$E$100)+F33</f>
        <v>0</v>
      </c>
      <c r="O33" s="127" t="n">
        <f aca="false">IF(Champions!AY33&gt;0,Champions!AZ33/Champions!AY33,0)</f>
        <v>0.065785</v>
      </c>
      <c r="P33" s="75" t="n">
        <f aca="false">L32*$E$104+N32*$E$99+M32*O33</f>
        <v>0.231853526337852</v>
      </c>
      <c r="Q33" s="75" t="n">
        <f aca="false">L32*$E$105</f>
        <v>0</v>
      </c>
      <c r="R33" s="75" t="n">
        <f aca="false">N32*$E$100</f>
        <v>0</v>
      </c>
      <c r="S33" s="75" t="n">
        <f aca="false">D33-E33-F33-G33-I33-J33</f>
        <v>0</v>
      </c>
    </row>
    <row r="34" customFormat="false" ht="13.8" hidden="false" customHeight="false" outlineLevel="0" collapsed="false">
      <c r="A34" s="1" t="n">
        <v>1874</v>
      </c>
      <c r="B34" s="126" t="n">
        <f aca="false">'Capital accounts'!D34</f>
        <v>4.06897006752121</v>
      </c>
      <c r="C34" s="75" t="n">
        <f aca="false">MAX(0,'Capital accounts'!I34)*$E$106/oil_book</f>
        <v>0</v>
      </c>
      <c r="D34" s="75" t="n">
        <f aca="false">B34+C34</f>
        <v>4.06897006752121</v>
      </c>
      <c r="E34" s="126" t="n">
        <f aca="false">'Capital accounts'!X34</f>
        <v>1.00731484182834</v>
      </c>
      <c r="F34" s="75" t="n">
        <f aca="false">IF(A34=1901,MIN($E$98,B34),0)</f>
        <v>0</v>
      </c>
      <c r="G34" s="75" t="n">
        <f aca="false">MIN(MAX(0,D34-E34-F34),$E$97*(D34-F34))</f>
        <v>1.0172425168803</v>
      </c>
      <c r="H34" s="75" t="n">
        <f aca="false">IF(AND(A34&gt;=1880,A34&lt;=1899),$E$101,IF(AND(A34&gt;=1900,A34&lt;=1913),$E$102,IF(AND(A34&gt;=1919,A34&lt;=1929),$E$103,0)))</f>
        <v>0</v>
      </c>
      <c r="I34" s="75" t="n">
        <f aca="false">MIN(H34,MAX(0,D34-E34-F34-G34))</f>
        <v>0</v>
      </c>
      <c r="J34" s="75" t="n">
        <f aca="false">MAX(0,D34-E34-F34-G34-I34)</f>
        <v>2.04441270881257</v>
      </c>
      <c r="K34" s="75" t="n">
        <f aca="false">F34+G34+I34</f>
        <v>1.0172425168803</v>
      </c>
      <c r="L34" s="75" t="n">
        <f aca="false">L33*(1-$E$105)+I34</f>
        <v>0</v>
      </c>
      <c r="M34" s="75" t="n">
        <f aca="false">M33+G34</f>
        <v>5.05183073797037</v>
      </c>
      <c r="N34" s="75" t="n">
        <f aca="false">N33*(1-$E$100)+F34</f>
        <v>0</v>
      </c>
      <c r="O34" s="127" t="n">
        <f aca="false">IF(Champions!AY34&gt;0,Champions!AZ34/Champions!AY34,0)</f>
        <v>0.065272</v>
      </c>
      <c r="P34" s="75" t="n">
        <f aca="false">L33*$E$104+N33*$E$99+M33*O34</f>
        <v>0.263345642366991</v>
      </c>
      <c r="Q34" s="75" t="n">
        <f aca="false">L33*$E$105</f>
        <v>0</v>
      </c>
      <c r="R34" s="75" t="n">
        <f aca="false">N33*$E$100</f>
        <v>0</v>
      </c>
      <c r="S34" s="75" t="n">
        <f aca="false">D34-E34-F34-G34-I34-J34</f>
        <v>0</v>
      </c>
    </row>
    <row r="35" customFormat="false" ht="13.8" hidden="false" customHeight="false" outlineLevel="0" collapsed="false">
      <c r="A35" s="1" t="n">
        <v>1875</v>
      </c>
      <c r="B35" s="126" t="n">
        <f aca="false">'Capital accounts'!D35</f>
        <v>4.08392892940269</v>
      </c>
      <c r="C35" s="75" t="n">
        <f aca="false">MAX(0,'Capital accounts'!I35)*$E$106/oil_book</f>
        <v>0</v>
      </c>
      <c r="D35" s="75" t="n">
        <f aca="false">B35+C35</f>
        <v>4.08392892940269</v>
      </c>
      <c r="E35" s="126" t="n">
        <f aca="false">'Capital accounts'!X35</f>
        <v>1.15644071326076</v>
      </c>
      <c r="F35" s="75" t="n">
        <f aca="false">IF(A35=1901,MIN($E$98,B35),0)</f>
        <v>0</v>
      </c>
      <c r="G35" s="75" t="n">
        <f aca="false">MIN(MAX(0,D35-E35-F35),$E$97*(D35-F35))</f>
        <v>1.02098223235067</v>
      </c>
      <c r="H35" s="75" t="n">
        <f aca="false">IF(AND(A35&gt;=1880,A35&lt;=1899),$E$101,IF(AND(A35&gt;=1900,A35&lt;=1913),$E$102,IF(AND(A35&gt;=1919,A35&lt;=1929),$E$103,0)))</f>
        <v>0</v>
      </c>
      <c r="I35" s="75" t="n">
        <f aca="false">MIN(H35,MAX(0,D35-E35-F35-G35))</f>
        <v>0</v>
      </c>
      <c r="J35" s="75" t="n">
        <f aca="false">MAX(0,D35-E35-F35-G35-I35)</f>
        <v>1.90650598379125</v>
      </c>
      <c r="K35" s="75" t="n">
        <f aca="false">F35+G35+I35</f>
        <v>1.02098223235067</v>
      </c>
      <c r="L35" s="75" t="n">
        <f aca="false">L34*(1-$E$105)+I35</f>
        <v>0</v>
      </c>
      <c r="M35" s="75" t="n">
        <f aca="false">M34+G35</f>
        <v>6.07281297032105</v>
      </c>
      <c r="N35" s="75" t="n">
        <f aca="false">N34*(1-$E$100)+F35</f>
        <v>0</v>
      </c>
      <c r="O35" s="127" t="n">
        <f aca="false">IF(Champions!AY35&gt;0,Champions!AZ35/Champions!AY35,0)</f>
        <v>0.06553125</v>
      </c>
      <c r="P35" s="75" t="n">
        <f aca="false">L34*$E$104+N34*$E$99+M34*O35</f>
        <v>0.331052783047621</v>
      </c>
      <c r="Q35" s="75" t="n">
        <f aca="false">L34*$E$105</f>
        <v>0</v>
      </c>
      <c r="R35" s="75" t="n">
        <f aca="false">N34*$E$100</f>
        <v>0</v>
      </c>
      <c r="S35" s="75" t="n">
        <f aca="false">D35-E35-F35-G35-I35-J35</f>
        <v>0</v>
      </c>
    </row>
    <row r="36" customFormat="false" ht="13.8" hidden="false" customHeight="false" outlineLevel="0" collapsed="false">
      <c r="A36" s="1" t="n">
        <v>1876</v>
      </c>
      <c r="B36" s="126" t="n">
        <f aca="false">'Capital accounts'!D36</f>
        <v>3.08593258231255</v>
      </c>
      <c r="C36" s="75" t="n">
        <f aca="false">MAX(0,'Capital accounts'!I36)*$E$106/oil_book</f>
        <v>0</v>
      </c>
      <c r="D36" s="75" t="n">
        <f aca="false">B36+C36</f>
        <v>3.08593258231255</v>
      </c>
      <c r="E36" s="126" t="n">
        <f aca="false">'Capital accounts'!X36</f>
        <v>1.29001293192468</v>
      </c>
      <c r="F36" s="75" t="n">
        <f aca="false">IF(A36=1901,MIN($E$98,B36),0)</f>
        <v>0</v>
      </c>
      <c r="G36" s="75" t="n">
        <f aca="false">MIN(MAX(0,D36-E36-F36),$E$97*(D36-F36))</f>
        <v>0.771483145578137</v>
      </c>
      <c r="H36" s="75" t="n">
        <f aca="false">IF(AND(A36&gt;=1880,A36&lt;=1899),$E$101,IF(AND(A36&gt;=1900,A36&lt;=1913),$E$102,IF(AND(A36&gt;=1919,A36&lt;=1929),$E$103,0)))</f>
        <v>0</v>
      </c>
      <c r="I36" s="75" t="n">
        <f aca="false">MIN(H36,MAX(0,D36-E36-F36-G36))</f>
        <v>0</v>
      </c>
      <c r="J36" s="75" t="n">
        <f aca="false">MAX(0,D36-E36-F36-G36-I36)</f>
        <v>1.02443650480973</v>
      </c>
      <c r="K36" s="75" t="n">
        <f aca="false">F36+G36+I36</f>
        <v>0.771483145578137</v>
      </c>
      <c r="L36" s="75" t="n">
        <f aca="false">L35*(1-$E$105)+I36</f>
        <v>0</v>
      </c>
      <c r="M36" s="75" t="n">
        <f aca="false">M35+G36</f>
        <v>6.84429611589918</v>
      </c>
      <c r="N36" s="75" t="n">
        <f aca="false">N35*(1-$E$100)+F36</f>
        <v>0</v>
      </c>
      <c r="O36" s="127" t="n">
        <f aca="false">IF(Champions!AY36&gt;0,Champions!AZ36/Champions!AY36,0)</f>
        <v>0.0657851851851852</v>
      </c>
      <c r="P36" s="75" t="n">
        <f aca="false">L35*$E$104+N35*$E$99+M35*O36</f>
        <v>0.399501125847565</v>
      </c>
      <c r="Q36" s="75" t="n">
        <f aca="false">L35*$E$105</f>
        <v>0</v>
      </c>
      <c r="R36" s="75" t="n">
        <f aca="false">N35*$E$100</f>
        <v>0</v>
      </c>
      <c r="S36" s="75" t="n">
        <f aca="false">D36-E36-F36-G36-I36-J36</f>
        <v>0</v>
      </c>
    </row>
    <row r="37" customFormat="false" ht="13.8" hidden="false" customHeight="false" outlineLevel="0" collapsed="false">
      <c r="A37" s="1" t="n">
        <v>1877</v>
      </c>
      <c r="B37" s="126" t="n">
        <f aca="false">'Capital accounts'!D37</f>
        <v>3.1081208948729</v>
      </c>
      <c r="C37" s="75" t="n">
        <f aca="false">MAX(0,'Capital accounts'!I37)*$E$106/oil_book</f>
        <v>0</v>
      </c>
      <c r="D37" s="75" t="n">
        <f aca="false">B37+C37</f>
        <v>3.1081208948729</v>
      </c>
      <c r="E37" s="126" t="n">
        <f aca="false">'Capital accounts'!X37</f>
        <v>1.41247819361609</v>
      </c>
      <c r="F37" s="75" t="n">
        <f aca="false">IF(A37=1901,MIN($E$98,B37),0)</f>
        <v>0</v>
      </c>
      <c r="G37" s="75" t="n">
        <f aca="false">MIN(MAX(0,D37-E37-F37),$E$97*(D37-F37))</f>
        <v>0.777030223718225</v>
      </c>
      <c r="H37" s="75" t="n">
        <f aca="false">IF(AND(A37&gt;=1880,A37&lt;=1899),$E$101,IF(AND(A37&gt;=1900,A37&lt;=1913),$E$102,IF(AND(A37&gt;=1919,A37&lt;=1929),$E$103,0)))</f>
        <v>0</v>
      </c>
      <c r="I37" s="75" t="n">
        <f aca="false">MIN(H37,MAX(0,D37-E37-F37-G37))</f>
        <v>0</v>
      </c>
      <c r="J37" s="75" t="n">
        <f aca="false">MAX(0,D37-E37-F37-G37-I37)</f>
        <v>0.918612477538589</v>
      </c>
      <c r="K37" s="75" t="n">
        <f aca="false">F37+G37+I37</f>
        <v>0.777030223718225</v>
      </c>
      <c r="L37" s="75" t="n">
        <f aca="false">L36*(1-$E$105)+I37</f>
        <v>0</v>
      </c>
      <c r="M37" s="75" t="n">
        <f aca="false">M36+G37</f>
        <v>7.62132633961741</v>
      </c>
      <c r="N37" s="75" t="n">
        <f aca="false">N36*(1-$E$100)+F37</f>
        <v>0</v>
      </c>
      <c r="O37" s="127" t="n">
        <f aca="false">IF(Champions!AY37&gt;0,Champions!AZ37/Champions!AY37,0)</f>
        <v>0.0659883333333333</v>
      </c>
      <c r="P37" s="75" t="n">
        <f aca="false">L36*$E$104+N36*$E$99+M36*O37</f>
        <v>0.451643693527994</v>
      </c>
      <c r="Q37" s="75" t="n">
        <f aca="false">L36*$E$105</f>
        <v>0</v>
      </c>
      <c r="R37" s="75" t="n">
        <f aca="false">N36*$E$100</f>
        <v>0</v>
      </c>
      <c r="S37" s="75" t="n">
        <f aca="false">D37-E37-F37-G37-I37-J37</f>
        <v>0</v>
      </c>
    </row>
    <row r="38" customFormat="false" ht="13.8" hidden="false" customHeight="false" outlineLevel="0" collapsed="false">
      <c r="A38" s="1" t="n">
        <v>1878</v>
      </c>
      <c r="B38" s="126" t="n">
        <f aca="false">'Capital accounts'!D38</f>
        <v>3.12281554021354</v>
      </c>
      <c r="C38" s="75" t="n">
        <f aca="false">MAX(0,'Capital accounts'!I38)*$E$106/oil_book</f>
        <v>0</v>
      </c>
      <c r="D38" s="75" t="n">
        <f aca="false">B38+C38</f>
        <v>3.12281554021354</v>
      </c>
      <c r="E38" s="126" t="n">
        <f aca="false">'Capital accounts'!X38</f>
        <v>1.53743404334744</v>
      </c>
      <c r="F38" s="75" t="n">
        <f aca="false">IF(A38=1901,MIN($E$98,B38),0)</f>
        <v>0</v>
      </c>
      <c r="G38" s="75" t="n">
        <f aca="false">MIN(MAX(0,D38-E38-F38),$E$97*(D38-F38))</f>
        <v>0.780703885053384</v>
      </c>
      <c r="H38" s="75" t="n">
        <f aca="false">IF(AND(A38&gt;=1880,A38&lt;=1899),$E$101,IF(AND(A38&gt;=1900,A38&lt;=1913),$E$102,IF(AND(A38&gt;=1919,A38&lt;=1929),$E$103,0)))</f>
        <v>0</v>
      </c>
      <c r="I38" s="75" t="n">
        <f aca="false">MIN(H38,MAX(0,D38-E38-F38-G38))</f>
        <v>0</v>
      </c>
      <c r="J38" s="75" t="n">
        <f aca="false">MAX(0,D38-E38-F38-G38-I38)</f>
        <v>0.804677611812711</v>
      </c>
      <c r="K38" s="75" t="n">
        <f aca="false">F38+G38+I38</f>
        <v>0.780703885053384</v>
      </c>
      <c r="L38" s="75" t="n">
        <f aca="false">L37*(1-$E$105)+I38</f>
        <v>0</v>
      </c>
      <c r="M38" s="75" t="n">
        <f aca="false">M37+G38</f>
        <v>8.40203022467079</v>
      </c>
      <c r="N38" s="75" t="n">
        <f aca="false">N37*(1-$E$100)+F38</f>
        <v>0</v>
      </c>
      <c r="O38" s="127" t="n">
        <f aca="false">IF(Champions!AY38&gt;0,Champions!AZ38/Champions!AY38,0)</f>
        <v>0.0651430303030303</v>
      </c>
      <c r="P38" s="75" t="n">
        <f aca="false">L37*$E$104+N37*$E$99+M37*O38</f>
        <v>0.49647629269098</v>
      </c>
      <c r="Q38" s="75" t="n">
        <f aca="false">L37*$E$105</f>
        <v>0</v>
      </c>
      <c r="R38" s="75" t="n">
        <f aca="false">N37*$E$100</f>
        <v>0</v>
      </c>
      <c r="S38" s="75" t="n">
        <f aca="false">D38-E38-F38-G38-I38-J38</f>
        <v>0</v>
      </c>
    </row>
    <row r="39" customFormat="false" ht="13.8" hidden="false" customHeight="false" outlineLevel="0" collapsed="false">
      <c r="A39" s="1" t="n">
        <v>1879</v>
      </c>
      <c r="B39" s="126" t="n">
        <f aca="false">'Capital accounts'!D39</f>
        <v>4.1591958916941</v>
      </c>
      <c r="C39" s="75" t="n">
        <f aca="false">MAX(0,'Capital accounts'!I39)*$E$106/oil_book</f>
        <v>0</v>
      </c>
      <c r="D39" s="75" t="n">
        <f aca="false">B39+C39</f>
        <v>4.1591958916941</v>
      </c>
      <c r="E39" s="126" t="n">
        <f aca="false">'Capital accounts'!X39</f>
        <v>1.6725383832905</v>
      </c>
      <c r="F39" s="75" t="n">
        <f aca="false">IF(A39=1901,MIN($E$98,B39),0)</f>
        <v>0</v>
      </c>
      <c r="G39" s="75" t="n">
        <f aca="false">MIN(MAX(0,D39-E39-F39),$E$97*(D39-F39))</f>
        <v>1.03979897292353</v>
      </c>
      <c r="H39" s="75" t="n">
        <f aca="false">IF(AND(A39&gt;=1880,A39&lt;=1899),$E$101,IF(AND(A39&gt;=1900,A39&lt;=1913),$E$102,IF(AND(A39&gt;=1919,A39&lt;=1929),$E$103,0)))</f>
        <v>0</v>
      </c>
      <c r="I39" s="75" t="n">
        <f aca="false">MIN(H39,MAX(0,D39-E39-F39-G39))</f>
        <v>0</v>
      </c>
      <c r="J39" s="75" t="n">
        <f aca="false">MAX(0,D39-E39-F39-G39-I39)</f>
        <v>1.44685853548007</v>
      </c>
      <c r="K39" s="75" t="n">
        <f aca="false">F39+G39+I39</f>
        <v>1.03979897292353</v>
      </c>
      <c r="L39" s="75" t="n">
        <f aca="false">L38*(1-$E$105)+I39</f>
        <v>0</v>
      </c>
      <c r="M39" s="75" t="n">
        <f aca="false">M38+G39</f>
        <v>9.44182919759432</v>
      </c>
      <c r="N39" s="75" t="n">
        <f aca="false">N38*(1-$E$100)+F39</f>
        <v>0</v>
      </c>
      <c r="O39" s="127" t="n">
        <f aca="false">IF(Champions!AY39&gt;0,Champions!AZ39/Champions!AY39,0)</f>
        <v>0.0649691891891892</v>
      </c>
      <c r="P39" s="75" t="n">
        <f aca="false">L38*$E$104+N38*$E$99+M38*O39</f>
        <v>0.545873091239923</v>
      </c>
      <c r="Q39" s="75" t="n">
        <f aca="false">L38*$E$105</f>
        <v>0</v>
      </c>
      <c r="R39" s="75" t="n">
        <f aca="false">N38*$E$100</f>
        <v>0</v>
      </c>
      <c r="S39" s="75" t="n">
        <f aca="false">D39-E39-F39-G39-I39-J39</f>
        <v>0</v>
      </c>
    </row>
    <row r="40" customFormat="false" ht="13.8" hidden="false" customHeight="false" outlineLevel="0" collapsed="false">
      <c r="A40" s="1" t="n">
        <v>1880</v>
      </c>
      <c r="B40" s="126" t="n">
        <f aca="false">'Capital accounts'!D40</f>
        <v>4.18355678987455</v>
      </c>
      <c r="C40" s="75" t="n">
        <f aca="false">MAX(0,'Capital accounts'!I40)*$E$106/oil_book</f>
        <v>2.45566089250255</v>
      </c>
      <c r="D40" s="75" t="n">
        <f aca="false">B40+C40</f>
        <v>6.6392176823771</v>
      </c>
      <c r="E40" s="126" t="n">
        <f aca="false">'Capital accounts'!X40</f>
        <v>1.9972708592354</v>
      </c>
      <c r="F40" s="75" t="n">
        <f aca="false">IF(A40=1901,MIN($E$98,B40),0)</f>
        <v>0</v>
      </c>
      <c r="G40" s="75" t="n">
        <f aca="false">MIN(MAX(0,D40-E40-F40),$E$97*(D40-F40))</f>
        <v>1.65980442059427</v>
      </c>
      <c r="H40" s="75" t="n">
        <f aca="false">IF(AND(A40&gt;=1880,A40&lt;=1899),$E$101,IF(AND(A40&gt;=1900,A40&lt;=1913),$E$102,IF(AND(A40&gt;=1919,A40&lt;=1929),$E$103,0)))</f>
        <v>40</v>
      </c>
      <c r="I40" s="75" t="n">
        <f aca="false">MIN(H40,MAX(0,D40-E40-F40-G40))</f>
        <v>2.98214240254742</v>
      </c>
      <c r="J40" s="75" t="n">
        <f aca="false">MAX(0,D40-E40-F40-G40-I40)</f>
        <v>0</v>
      </c>
      <c r="K40" s="75" t="n">
        <f aca="false">F40+G40+I40</f>
        <v>4.64194682314169</v>
      </c>
      <c r="L40" s="75" t="n">
        <f aca="false">L39*(1-$E$105)+I40</f>
        <v>2.98214240254742</v>
      </c>
      <c r="M40" s="75" t="n">
        <f aca="false">M39+G40</f>
        <v>11.1016336181886</v>
      </c>
      <c r="N40" s="75" t="n">
        <f aca="false">N39*(1-$E$100)+F40</f>
        <v>0</v>
      </c>
      <c r="O40" s="127" t="n">
        <f aca="false">IF(Champions!AY40&gt;0,Champions!AZ40/Champions!AY40,0)</f>
        <v>0.0740265486725664</v>
      </c>
      <c r="P40" s="75" t="n">
        <f aca="false">L39*$E$104+N39*$E$99+M39*O40</f>
        <v>0.698946028653774</v>
      </c>
      <c r="Q40" s="75" t="n">
        <f aca="false">L39*$E$105</f>
        <v>0</v>
      </c>
      <c r="R40" s="75" t="n">
        <f aca="false">N39*$E$100</f>
        <v>0</v>
      </c>
      <c r="S40" s="75" t="n">
        <f aca="false">D40-E40-F40-G40-I40-J40</f>
        <v>0</v>
      </c>
    </row>
    <row r="41" customFormat="false" ht="13.8" hidden="false" customHeight="false" outlineLevel="0" collapsed="false">
      <c r="A41" s="1" t="n">
        <v>1881</v>
      </c>
      <c r="B41" s="126" t="n">
        <f aca="false">'Capital accounts'!D41</f>
        <v>7.38962893171021</v>
      </c>
      <c r="C41" s="75" t="n">
        <f aca="false">MAX(0,'Capital accounts'!I41)*$E$106/oil_book</f>
        <v>0.00314081601022918</v>
      </c>
      <c r="D41" s="75" t="n">
        <f aca="false">B41+C41</f>
        <v>7.39276974772044</v>
      </c>
      <c r="E41" s="126" t="n">
        <f aca="false">'Capital accounts'!X41</f>
        <v>2.28975909105252</v>
      </c>
      <c r="F41" s="75" t="n">
        <f aca="false">IF(A41=1901,MIN($E$98,B41),0)</f>
        <v>0</v>
      </c>
      <c r="G41" s="75" t="n">
        <f aca="false">MIN(MAX(0,D41-E41-F41),$E$97*(D41-F41))</f>
        <v>1.84819243693011</v>
      </c>
      <c r="H41" s="75" t="n">
        <f aca="false">IF(AND(A41&gt;=1880,A41&lt;=1899),$E$101,IF(AND(A41&gt;=1900,A41&lt;=1913),$E$102,IF(AND(A41&gt;=1919,A41&lt;=1929),$E$103,0)))</f>
        <v>40</v>
      </c>
      <c r="I41" s="75" t="n">
        <f aca="false">MIN(H41,MAX(0,D41-E41-F41-G41))</f>
        <v>3.25481821973781</v>
      </c>
      <c r="J41" s="75" t="n">
        <f aca="false">MAX(0,D41-E41-F41-G41-I41)</f>
        <v>0</v>
      </c>
      <c r="K41" s="75" t="n">
        <f aca="false">F41+G41+I41</f>
        <v>5.10301065666791</v>
      </c>
      <c r="L41" s="75" t="n">
        <f aca="false">L40*(1-$E$105)+I41</f>
        <v>6.1474963502088</v>
      </c>
      <c r="M41" s="75" t="n">
        <f aca="false">M40+G41</f>
        <v>12.9498260551187</v>
      </c>
      <c r="N41" s="75" t="n">
        <f aca="false">N40*(1-$E$100)+F41</f>
        <v>0</v>
      </c>
      <c r="O41" s="127" t="n">
        <f aca="false">IF(Champions!AY41&gt;0,Champions!AZ41/Champions!AY41,0)</f>
        <v>0.0728222128540222</v>
      </c>
      <c r="P41" s="75" t="n">
        <f aca="false">L40*$E$104+N40*$E$99+M40*O41</f>
        <v>0.957552646498469</v>
      </c>
      <c r="Q41" s="75" t="n">
        <f aca="false">L40*$E$105</f>
        <v>0.0894642720764226</v>
      </c>
      <c r="R41" s="75" t="n">
        <f aca="false">N40*$E$100</f>
        <v>0</v>
      </c>
      <c r="S41" s="75" t="n">
        <f aca="false">D41-E41-F41-G41-I41-J41</f>
        <v>0</v>
      </c>
    </row>
    <row r="42" customFormat="false" ht="13.8" hidden="false" customHeight="false" outlineLevel="0" collapsed="false">
      <c r="A42" s="1" t="n">
        <v>1882</v>
      </c>
      <c r="B42" s="126" t="n">
        <f aca="false">'Capital accounts'!D42</f>
        <v>6.30576884351884</v>
      </c>
      <c r="C42" s="75" t="n">
        <f aca="false">MAX(0,'Capital accounts'!I42)*$E$106/oil_book</f>
        <v>2.44631406282221</v>
      </c>
      <c r="D42" s="75" t="n">
        <f aca="false">B42+C42</f>
        <v>8.75208290634105</v>
      </c>
      <c r="E42" s="126" t="n">
        <f aca="false">'Capital accounts'!X42</f>
        <v>2.66844480879662</v>
      </c>
      <c r="F42" s="75" t="n">
        <f aca="false">IF(A42=1901,MIN($E$98,B42),0)</f>
        <v>0</v>
      </c>
      <c r="G42" s="75" t="n">
        <f aca="false">MIN(MAX(0,D42-E42-F42),$E$97*(D42-F42))</f>
        <v>2.18802072658526</v>
      </c>
      <c r="H42" s="75" t="n">
        <f aca="false">IF(AND(A42&gt;=1880,A42&lt;=1899),$E$101,IF(AND(A42&gt;=1900,A42&lt;=1913),$E$102,IF(AND(A42&gt;=1919,A42&lt;=1929),$E$103,0)))</f>
        <v>40</v>
      </c>
      <c r="I42" s="75" t="n">
        <f aca="false">MIN(H42,MAX(0,D42-E42-F42-G42))</f>
        <v>3.89561737095916</v>
      </c>
      <c r="J42" s="75" t="n">
        <f aca="false">MAX(0,D42-E42-F42-G42-I42)</f>
        <v>0</v>
      </c>
      <c r="K42" s="75" t="n">
        <f aca="false">F42+G42+I42</f>
        <v>6.08363809754442</v>
      </c>
      <c r="L42" s="75" t="n">
        <f aca="false">L41*(1-$E$105)+I42</f>
        <v>9.8586888306617</v>
      </c>
      <c r="M42" s="75" t="n">
        <f aca="false">M41+G42</f>
        <v>15.137846781704</v>
      </c>
      <c r="N42" s="75" t="n">
        <f aca="false">N41*(1-$E$100)+F42</f>
        <v>0</v>
      </c>
      <c r="O42" s="127" t="n">
        <f aca="false">IF(Champions!AY42&gt;0,Champions!AZ42/Champions!AY42,0)</f>
        <v>0.0761848227177924</v>
      </c>
      <c r="P42" s="75" t="n">
        <f aca="false">L41*$E$104+N41*$E$99+M41*O42</f>
        <v>1.29395501974591</v>
      </c>
      <c r="Q42" s="75" t="n">
        <f aca="false">L41*$E$105</f>
        <v>0.184424890506264</v>
      </c>
      <c r="R42" s="75" t="n">
        <f aca="false">N41*$E$100</f>
        <v>0</v>
      </c>
      <c r="S42" s="75" t="n">
        <f aca="false">D42-E42-F42-G42-I42-J42</f>
        <v>0</v>
      </c>
    </row>
    <row r="43" customFormat="false" ht="13.8" hidden="false" customHeight="false" outlineLevel="0" collapsed="false">
      <c r="A43" s="1" t="n">
        <v>1883</v>
      </c>
      <c r="B43" s="126" t="n">
        <f aca="false">'Capital accounts'!D43</f>
        <v>7.39575142369787</v>
      </c>
      <c r="C43" s="75" t="n">
        <f aca="false">MAX(0,'Capital accounts'!I43)*$E$106/oil_book</f>
        <v>0</v>
      </c>
      <c r="D43" s="75" t="n">
        <f aca="false">B43+C43</f>
        <v>7.39575142369787</v>
      </c>
      <c r="E43" s="126" t="n">
        <f aca="false">'Capital accounts'!X43</f>
        <v>2.93199663401803</v>
      </c>
      <c r="F43" s="75" t="n">
        <f aca="false">IF(A43=1901,MIN($E$98,B43),0)</f>
        <v>0</v>
      </c>
      <c r="G43" s="75" t="n">
        <f aca="false">MIN(MAX(0,D43-E43-F43),$E$97*(D43-F43))</f>
        <v>1.84893785592447</v>
      </c>
      <c r="H43" s="75" t="n">
        <f aca="false">IF(AND(A43&gt;=1880,A43&lt;=1899),$E$101,IF(AND(A43&gt;=1900,A43&lt;=1913),$E$102,IF(AND(A43&gt;=1919,A43&lt;=1929),$E$103,0)))</f>
        <v>40</v>
      </c>
      <c r="I43" s="75" t="n">
        <f aca="false">MIN(H43,MAX(0,D43-E43-F43-G43))</f>
        <v>2.61481693375537</v>
      </c>
      <c r="J43" s="75" t="n">
        <f aca="false">MAX(0,D43-E43-F43-G43-I43)</f>
        <v>0</v>
      </c>
      <c r="K43" s="75" t="n">
        <f aca="false">F43+G43+I43</f>
        <v>4.46375478967984</v>
      </c>
      <c r="L43" s="75" t="n">
        <f aca="false">L42*(1-$E$105)+I43</f>
        <v>12.1777450994972</v>
      </c>
      <c r="M43" s="75" t="n">
        <f aca="false">M42+G43</f>
        <v>16.9867846376284</v>
      </c>
      <c r="N43" s="75" t="n">
        <f aca="false">N42*(1-$E$100)+F43</f>
        <v>0</v>
      </c>
      <c r="O43" s="127" t="n">
        <f aca="false">IF(Champions!AY43&gt;0,Champions!AZ43/Champions!AY43,0)</f>
        <v>0.0756341808317221</v>
      </c>
      <c r="P43" s="75" t="n">
        <f aca="false">L42*$E$104+N42*$E$99+M42*O43</f>
        <v>1.63787308242338</v>
      </c>
      <c r="Q43" s="75" t="n">
        <f aca="false">L42*$E$105</f>
        <v>0.295760664919851</v>
      </c>
      <c r="R43" s="75" t="n">
        <f aca="false">N42*$E$100</f>
        <v>0</v>
      </c>
      <c r="S43" s="75" t="n">
        <f aca="false">D43-E43-F43-G43-I43-J43</f>
        <v>0</v>
      </c>
    </row>
    <row r="44" customFormat="false" ht="13.8" hidden="false" customHeight="false" outlineLevel="0" collapsed="false">
      <c r="A44" s="1" t="n">
        <v>1884</v>
      </c>
      <c r="B44" s="126" t="n">
        <f aca="false">'Capital accounts'!D44</f>
        <v>7.48165944926363</v>
      </c>
      <c r="C44" s="75" t="n">
        <f aca="false">MAX(0,'Capital accounts'!I44)*$E$106/oil_book</f>
        <v>2.43995073973936</v>
      </c>
      <c r="D44" s="75" t="n">
        <f aca="false">B44+C44</f>
        <v>9.92161018900299</v>
      </c>
      <c r="E44" s="126" t="n">
        <f aca="false">'Capital accounts'!X44</f>
        <v>3.32373965890753</v>
      </c>
      <c r="F44" s="75" t="n">
        <f aca="false">IF(A44=1901,MIN($E$98,B44),0)</f>
        <v>0</v>
      </c>
      <c r="G44" s="75" t="n">
        <f aca="false">MIN(MAX(0,D44-E44-F44),$E$97*(D44-F44))</f>
        <v>2.48040254725075</v>
      </c>
      <c r="H44" s="75" t="n">
        <f aca="false">IF(AND(A44&gt;=1880,A44&lt;=1899),$E$101,IF(AND(A44&gt;=1900,A44&lt;=1913),$E$102,IF(AND(A44&gt;=1919,A44&lt;=1929),$E$103,0)))</f>
        <v>40</v>
      </c>
      <c r="I44" s="75" t="n">
        <f aca="false">MIN(H44,MAX(0,D44-E44-F44-G44))</f>
        <v>4.11746798284471</v>
      </c>
      <c r="J44" s="75" t="n">
        <f aca="false">MAX(0,D44-E44-F44-G44-I44)</f>
        <v>0</v>
      </c>
      <c r="K44" s="75" t="n">
        <f aca="false">F44+G44+I44</f>
        <v>6.59787053009546</v>
      </c>
      <c r="L44" s="75" t="n">
        <f aca="false">L43*(1-$E$105)+I44</f>
        <v>15.929880729357</v>
      </c>
      <c r="M44" s="75" t="n">
        <f aca="false">M43+G44</f>
        <v>19.4671871848792</v>
      </c>
      <c r="N44" s="75" t="n">
        <f aca="false">N43*(1-$E$100)+F44</f>
        <v>0</v>
      </c>
      <c r="O44" s="127" t="n">
        <f aca="false">IF(Champions!AY44&gt;0,Champions!AZ44/Champions!AY44,0)</f>
        <v>0.0781539992536385</v>
      </c>
      <c r="P44" s="75" t="n">
        <f aca="false">L43*$E$104+N43*$E$99+M43*O44</f>
        <v>1.93647240886579</v>
      </c>
      <c r="Q44" s="75" t="n">
        <f aca="false">L43*$E$105</f>
        <v>0.365332352984917</v>
      </c>
      <c r="R44" s="75" t="n">
        <f aca="false">N43*$E$100</f>
        <v>0</v>
      </c>
      <c r="S44" s="75" t="n">
        <f aca="false">D44-E44-F44-G44-I44-J44</f>
        <v>0</v>
      </c>
    </row>
    <row r="45" customFormat="false" ht="13.8" hidden="false" customHeight="false" outlineLevel="0" collapsed="false">
      <c r="A45" s="1" t="n">
        <v>1885</v>
      </c>
      <c r="B45" s="126" t="n">
        <f aca="false">'Capital accounts'!D45</f>
        <v>7.60365191434637</v>
      </c>
      <c r="C45" s="75" t="n">
        <f aca="false">MAX(0,'Capital accounts'!I45)*$E$106/oil_book</f>
        <v>0.00745974060397612</v>
      </c>
      <c r="D45" s="75" t="n">
        <f aca="false">B45+C45</f>
        <v>7.61111165495035</v>
      </c>
      <c r="E45" s="126" t="n">
        <f aca="false">'Capital accounts'!X45</f>
        <v>3.74099718320387</v>
      </c>
      <c r="F45" s="75" t="n">
        <f aca="false">IF(A45=1901,MIN($E$98,B45),0)</f>
        <v>0</v>
      </c>
      <c r="G45" s="75" t="n">
        <f aca="false">MIN(MAX(0,D45-E45-F45),$E$97*(D45-F45))</f>
        <v>1.90277791373759</v>
      </c>
      <c r="H45" s="75" t="n">
        <f aca="false">IF(AND(A45&gt;=1880,A45&lt;=1899),$E$101,IF(AND(A45&gt;=1900,A45&lt;=1913),$E$102,IF(AND(A45&gt;=1919,A45&lt;=1929),$E$103,0)))</f>
        <v>40</v>
      </c>
      <c r="I45" s="75" t="n">
        <f aca="false">MIN(H45,MAX(0,D45-E45-F45-G45))</f>
        <v>1.96733655800889</v>
      </c>
      <c r="J45" s="75" t="n">
        <f aca="false">MAX(0,D45-E45-F45-G45-I45)</f>
        <v>0</v>
      </c>
      <c r="K45" s="75" t="n">
        <f aca="false">F45+G45+I45</f>
        <v>3.87011447174648</v>
      </c>
      <c r="L45" s="75" t="n">
        <f aca="false">L44*(1-$E$105)+I45</f>
        <v>17.4193208654852</v>
      </c>
      <c r="M45" s="75" t="n">
        <f aca="false">M44+G45</f>
        <v>21.3699650986168</v>
      </c>
      <c r="N45" s="75" t="n">
        <f aca="false">N44*(1-$E$100)+F45</f>
        <v>0</v>
      </c>
      <c r="O45" s="127" t="n">
        <f aca="false">IF(Champions!AY45&gt;0,Champions!AZ45/Champions!AY45,0)</f>
        <v>0.077093923157943</v>
      </c>
      <c r="P45" s="75" t="n">
        <f aca="false">L44*$E$104+N44*$E$99+M44*O45</f>
        <v>2.29729586940022</v>
      </c>
      <c r="Q45" s="75" t="n">
        <f aca="false">L44*$E$105</f>
        <v>0.47789642188071</v>
      </c>
      <c r="R45" s="75" t="n">
        <f aca="false">N44*$E$100</f>
        <v>0</v>
      </c>
      <c r="S45" s="75" t="n">
        <f aca="false">D45-E45-F45-G45-I45-J45</f>
        <v>0</v>
      </c>
    </row>
    <row r="46" customFormat="false" ht="13.8" hidden="false" customHeight="false" outlineLevel="0" collapsed="false">
      <c r="A46" s="1" t="n">
        <v>1886</v>
      </c>
      <c r="B46" s="126" t="n">
        <f aca="false">'Capital accounts'!D46</f>
        <v>6.53781918669505</v>
      </c>
      <c r="C46" s="75" t="n">
        <f aca="false">MAX(0,'Capital accounts'!I46)*$E$106/oil_book</f>
        <v>2.43330923303123</v>
      </c>
      <c r="D46" s="75" t="n">
        <f aca="false">B46+C46</f>
        <v>8.97112841972628</v>
      </c>
      <c r="E46" s="126" t="n">
        <f aca="false">'Capital accounts'!X46</f>
        <v>4.22813594732216</v>
      </c>
      <c r="F46" s="75" t="n">
        <f aca="false">IF(A46=1901,MIN($E$98,B46),0)</f>
        <v>0</v>
      </c>
      <c r="G46" s="75" t="n">
        <f aca="false">MIN(MAX(0,D46-E46-F46),$E$97*(D46-F46))</f>
        <v>2.24278210493157</v>
      </c>
      <c r="H46" s="75" t="n">
        <f aca="false">IF(AND(A46&gt;=1880,A46&lt;=1899),$E$101,IF(AND(A46&gt;=1900,A46&lt;=1913),$E$102,IF(AND(A46&gt;=1919,A46&lt;=1929),$E$103,0)))</f>
        <v>40</v>
      </c>
      <c r="I46" s="75" t="n">
        <f aca="false">MIN(H46,MAX(0,D46-E46-F46-G46))</f>
        <v>2.50021036747255</v>
      </c>
      <c r="J46" s="75" t="n">
        <f aca="false">MAX(0,D46-E46-F46-G46-I46)</f>
        <v>0</v>
      </c>
      <c r="K46" s="75" t="n">
        <f aca="false">F46+G46+I46</f>
        <v>4.74299247240412</v>
      </c>
      <c r="L46" s="75" t="n">
        <f aca="false">L45*(1-$E$105)+I46</f>
        <v>19.3969516069932</v>
      </c>
      <c r="M46" s="75" t="n">
        <f aca="false">M45+G46</f>
        <v>23.6127472035483</v>
      </c>
      <c r="N46" s="75" t="n">
        <f aca="false">N45*(1-$E$100)+F46</f>
        <v>0</v>
      </c>
      <c r="O46" s="127" t="n">
        <f aca="false">IF(Champions!AY46&gt;0,Champions!AZ46/Champions!AY46,0)</f>
        <v>0.0791107003491477</v>
      </c>
      <c r="P46" s="75" t="n">
        <f aca="false">L45*$E$104+N45*$E$99+M45*O46</f>
        <v>2.56155894866267</v>
      </c>
      <c r="Q46" s="75" t="n">
        <f aca="false">L45*$E$105</f>
        <v>0.522579625964556</v>
      </c>
      <c r="R46" s="75" t="n">
        <f aca="false">N45*$E$100</f>
        <v>0</v>
      </c>
      <c r="S46" s="75" t="n">
        <f aca="false">D46-E46-F46-G46-I46-J46</f>
        <v>0</v>
      </c>
    </row>
    <row r="47" customFormat="false" ht="13.8" hidden="false" customHeight="false" outlineLevel="0" collapsed="false">
      <c r="A47" s="1" t="n">
        <v>1887</v>
      </c>
      <c r="B47" s="126" t="n">
        <f aca="false">'Capital accounts'!D47</f>
        <v>6.67907148823528</v>
      </c>
      <c r="C47" s="75" t="n">
        <f aca="false">MAX(0,'Capital accounts'!I47)*$E$106/oil_book</f>
        <v>0.0102519650644431</v>
      </c>
      <c r="D47" s="75" t="n">
        <f aca="false">B47+C47</f>
        <v>6.68932345329972</v>
      </c>
      <c r="E47" s="126" t="n">
        <f aca="false">'Capital accounts'!X47</f>
        <v>4.53781309956531</v>
      </c>
      <c r="F47" s="75" t="n">
        <f aca="false">IF(A47=1901,MIN($E$98,B47),0)</f>
        <v>0</v>
      </c>
      <c r="G47" s="75" t="n">
        <f aca="false">MIN(MAX(0,D47-E47-F47),$E$97*(D47-F47))</f>
        <v>1.67233086332493</v>
      </c>
      <c r="H47" s="75" t="n">
        <f aca="false">IF(AND(A47&gt;=1880,A47&lt;=1899),$E$101,IF(AND(A47&gt;=1900,A47&lt;=1913),$E$102,IF(AND(A47&gt;=1919,A47&lt;=1929),$E$103,0)))</f>
        <v>40</v>
      </c>
      <c r="I47" s="75" t="n">
        <f aca="false">MIN(H47,MAX(0,D47-E47-F47-G47))</f>
        <v>0.479179490409484</v>
      </c>
      <c r="J47" s="75" t="n">
        <f aca="false">MAX(0,D47-E47-F47-G47-I47)</f>
        <v>0</v>
      </c>
      <c r="K47" s="75" t="n">
        <f aca="false">F47+G47+I47</f>
        <v>2.15151035373441</v>
      </c>
      <c r="L47" s="75" t="n">
        <f aca="false">L46*(1-$E$105)+I47</f>
        <v>19.2942225491929</v>
      </c>
      <c r="M47" s="75" t="n">
        <f aca="false">M46+G47</f>
        <v>25.2850780668733</v>
      </c>
      <c r="N47" s="75" t="n">
        <f aca="false">N46*(1-$E$100)+F47</f>
        <v>0</v>
      </c>
      <c r="O47" s="127" t="n">
        <f aca="false">IF(Champions!AY47&gt;0,Champions!AZ47/Champions!AY47,0)</f>
        <v>0.0781570593472959</v>
      </c>
      <c r="P47" s="75" t="n">
        <f aca="false">L46*$E$104+N46*$E$99+M46*O47</f>
        <v>2.81535046489008</v>
      </c>
      <c r="Q47" s="75" t="n">
        <f aca="false">L46*$E$105</f>
        <v>0.581908548209796</v>
      </c>
      <c r="R47" s="75" t="n">
        <f aca="false">N46*$E$100</f>
        <v>0</v>
      </c>
      <c r="S47" s="75" t="n">
        <f aca="false">D47-E47-F47-G47-I47-J47</f>
        <v>0</v>
      </c>
    </row>
    <row r="48" customFormat="false" ht="13.8" hidden="false" customHeight="false" outlineLevel="0" collapsed="false">
      <c r="A48" s="1" t="n">
        <v>1888</v>
      </c>
      <c r="B48" s="126" t="n">
        <f aca="false">'Capital accounts'!D48</f>
        <v>9.10704138190587</v>
      </c>
      <c r="C48" s="75" t="n">
        <f aca="false">MAX(0,'Capital accounts'!I48)*$E$106/oil_book</f>
        <v>2.4718474995997</v>
      </c>
      <c r="D48" s="75" t="n">
        <f aca="false">B48+C48</f>
        <v>11.5788888815056</v>
      </c>
      <c r="E48" s="126" t="n">
        <f aca="false">'Capital accounts'!X48</f>
        <v>5.06147495836173</v>
      </c>
      <c r="F48" s="75" t="n">
        <f aca="false">IF(A48=1901,MIN($E$98,B48),0)</f>
        <v>0</v>
      </c>
      <c r="G48" s="75" t="n">
        <f aca="false">MIN(MAX(0,D48-E48-F48),$E$97*(D48-F48))</f>
        <v>2.89472222037639</v>
      </c>
      <c r="H48" s="75" t="n">
        <f aca="false">IF(AND(A48&gt;=1880,A48&lt;=1899),$E$101,IF(AND(A48&gt;=1900,A48&lt;=1913),$E$102,IF(AND(A48&gt;=1919,A48&lt;=1929),$E$103,0)))</f>
        <v>40</v>
      </c>
      <c r="I48" s="75" t="n">
        <f aca="false">MIN(H48,MAX(0,D48-E48-F48-G48))</f>
        <v>3.62269170276745</v>
      </c>
      <c r="J48" s="75" t="n">
        <f aca="false">MAX(0,D48-E48-F48-G48-I48)</f>
        <v>0</v>
      </c>
      <c r="K48" s="75" t="n">
        <f aca="false">F48+G48+I48</f>
        <v>6.51741392314384</v>
      </c>
      <c r="L48" s="75" t="n">
        <f aca="false">L47*(1-$E$105)+I48</f>
        <v>22.3380875754845</v>
      </c>
      <c r="M48" s="75" t="n">
        <f aca="false">M47+G48</f>
        <v>28.1798002872497</v>
      </c>
      <c r="N48" s="75" t="n">
        <f aca="false">N47*(1-$E$100)+F48</f>
        <v>0</v>
      </c>
      <c r="O48" s="127" t="n">
        <f aca="false">IF(Champions!AY48&gt;0,Champions!AZ48/Champions!AY48,0)</f>
        <v>0.0802393755420642</v>
      </c>
      <c r="P48" s="75" t="n">
        <f aca="false">L47*$E$104+N47*$E$99+M47*O48</f>
        <v>2.9935700020779</v>
      </c>
      <c r="Q48" s="75" t="n">
        <f aca="false">L47*$E$105</f>
        <v>0.578826676475786</v>
      </c>
      <c r="R48" s="75" t="n">
        <f aca="false">N47*$E$100</f>
        <v>0</v>
      </c>
      <c r="S48" s="75" t="n">
        <f aca="false">D48-E48-F48-G48-I48-J48</f>
        <v>0</v>
      </c>
    </row>
    <row r="49" customFormat="false" ht="13.8" hidden="false" customHeight="false" outlineLevel="0" collapsed="false">
      <c r="A49" s="1" t="n">
        <v>1889</v>
      </c>
      <c r="B49" s="126" t="n">
        <f aca="false">'Capital accounts'!D49</f>
        <v>8.31062992491025</v>
      </c>
      <c r="C49" s="75" t="n">
        <f aca="false">MAX(0,'Capital accounts'!I49)*$E$106/oil_book</f>
        <v>0.0607199335983799</v>
      </c>
      <c r="D49" s="75" t="n">
        <f aca="false">B49+C49</f>
        <v>8.37134985850863</v>
      </c>
      <c r="E49" s="126" t="n">
        <f aca="false">'Capital accounts'!X49</f>
        <v>5.44838453463462</v>
      </c>
      <c r="F49" s="75" t="n">
        <f aca="false">IF(A49=1901,MIN($E$98,B49),0)</f>
        <v>0</v>
      </c>
      <c r="G49" s="75" t="n">
        <f aca="false">MIN(MAX(0,D49-E49-F49),$E$97*(D49-F49))</f>
        <v>2.09283746462716</v>
      </c>
      <c r="H49" s="75" t="n">
        <f aca="false">IF(AND(A49&gt;=1880,A49&lt;=1899),$E$101,IF(AND(A49&gt;=1900,A49&lt;=1913),$E$102,IF(AND(A49&gt;=1919,A49&lt;=1929),$E$103,0)))</f>
        <v>40</v>
      </c>
      <c r="I49" s="75" t="n">
        <f aca="false">MIN(H49,MAX(0,D49-E49-F49-G49))</f>
        <v>0.830127859246848</v>
      </c>
      <c r="J49" s="75" t="n">
        <f aca="false">MAX(0,D49-E49-F49-G49-I49)</f>
        <v>0</v>
      </c>
      <c r="K49" s="75" t="n">
        <f aca="false">F49+G49+I49</f>
        <v>2.922965323874</v>
      </c>
      <c r="L49" s="75" t="n">
        <f aca="false">L48*(1-$E$105)+I49</f>
        <v>22.4980728074668</v>
      </c>
      <c r="M49" s="75" t="n">
        <f aca="false">M48+G49</f>
        <v>30.2726377518768</v>
      </c>
      <c r="N49" s="75" t="n">
        <f aca="false">N48*(1-$E$100)+F49</f>
        <v>0</v>
      </c>
      <c r="O49" s="127" t="n">
        <f aca="false">IF(Champions!AY49&gt;0,Champions!AZ49/Champions!AY49,0)</f>
        <v>0.0798838255747362</v>
      </c>
      <c r="P49" s="75" t="n">
        <f aca="false">L48*$E$104+N48*$E$99+M48*O49</f>
        <v>3.36801462965178</v>
      </c>
      <c r="Q49" s="75" t="n">
        <f aca="false">L48*$E$105</f>
        <v>0.670142627264536</v>
      </c>
      <c r="R49" s="75" t="n">
        <f aca="false">N48*$E$100</f>
        <v>0</v>
      </c>
      <c r="S49" s="75" t="n">
        <f aca="false">D49-E49-F49-G49-I49-J49</f>
        <v>0</v>
      </c>
    </row>
    <row r="50" customFormat="false" ht="13.8" hidden="false" customHeight="false" outlineLevel="0" collapsed="false">
      <c r="A50" s="1" t="n">
        <v>1890</v>
      </c>
      <c r="B50" s="126" t="n">
        <f aca="false">'Capital accounts'!D50</f>
        <v>12.9226403088506</v>
      </c>
      <c r="C50" s="75" t="n">
        <f aca="false">MAX(0,'Capital accounts'!I50)*$E$106/oil_book</f>
        <v>2.53424117769183</v>
      </c>
      <c r="D50" s="75" t="n">
        <f aca="false">B50+C50</f>
        <v>15.4568814865424</v>
      </c>
      <c r="E50" s="126" t="n">
        <f aca="false">'Capital accounts'!X50</f>
        <v>6.16902909816601</v>
      </c>
      <c r="F50" s="75" t="n">
        <f aca="false">IF(A50=1901,MIN($E$98,B50),0)</f>
        <v>0</v>
      </c>
      <c r="G50" s="75" t="n">
        <f aca="false">MIN(MAX(0,D50-E50-F50),$E$97*(D50-F50))</f>
        <v>3.8642203716356</v>
      </c>
      <c r="H50" s="75" t="n">
        <f aca="false">IF(AND(A50&gt;=1880,A50&lt;=1899),$E$101,IF(AND(A50&gt;=1900,A50&lt;=1913),$E$102,IF(AND(A50&gt;=1919,A50&lt;=1929),$E$103,0)))</f>
        <v>40</v>
      </c>
      <c r="I50" s="75" t="n">
        <f aca="false">MIN(H50,MAX(0,D50-E50-F50-G50))</f>
        <v>5.42363201674078</v>
      </c>
      <c r="J50" s="75" t="n">
        <f aca="false">MAX(0,D50-E50-F50-G50-I50)</f>
        <v>0</v>
      </c>
      <c r="K50" s="75" t="n">
        <f aca="false">F50+G50+I50</f>
        <v>9.28785238837638</v>
      </c>
      <c r="L50" s="75" t="n">
        <f aca="false">L49*(1-$E$105)+I50</f>
        <v>27.2467626399836</v>
      </c>
      <c r="M50" s="75" t="n">
        <f aca="false">M49+G50</f>
        <v>34.1368581235124</v>
      </c>
      <c r="N50" s="75" t="n">
        <f aca="false">N49*(1-$E$100)+F50</f>
        <v>0</v>
      </c>
      <c r="O50" s="127" t="n">
        <f aca="false">IF(Champions!AY50&gt;0,Champions!AZ50/Champions!AY50,0)</f>
        <v>0.0807874589865111</v>
      </c>
      <c r="P50" s="75" t="n">
        <f aca="false">L49*$E$104+N49*$E$99+M49*O50</f>
        <v>3.5705531211666</v>
      </c>
      <c r="Q50" s="75" t="n">
        <f aca="false">L49*$E$105</f>
        <v>0.674942184224005</v>
      </c>
      <c r="R50" s="75" t="n">
        <f aca="false">N49*$E$100</f>
        <v>0</v>
      </c>
      <c r="S50" s="75" t="n">
        <f aca="false">D50-E50-F50-G50-I50-J50</f>
        <v>0</v>
      </c>
    </row>
    <row r="51" customFormat="false" ht="13.8" hidden="false" customHeight="false" outlineLevel="0" collapsed="false">
      <c r="A51" s="1" t="n">
        <v>1891</v>
      </c>
      <c r="B51" s="126" t="n">
        <f aca="false">'Capital accounts'!D51</f>
        <v>28.5937695300809</v>
      </c>
      <c r="C51" s="75" t="n">
        <f aca="false">MAX(0,'Capital accounts'!I51)*$E$106/oil_book</f>
        <v>2.61089712296128</v>
      </c>
      <c r="D51" s="75" t="n">
        <f aca="false">B51+C51</f>
        <v>31.2046666530422</v>
      </c>
      <c r="E51" s="126" t="n">
        <f aca="false">'Capital accounts'!X51</f>
        <v>7.36622330363496</v>
      </c>
      <c r="F51" s="75" t="n">
        <f aca="false">IF(A51=1901,MIN($E$98,B51),0)</f>
        <v>0</v>
      </c>
      <c r="G51" s="75" t="n">
        <f aca="false">MIN(MAX(0,D51-E51-F51),$E$97*(D51-F51))</f>
        <v>7.80116666326056</v>
      </c>
      <c r="H51" s="75" t="n">
        <f aca="false">IF(AND(A51&gt;=1880,A51&lt;=1899),$E$101,IF(AND(A51&gt;=1900,A51&lt;=1913),$E$102,IF(AND(A51&gt;=1919,A51&lt;=1929),$E$103,0)))</f>
        <v>40</v>
      </c>
      <c r="I51" s="75" t="n">
        <f aca="false">MIN(H51,MAX(0,D51-E51-F51-G51))</f>
        <v>16.0372766861467</v>
      </c>
      <c r="J51" s="75" t="n">
        <f aca="false">MAX(0,D51-E51-F51-G51-I51)</f>
        <v>0</v>
      </c>
      <c r="K51" s="75" t="n">
        <f aca="false">F51+G51+I51</f>
        <v>23.8384433494073</v>
      </c>
      <c r="L51" s="75" t="n">
        <f aca="false">L50*(1-$E$105)+I51</f>
        <v>42.4666364469308</v>
      </c>
      <c r="M51" s="75" t="n">
        <f aca="false">M50+G51</f>
        <v>41.938024786773</v>
      </c>
      <c r="N51" s="75" t="n">
        <f aca="false">N50*(1-$E$100)+F51</f>
        <v>0</v>
      </c>
      <c r="O51" s="127" t="n">
        <f aca="false">IF(Champions!AY51&gt;0,Champions!AZ51/Champions!AY51,0)</f>
        <v>0.0801573968701265</v>
      </c>
      <c r="P51" s="75" t="n">
        <f aca="false">L50*$E$104+N50*$E$99+M50*O51</f>
        <v>4.09865981650477</v>
      </c>
      <c r="Q51" s="75" t="n">
        <f aca="false">L50*$E$105</f>
        <v>0.817402879199509</v>
      </c>
      <c r="R51" s="75" t="n">
        <f aca="false">N50*$E$100</f>
        <v>0</v>
      </c>
      <c r="S51" s="75" t="n">
        <f aca="false">D51-E51-F51-G51-I51-J51</f>
        <v>0</v>
      </c>
    </row>
    <row r="52" customFormat="false" ht="13.8" hidden="false" customHeight="false" outlineLevel="0" collapsed="false">
      <c r="A52" s="1" t="n">
        <v>1892</v>
      </c>
      <c r="B52" s="126" t="n">
        <f aca="false">'Capital accounts'!D52</f>
        <v>29.3906822101899</v>
      </c>
      <c r="C52" s="75" t="n">
        <f aca="false">MAX(0,'Capital accounts'!I52)*$E$106/oil_book</f>
        <v>2.63380392765108</v>
      </c>
      <c r="D52" s="75" t="n">
        <f aca="false">B52+C52</f>
        <v>32.024486137841</v>
      </c>
      <c r="E52" s="126" t="n">
        <f aca="false">'Capital accounts'!X52</f>
        <v>8.59892470607927</v>
      </c>
      <c r="F52" s="75" t="n">
        <f aca="false">IF(A52=1901,MIN($E$98,B52),0)</f>
        <v>0</v>
      </c>
      <c r="G52" s="75" t="n">
        <f aca="false">MIN(MAX(0,D52-E52-F52),$E$97*(D52-F52))</f>
        <v>8.00612153446025</v>
      </c>
      <c r="H52" s="75" t="n">
        <f aca="false">IF(AND(A52&gt;=1880,A52&lt;=1899),$E$101,IF(AND(A52&gt;=1900,A52&lt;=1913),$E$102,IF(AND(A52&gt;=1919,A52&lt;=1929),$E$103,0)))</f>
        <v>40</v>
      </c>
      <c r="I52" s="75" t="n">
        <f aca="false">MIN(H52,MAX(0,D52-E52-F52-G52))</f>
        <v>15.4194398973015</v>
      </c>
      <c r="J52" s="75" t="n">
        <f aca="false">MAX(0,D52-E52-F52-G52-I52)</f>
        <v>0</v>
      </c>
      <c r="K52" s="75" t="n">
        <f aca="false">F52+G52+I52</f>
        <v>23.4255614317617</v>
      </c>
      <c r="L52" s="75" t="n">
        <f aca="false">L51*(1-$E$105)+I52</f>
        <v>56.6120772508244</v>
      </c>
      <c r="M52" s="75" t="n">
        <f aca="false">M51+G52</f>
        <v>49.9441463212332</v>
      </c>
      <c r="N52" s="75" t="n">
        <f aca="false">N51*(1-$E$100)+F52</f>
        <v>0</v>
      </c>
      <c r="O52" s="127" t="n">
        <f aca="false">IF(Champions!AY52&gt;0,Champions!AZ52/Champions!AY52,0)</f>
        <v>0.0795977837061359</v>
      </c>
      <c r="P52" s="75" t="n">
        <f aca="false">L51*$E$104+N51*$E$99+M51*O52</f>
        <v>5.46150564838666</v>
      </c>
      <c r="Q52" s="75" t="n">
        <f aca="false">L51*$E$105</f>
        <v>1.27399909340793</v>
      </c>
      <c r="R52" s="75" t="n">
        <f aca="false">N51*$E$100</f>
        <v>0</v>
      </c>
      <c r="S52" s="75" t="n">
        <f aca="false">D52-E52-F52-G52-I52-J52</f>
        <v>0</v>
      </c>
    </row>
    <row r="53" customFormat="false" ht="13.8" hidden="false" customHeight="false" outlineLevel="0" collapsed="false">
      <c r="A53" s="1" t="n">
        <v>1893</v>
      </c>
      <c r="B53" s="126" t="n">
        <f aca="false">'Capital accounts'!D53</f>
        <v>31.4915362591169</v>
      </c>
      <c r="C53" s="75" t="n">
        <f aca="false">MAX(0,'Capital accounts'!I53)*$E$106/oil_book</f>
        <v>2.74026723526093</v>
      </c>
      <c r="D53" s="75" t="n">
        <f aca="false">B53+C53</f>
        <v>34.2318034943778</v>
      </c>
      <c r="E53" s="126" t="n">
        <f aca="false">'Capital accounts'!X53</f>
        <v>9.94287315841083</v>
      </c>
      <c r="F53" s="75" t="n">
        <f aca="false">IF(A53=1901,MIN($E$98,B53),0)</f>
        <v>0</v>
      </c>
      <c r="G53" s="75" t="n">
        <f aca="false">MIN(MAX(0,D53-E53-F53),$E$97*(D53-F53))</f>
        <v>8.55795087359445</v>
      </c>
      <c r="H53" s="75" t="n">
        <f aca="false">IF(AND(A53&gt;=1880,A53&lt;=1899),$E$101,IF(AND(A53&gt;=1900,A53&lt;=1913),$E$102,IF(AND(A53&gt;=1919,A53&lt;=1929),$E$103,0)))</f>
        <v>40</v>
      </c>
      <c r="I53" s="75" t="n">
        <f aca="false">MIN(H53,MAX(0,D53-E53-F53-G53))</f>
        <v>15.7309794623725</v>
      </c>
      <c r="J53" s="75" t="n">
        <f aca="false">MAX(0,D53-E53-F53-G53-I53)</f>
        <v>0</v>
      </c>
      <c r="K53" s="75" t="n">
        <f aca="false">F53+G53+I53</f>
        <v>24.288930335967</v>
      </c>
      <c r="L53" s="75" t="n">
        <f aca="false">L52*(1-$E$105)+I53</f>
        <v>70.6446943956722</v>
      </c>
      <c r="M53" s="75" t="n">
        <f aca="false">M52+G53</f>
        <v>58.5020971948277</v>
      </c>
      <c r="N53" s="75" t="n">
        <f aca="false">N52*(1-$E$100)+F53</f>
        <v>0</v>
      </c>
      <c r="O53" s="127" t="n">
        <f aca="false">IF(Champions!AY53&gt;0,Champions!AZ53/Champions!AY53,0)</f>
        <v>0.0794260267634707</v>
      </c>
      <c r="P53" s="75" t="n">
        <f aca="false">L52*$E$104+N52*$E$99+M52*O53</f>
        <v>6.79746896493019</v>
      </c>
      <c r="Q53" s="75" t="n">
        <f aca="false">L52*$E$105</f>
        <v>1.69836231752473</v>
      </c>
      <c r="R53" s="75" t="n">
        <f aca="false">N52*$E$100</f>
        <v>0</v>
      </c>
      <c r="S53" s="75" t="n">
        <f aca="false">D53-E53-F53-G53-I53-J53</f>
        <v>0</v>
      </c>
    </row>
    <row r="54" customFormat="false" ht="13.8" hidden="false" customHeight="false" outlineLevel="0" collapsed="false">
      <c r="A54" s="1" t="n">
        <v>1894</v>
      </c>
      <c r="B54" s="126" t="n">
        <f aca="false">'Capital accounts'!D54</f>
        <v>31.3497007826292</v>
      </c>
      <c r="C54" s="75" t="n">
        <f aca="false">MAX(0,'Capital accounts'!I54)*$E$106/oil_book</f>
        <v>2.76533525229644</v>
      </c>
      <c r="D54" s="75" t="n">
        <f aca="false">B54+C54</f>
        <v>34.1150360349257</v>
      </c>
      <c r="E54" s="126" t="n">
        <f aca="false">'Capital accounts'!X54</f>
        <v>11.2932376991126</v>
      </c>
      <c r="F54" s="75" t="n">
        <f aca="false">IF(A54=1901,MIN($E$98,B54),0)</f>
        <v>0</v>
      </c>
      <c r="G54" s="75" t="n">
        <f aca="false">MIN(MAX(0,D54-E54-F54),$E$97*(D54-F54))</f>
        <v>8.52875900873142</v>
      </c>
      <c r="H54" s="75" t="n">
        <f aca="false">IF(AND(A54&gt;=1880,A54&lt;=1899),$E$101,IF(AND(A54&gt;=1900,A54&lt;=1913),$E$102,IF(AND(A54&gt;=1919,A54&lt;=1929),$E$103,0)))</f>
        <v>40</v>
      </c>
      <c r="I54" s="75" t="n">
        <f aca="false">MIN(H54,MAX(0,D54-E54-F54-G54))</f>
        <v>14.2930393270817</v>
      </c>
      <c r="J54" s="75" t="n">
        <f aca="false">MAX(0,D54-E54-F54-G54-I54)</f>
        <v>0</v>
      </c>
      <c r="K54" s="75" t="n">
        <f aca="false">F54+G54+I54</f>
        <v>22.8217983358131</v>
      </c>
      <c r="L54" s="75" t="n">
        <f aca="false">L53*(1-$E$105)+I54</f>
        <v>82.8183928908837</v>
      </c>
      <c r="M54" s="75" t="n">
        <f aca="false">M53+G54</f>
        <v>67.0308562035591</v>
      </c>
      <c r="N54" s="75" t="n">
        <f aca="false">N53*(1-$E$100)+F54</f>
        <v>0</v>
      </c>
      <c r="O54" s="127" t="n">
        <f aca="false">IF(Champions!AY54&gt;0,Champions!AZ54/Champions!AY54,0)</f>
        <v>0.0792774600670479</v>
      </c>
      <c r="P54" s="75" t="n">
        <f aca="false">L53*$E$104+N53*$E$99+M53*O54</f>
        <v>8.17013239398512</v>
      </c>
      <c r="Q54" s="75" t="n">
        <f aca="false">L53*$E$105</f>
        <v>2.11934083187017</v>
      </c>
      <c r="R54" s="75" t="n">
        <f aca="false">N53*$E$100</f>
        <v>0</v>
      </c>
      <c r="S54" s="75" t="n">
        <f aca="false">D54-E54-F54-G54-I54-J54</f>
        <v>0</v>
      </c>
    </row>
    <row r="55" customFormat="false" ht="13.8" hidden="false" customHeight="false" outlineLevel="0" collapsed="false">
      <c r="A55" s="1" t="n">
        <v>1895</v>
      </c>
      <c r="B55" s="126" t="n">
        <f aca="false">'Capital accounts'!D55</f>
        <v>37.2729586758655</v>
      </c>
      <c r="C55" s="75" t="n">
        <f aca="false">MAX(0,'Capital accounts'!I55)*$E$106/oil_book</f>
        <v>0.165852851263708</v>
      </c>
      <c r="D55" s="75" t="n">
        <f aca="false">B55+C55</f>
        <v>37.4388115271292</v>
      </c>
      <c r="E55" s="126" t="n">
        <f aca="false">'Capital accounts'!X55</f>
        <v>12.5869466494772</v>
      </c>
      <c r="F55" s="75" t="n">
        <f aca="false">IF(A55=1901,MIN($E$98,B55),0)</f>
        <v>0</v>
      </c>
      <c r="G55" s="75" t="n">
        <f aca="false">MIN(MAX(0,D55-E55-F55),$E$97*(D55-F55))</f>
        <v>9.35970288178231</v>
      </c>
      <c r="H55" s="75" t="n">
        <f aca="false">IF(AND(A55&gt;=1880,A55&lt;=1899),$E$101,IF(AND(A55&gt;=1900,A55&lt;=1913),$E$102,IF(AND(A55&gt;=1919,A55&lt;=1929),$E$103,0)))</f>
        <v>40</v>
      </c>
      <c r="I55" s="75" t="n">
        <f aca="false">MIN(H55,MAX(0,D55-E55-F55-G55))</f>
        <v>15.4921619958697</v>
      </c>
      <c r="J55" s="75" t="n">
        <f aca="false">MAX(0,D55-E55-F55-G55-I55)</f>
        <v>0</v>
      </c>
      <c r="K55" s="75" t="n">
        <f aca="false">F55+G55+I55</f>
        <v>24.851864877652</v>
      </c>
      <c r="L55" s="75" t="n">
        <f aca="false">L54*(1-$E$105)+I55</f>
        <v>95.8260031000269</v>
      </c>
      <c r="M55" s="75" t="n">
        <f aca="false">M54+G55</f>
        <v>76.3905590853414</v>
      </c>
      <c r="N55" s="75" t="n">
        <f aca="false">N54*(1-$E$100)+F55</f>
        <v>0</v>
      </c>
      <c r="O55" s="127" t="n">
        <f aca="false">IF(Champions!AY55&gt;0,Champions!AZ55/Champions!AY55,0)</f>
        <v>0.0779716947836522</v>
      </c>
      <c r="P55" s="75" t="n">
        <f aca="false">L54*$E$104+N54*$E$99+M54*O55</f>
        <v>9.36742910553497</v>
      </c>
      <c r="Q55" s="75" t="n">
        <f aca="false">L54*$E$105</f>
        <v>2.48455178672651</v>
      </c>
      <c r="R55" s="75" t="n">
        <f aca="false">N54*$E$100</f>
        <v>0</v>
      </c>
      <c r="S55" s="75" t="n">
        <f aca="false">D55-E55-F55-G55-I55-J55</f>
        <v>0</v>
      </c>
    </row>
    <row r="56" customFormat="false" ht="13.8" hidden="false" customHeight="false" outlineLevel="0" collapsed="false">
      <c r="A56" s="1" t="n">
        <v>1896</v>
      </c>
      <c r="B56" s="126" t="n">
        <f aca="false">'Capital accounts'!D56</f>
        <v>33.5731642836427</v>
      </c>
      <c r="C56" s="75" t="n">
        <f aca="false">MAX(0,'Capital accounts'!I56)*$E$106/oil_book</f>
        <v>2.81992242405631</v>
      </c>
      <c r="D56" s="75" t="n">
        <f aca="false">B56+C56</f>
        <v>36.393086707699</v>
      </c>
      <c r="E56" s="126" t="n">
        <f aca="false">'Capital accounts'!X56</f>
        <v>14.0377916524663</v>
      </c>
      <c r="F56" s="75" t="n">
        <f aca="false">IF(A56=1901,MIN($E$98,B56),0)</f>
        <v>0</v>
      </c>
      <c r="G56" s="75" t="n">
        <f aca="false">MIN(MAX(0,D56-E56-F56),$E$97*(D56-F56))</f>
        <v>9.09827167692474</v>
      </c>
      <c r="H56" s="75" t="n">
        <f aca="false">IF(AND(A56&gt;=1880,A56&lt;=1899),$E$101,IF(AND(A56&gt;=1900,A56&lt;=1913),$E$102,IF(AND(A56&gt;=1919,A56&lt;=1929),$E$103,0)))</f>
        <v>40</v>
      </c>
      <c r="I56" s="75" t="n">
        <f aca="false">MIN(H56,MAX(0,D56-E56-F56-G56))</f>
        <v>13.2570233783079</v>
      </c>
      <c r="J56" s="75" t="n">
        <f aca="false">MAX(0,D56-E56-F56-G56-I56)</f>
        <v>0</v>
      </c>
      <c r="K56" s="75" t="n">
        <f aca="false">F56+G56+I56</f>
        <v>22.3552950552327</v>
      </c>
      <c r="L56" s="75" t="n">
        <f aca="false">L55*(1-$E$105)+I56</f>
        <v>106.208246385334</v>
      </c>
      <c r="M56" s="75" t="n">
        <f aca="false">M55+G56</f>
        <v>85.4888307622661</v>
      </c>
      <c r="N56" s="75" t="n">
        <f aca="false">N55*(1-$E$100)+F56</f>
        <v>0</v>
      </c>
      <c r="O56" s="127" t="n">
        <f aca="false">IF(Champions!AY56&gt;0,Champions!AZ56/Champions!AY56,0)</f>
        <v>0.0779151762902402</v>
      </c>
      <c r="P56" s="75" t="n">
        <f aca="false">L55*$E$104+N55*$E$99+M55*O56</f>
        <v>10.7432840330457</v>
      </c>
      <c r="Q56" s="75" t="n">
        <f aca="false">L55*$E$105</f>
        <v>2.87478009300081</v>
      </c>
      <c r="R56" s="75" t="n">
        <f aca="false">N55*$E$100</f>
        <v>0</v>
      </c>
      <c r="S56" s="75" t="n">
        <f aca="false">D56-E56-F56-G56-I56-J56</f>
        <v>0</v>
      </c>
    </row>
    <row r="57" customFormat="false" ht="13.8" hidden="false" customHeight="false" outlineLevel="0" collapsed="false">
      <c r="A57" s="1" t="n">
        <v>1897</v>
      </c>
      <c r="B57" s="126" t="n">
        <f aca="false">'Capital accounts'!D57</f>
        <v>34.5248305262745</v>
      </c>
      <c r="C57" s="75" t="n">
        <f aca="false">MAX(0,'Capital accounts'!I57)*$E$106/oil_book</f>
        <v>2.8254641927052</v>
      </c>
      <c r="D57" s="75" t="n">
        <f aca="false">B57+C57</f>
        <v>37.3502947189797</v>
      </c>
      <c r="E57" s="126" t="n">
        <f aca="false">'Capital accounts'!X57</f>
        <v>15.5998076932923</v>
      </c>
      <c r="F57" s="75" t="n">
        <f aca="false">IF(A57=1901,MIN($E$98,B57),0)</f>
        <v>0</v>
      </c>
      <c r="G57" s="75" t="n">
        <f aca="false">MIN(MAX(0,D57-E57-F57),$E$97*(D57-F57))</f>
        <v>9.33757367974493</v>
      </c>
      <c r="H57" s="75" t="n">
        <f aca="false">IF(AND(A57&gt;=1880,A57&lt;=1899),$E$101,IF(AND(A57&gt;=1900,A57&lt;=1913),$E$102,IF(AND(A57&gt;=1919,A57&lt;=1929),$E$103,0)))</f>
        <v>40</v>
      </c>
      <c r="I57" s="75" t="n">
        <f aca="false">MIN(H57,MAX(0,D57-E57-F57-G57))</f>
        <v>12.4129133459425</v>
      </c>
      <c r="J57" s="75" t="n">
        <f aca="false">MAX(0,D57-E57-F57-G57-I57)</f>
        <v>0</v>
      </c>
      <c r="K57" s="75" t="n">
        <f aca="false">F57+G57+I57</f>
        <v>21.7504870256874</v>
      </c>
      <c r="L57" s="75" t="n">
        <f aca="false">L56*(1-$E$105)+I57</f>
        <v>115.434912339716</v>
      </c>
      <c r="M57" s="75" t="n">
        <f aca="false">M56+G57</f>
        <v>94.8264044420111</v>
      </c>
      <c r="N57" s="75" t="n">
        <f aca="false">N56*(1-$E$100)+F57</f>
        <v>0</v>
      </c>
      <c r="O57" s="127" t="n">
        <f aca="false">IF(Champions!AY57&gt;0,Champions!AZ57/Champions!AY57,0)</f>
        <v>0.0778839982729851</v>
      </c>
      <c r="P57" s="75" t="n">
        <f aca="false">L56*$E$104+N56*$E$99+M56*O57</f>
        <v>11.9686242667146</v>
      </c>
      <c r="Q57" s="75" t="n">
        <f aca="false">L56*$E$105</f>
        <v>3.18624739156002</v>
      </c>
      <c r="R57" s="75" t="n">
        <f aca="false">N56*$E$100</f>
        <v>0</v>
      </c>
      <c r="S57" s="75" t="n">
        <f aca="false">D57-E57-F57-G57-I57-J57</f>
        <v>0</v>
      </c>
    </row>
    <row r="58" customFormat="false" ht="13.8" hidden="false" customHeight="false" outlineLevel="0" collapsed="false">
      <c r="A58" s="1" t="n">
        <v>1898</v>
      </c>
      <c r="B58" s="126" t="n">
        <f aca="false">'Capital accounts'!D58</f>
        <v>36.3316924740997</v>
      </c>
      <c r="C58" s="75" t="n">
        <f aca="false">MAX(0,'Capital accounts'!I58)*$E$106/oil_book</f>
        <v>2.90722815250097</v>
      </c>
      <c r="D58" s="75" t="n">
        <f aca="false">B58+C58</f>
        <v>39.2389206266006</v>
      </c>
      <c r="E58" s="126" t="n">
        <f aca="false">'Capital accounts'!X58</f>
        <v>17.1198356217215</v>
      </c>
      <c r="F58" s="75" t="n">
        <f aca="false">IF(A58=1901,MIN($E$98,B58),0)</f>
        <v>0</v>
      </c>
      <c r="G58" s="75" t="n">
        <f aca="false">MIN(MAX(0,D58-E58-F58),$E$97*(D58-F58))</f>
        <v>9.80973015665016</v>
      </c>
      <c r="H58" s="75" t="n">
        <f aca="false">IF(AND(A58&gt;=1880,A58&lt;=1899),$E$101,IF(AND(A58&gt;=1900,A58&lt;=1913),$E$102,IF(AND(A58&gt;=1919,A58&lt;=1929),$E$103,0)))</f>
        <v>40</v>
      </c>
      <c r="I58" s="75" t="n">
        <f aca="false">MIN(H58,MAX(0,D58-E58-F58-G58))</f>
        <v>12.3093548482289</v>
      </c>
      <c r="J58" s="75" t="n">
        <f aca="false">MAX(0,D58-E58-F58-G58-I58)</f>
        <v>0</v>
      </c>
      <c r="K58" s="75" t="n">
        <f aca="false">F58+G58+I58</f>
        <v>22.1190850048791</v>
      </c>
      <c r="L58" s="75" t="n">
        <f aca="false">L57*(1-$E$105)+I58</f>
        <v>124.281219817754</v>
      </c>
      <c r="M58" s="75" t="n">
        <f aca="false">M57+G58</f>
        <v>104.636134598661</v>
      </c>
      <c r="N58" s="75" t="n">
        <f aca="false">N57*(1-$E$100)+F58</f>
        <v>0</v>
      </c>
      <c r="O58" s="127" t="n">
        <f aca="false">IF(Champions!AY58&gt;0,Champions!AZ58/Champions!AY58,0)</f>
        <v>0.0780931982168913</v>
      </c>
      <c r="P58" s="75" t="n">
        <f aca="false">L57*$E$104+N57*$E$99+M57*O58</f>
        <v>13.1770428152709</v>
      </c>
      <c r="Q58" s="75" t="n">
        <f aca="false">L57*$E$105</f>
        <v>3.4630473701915</v>
      </c>
      <c r="R58" s="75" t="n">
        <f aca="false">N57*$E$100</f>
        <v>0</v>
      </c>
      <c r="S58" s="75" t="n">
        <f aca="false">D58-E58-F58-G58-I58-J58</f>
        <v>0</v>
      </c>
    </row>
    <row r="59" customFormat="false" ht="13.8" hidden="false" customHeight="false" outlineLevel="0" collapsed="false">
      <c r="A59" s="1" t="n">
        <v>1899</v>
      </c>
      <c r="B59" s="126" t="n">
        <f aca="false">'Capital accounts'!D59</f>
        <v>35.8022207823224</v>
      </c>
      <c r="C59" s="75" t="n">
        <f aca="false">MAX(0,'Capital accounts'!I59)*$E$106/oil_book</f>
        <v>2.8726638562038</v>
      </c>
      <c r="D59" s="75" t="n">
        <f aca="false">B59+C59</f>
        <v>38.6748846385262</v>
      </c>
      <c r="E59" s="126" t="n">
        <f aca="false">'Capital accounts'!X59</f>
        <v>18.6675647446477</v>
      </c>
      <c r="F59" s="75" t="n">
        <f aca="false">IF(A59=1901,MIN($E$98,B59),0)</f>
        <v>0</v>
      </c>
      <c r="G59" s="75" t="n">
        <f aca="false">MIN(MAX(0,D59-E59-F59),$E$97*(D59-F59))</f>
        <v>9.66872115963156</v>
      </c>
      <c r="H59" s="75" t="n">
        <f aca="false">IF(AND(A59&gt;=1880,A59&lt;=1899),$E$101,IF(AND(A59&gt;=1900,A59&lt;=1913),$E$102,IF(AND(A59&gt;=1919,A59&lt;=1929),$E$103,0)))</f>
        <v>40</v>
      </c>
      <c r="I59" s="75" t="n">
        <f aca="false">MIN(H59,MAX(0,D59-E59-F59-G59))</f>
        <v>10.338598734247</v>
      </c>
      <c r="J59" s="75" t="n">
        <f aca="false">MAX(0,D59-E59-F59-G59-I59)</f>
        <v>0</v>
      </c>
      <c r="K59" s="75" t="n">
        <f aca="false">F59+G59+I59</f>
        <v>20.0073198938786</v>
      </c>
      <c r="L59" s="75" t="n">
        <f aca="false">L58*(1-$E$105)+I59</f>
        <v>130.891381957468</v>
      </c>
      <c r="M59" s="75" t="n">
        <f aca="false">M58+G59</f>
        <v>114.304855758293</v>
      </c>
      <c r="N59" s="75" t="n">
        <f aca="false">N58*(1-$E$100)+F59</f>
        <v>0</v>
      </c>
      <c r="O59" s="127" t="n">
        <f aca="false">IF(Champions!AY59&gt;0,Champions!AZ59/Champions!AY59,0)</f>
        <v>0.0781781511104055</v>
      </c>
      <c r="P59" s="75" t="n">
        <f aca="false">L58*$E$104+N58*$E$99+M58*O59</f>
        <v>14.3943205331506</v>
      </c>
      <c r="Q59" s="75" t="n">
        <f aca="false">L58*$E$105</f>
        <v>3.72843659453262</v>
      </c>
      <c r="R59" s="75" t="n">
        <f aca="false">N58*$E$100</f>
        <v>0</v>
      </c>
      <c r="S59" s="75" t="n">
        <f aca="false">D59-E59-F59-G59-I59-J59</f>
        <v>0</v>
      </c>
    </row>
    <row r="60" customFormat="false" ht="13.8" hidden="false" customHeight="false" outlineLevel="0" collapsed="false">
      <c r="A60" s="1" t="n">
        <v>1900</v>
      </c>
      <c r="B60" s="126" t="n">
        <f aca="false">'Capital accounts'!D60</f>
        <v>36.4378830448709</v>
      </c>
      <c r="C60" s="75" t="n">
        <f aca="false">MAX(0,'Capital accounts'!I60)*$E$106/oil_book</f>
        <v>2.96583738017923</v>
      </c>
      <c r="D60" s="75" t="n">
        <f aca="false">B60+C60</f>
        <v>39.4037204250502</v>
      </c>
      <c r="E60" s="126" t="n">
        <f aca="false">'Capital accounts'!X60</f>
        <v>20.438232883444</v>
      </c>
      <c r="F60" s="75" t="n">
        <f aca="false">IF(A60=1901,MIN($E$98,B60),0)</f>
        <v>0</v>
      </c>
      <c r="G60" s="75" t="n">
        <f aca="false">MIN(MAX(0,D60-E60-F60),$E$97*(D60-F60))</f>
        <v>9.85093010626254</v>
      </c>
      <c r="H60" s="75" t="n">
        <f aca="false">IF(AND(A60&gt;=1880,A60&lt;=1899),$E$101,IF(AND(A60&gt;=1900,A60&lt;=1913),$E$102,IF(AND(A60&gt;=1919,A60&lt;=1929),$E$103,0)))</f>
        <v>150</v>
      </c>
      <c r="I60" s="75" t="n">
        <f aca="false">MIN(H60,MAX(0,D60-E60-F60-G60))</f>
        <v>9.11455743534359</v>
      </c>
      <c r="J60" s="75" t="n">
        <f aca="false">MAX(0,D60-E60-F60-G60-I60)</f>
        <v>0</v>
      </c>
      <c r="K60" s="75" t="n">
        <f aca="false">F60+G60+I60</f>
        <v>18.9654875416061</v>
      </c>
      <c r="L60" s="75" t="n">
        <f aca="false">L59*(1-$E$105)+I60</f>
        <v>136.079197934088</v>
      </c>
      <c r="M60" s="75" t="n">
        <f aca="false">M59+G60</f>
        <v>124.155785864555</v>
      </c>
      <c r="N60" s="75" t="n">
        <f aca="false">N59*(1-$E$100)+F60</f>
        <v>0</v>
      </c>
      <c r="O60" s="127" t="n">
        <f aca="false">IF(Champions!AY60&gt;0,Champions!AZ60/Champions!AY60,0)</f>
        <v>0.0782206816868862</v>
      </c>
      <c r="P60" s="75" t="n">
        <f aca="false">L59*$E$104+N59*$E$99+M59*O60</f>
        <v>15.4855728354083</v>
      </c>
      <c r="Q60" s="75" t="n">
        <f aca="false">L59*$E$105</f>
        <v>3.92674145872405</v>
      </c>
      <c r="R60" s="75" t="n">
        <f aca="false">N59*$E$100</f>
        <v>0</v>
      </c>
      <c r="S60" s="75" t="n">
        <f aca="false">D60-E60-F60-G60-I60-J60</f>
        <v>0</v>
      </c>
    </row>
    <row r="61" customFormat="false" ht="13.8" hidden="false" customHeight="false" outlineLevel="0" collapsed="false">
      <c r="A61" s="1" t="n">
        <v>1901</v>
      </c>
      <c r="B61" s="126" t="n">
        <f aca="false">'Capital accounts'!D61</f>
        <v>678.257984542591</v>
      </c>
      <c r="C61" s="75" t="n">
        <f aca="false">MAX(0,'Capital accounts'!I61)*$E$106/oil_book</f>
        <v>10.558887056772</v>
      </c>
      <c r="D61" s="75" t="n">
        <f aca="false">B61+C61</f>
        <v>688.816871599363</v>
      </c>
      <c r="E61" s="126" t="n">
        <f aca="false">'Capital accounts'!X61</f>
        <v>32.956811153778</v>
      </c>
      <c r="F61" s="75" t="n">
        <f aca="false">IF(A61=1901,MIN($E$98,B61),0)</f>
        <v>480</v>
      </c>
      <c r="G61" s="75" t="n">
        <f aca="false">MIN(MAX(0,D61-E61-F61),$E$97*(D61-F61))</f>
        <v>52.2042178998407</v>
      </c>
      <c r="H61" s="75" t="n">
        <f aca="false">IF(AND(A61&gt;=1880,A61&lt;=1899),$E$101,IF(AND(A61&gt;=1900,A61&lt;=1913),$E$102,IF(AND(A61&gt;=1919,A61&lt;=1929),$E$103,0)))</f>
        <v>150</v>
      </c>
      <c r="I61" s="75" t="n">
        <f aca="false">MIN(H61,MAX(0,D61-E61-F61-G61))</f>
        <v>123.655842545744</v>
      </c>
      <c r="J61" s="75" t="n">
        <f aca="false">MAX(0,D61-E61-F61-G61-I61)</f>
        <v>0</v>
      </c>
      <c r="K61" s="75" t="n">
        <f aca="false">F61+G61+I61</f>
        <v>655.860060445585</v>
      </c>
      <c r="L61" s="75" t="n">
        <f aca="false">L60*(1-$E$105)+I61</f>
        <v>255.652664541809</v>
      </c>
      <c r="M61" s="75" t="n">
        <f aca="false">M60+G61</f>
        <v>176.360003764396</v>
      </c>
      <c r="N61" s="75" t="n">
        <f aca="false">N60*(1-$E$100)+F61</f>
        <v>480</v>
      </c>
      <c r="O61" s="127" t="n">
        <f aca="false">IF(Champions!AY61&gt;0,Champions!AZ61/Champions!AY61,0)</f>
        <v>0.069739434690083</v>
      </c>
      <c r="P61" s="75" t="n">
        <f aca="false">L60*$E$104+N60*$E$99+M60*O61</f>
        <v>15.4625142164015</v>
      </c>
      <c r="Q61" s="75" t="n">
        <f aca="false">L60*$E$105</f>
        <v>4.08237593802263</v>
      </c>
      <c r="R61" s="75" t="n">
        <f aca="false">N60*$E$100</f>
        <v>0</v>
      </c>
      <c r="S61" s="75" t="n">
        <f aca="false">D61-E61-F61-G61-I61-J61</f>
        <v>0</v>
      </c>
    </row>
    <row r="62" customFormat="false" ht="13.8" hidden="false" customHeight="false" outlineLevel="0" collapsed="false">
      <c r="A62" s="1" t="n">
        <v>1902</v>
      </c>
      <c r="B62" s="126" t="n">
        <f aca="false">'Capital accounts'!D62</f>
        <v>106.309843569996</v>
      </c>
      <c r="C62" s="75" t="n">
        <f aca="false">MAX(0,'Capital accounts'!I62)*$E$106/oil_book</f>
        <v>12.9212338837929</v>
      </c>
      <c r="D62" s="75" t="n">
        <f aca="false">B62+C62</f>
        <v>119.231077453789</v>
      </c>
      <c r="E62" s="126" t="n">
        <f aca="false">'Capital accounts'!X62</f>
        <v>37.1129018341058</v>
      </c>
      <c r="F62" s="75" t="n">
        <f aca="false">IF(A62=1901,MIN($E$98,B62),0)</f>
        <v>0</v>
      </c>
      <c r="G62" s="75" t="n">
        <f aca="false">MIN(MAX(0,D62-E62-F62),$E$97*(D62-F62))</f>
        <v>29.8077693634472</v>
      </c>
      <c r="H62" s="75" t="n">
        <f aca="false">IF(AND(A62&gt;=1880,A62&lt;=1899),$E$101,IF(AND(A62&gt;=1900,A62&lt;=1913),$E$102,IF(AND(A62&gt;=1919,A62&lt;=1929),$E$103,0)))</f>
        <v>150</v>
      </c>
      <c r="I62" s="75" t="n">
        <f aca="false">MIN(H62,MAX(0,D62-E62-F62-G62))</f>
        <v>52.3104062562359</v>
      </c>
      <c r="J62" s="75" t="n">
        <f aca="false">MAX(0,D62-E62-F62-G62-I62)</f>
        <v>0</v>
      </c>
      <c r="K62" s="75" t="n">
        <f aca="false">F62+G62+I62</f>
        <v>82.1181756196831</v>
      </c>
      <c r="L62" s="75" t="n">
        <f aca="false">L61*(1-$E$105)+I62</f>
        <v>300.293490861791</v>
      </c>
      <c r="M62" s="75" t="n">
        <f aca="false">M61+G62</f>
        <v>206.167773127843</v>
      </c>
      <c r="N62" s="75" t="n">
        <f aca="false">N61*(1-$E$100)+F62</f>
        <v>470.4</v>
      </c>
      <c r="O62" s="127" t="n">
        <f aca="false">IF(Champions!AY62&gt;0,Champions!AZ62/Champions!AY62,0)</f>
        <v>0.0708232358292523</v>
      </c>
      <c r="P62" s="75" t="n">
        <f aca="false">L61*$E$104+N61*$E$99+M61*O62</f>
        <v>51.6730193645441</v>
      </c>
      <c r="Q62" s="75" t="n">
        <f aca="false">L61*$E$105</f>
        <v>7.66957993625428</v>
      </c>
      <c r="R62" s="75" t="n">
        <f aca="false">N61*$E$100</f>
        <v>9.6</v>
      </c>
      <c r="S62" s="75" t="n">
        <f aca="false">D62-E62-F62-G62-I62-J62</f>
        <v>0</v>
      </c>
    </row>
    <row r="63" customFormat="false" ht="13.8" hidden="false" customHeight="false" outlineLevel="0" collapsed="false">
      <c r="A63" s="1" t="n">
        <v>1903</v>
      </c>
      <c r="B63" s="126" t="n">
        <f aca="false">'Capital accounts'!D63</f>
        <v>107.785524841724</v>
      </c>
      <c r="C63" s="75" t="n">
        <f aca="false">MAX(0,'Capital accounts'!I63)*$E$106/oil_book</f>
        <v>16.6438206316758</v>
      </c>
      <c r="D63" s="75" t="n">
        <f aca="false">B63+C63</f>
        <v>124.429345473399</v>
      </c>
      <c r="E63" s="126" t="n">
        <f aca="false">'Capital accounts'!X63</f>
        <v>41.5539059457887</v>
      </c>
      <c r="F63" s="75" t="n">
        <f aca="false">IF(A63=1901,MIN($E$98,B63),0)</f>
        <v>0</v>
      </c>
      <c r="G63" s="75" t="n">
        <f aca="false">MIN(MAX(0,D63-E63-F63),$E$97*(D63-F63))</f>
        <v>31.1073363683499</v>
      </c>
      <c r="H63" s="75" t="n">
        <f aca="false">IF(AND(A63&gt;=1880,A63&lt;=1899),$E$101,IF(AND(A63&gt;=1900,A63&lt;=1913),$E$102,IF(AND(A63&gt;=1919,A63&lt;=1929),$E$103,0)))</f>
        <v>150</v>
      </c>
      <c r="I63" s="75" t="n">
        <f aca="false">MIN(H63,MAX(0,D63-E63-F63-G63))</f>
        <v>51.7681031592608</v>
      </c>
      <c r="J63" s="75" t="n">
        <f aca="false">MAX(0,D63-E63-F63-G63-I63)</f>
        <v>0</v>
      </c>
      <c r="K63" s="75" t="n">
        <f aca="false">F63+G63+I63</f>
        <v>82.8754395276107</v>
      </c>
      <c r="L63" s="75" t="n">
        <f aca="false">L62*(1-$E$105)+I63</f>
        <v>343.052789295198</v>
      </c>
      <c r="M63" s="75" t="n">
        <f aca="false">M62+G63</f>
        <v>237.275109496193</v>
      </c>
      <c r="N63" s="75" t="n">
        <f aca="false">N62*(1-$E$100)+F63</f>
        <v>460.992</v>
      </c>
      <c r="O63" s="127" t="n">
        <f aca="false">IF(Champions!AY63&gt;0,Champions!AZ63/Champions!AY63,0)</f>
        <v>0.0720352285018076</v>
      </c>
      <c r="P63" s="75" t="n">
        <f aca="false">L62*$E$104+N62*$E$99+M62*O63</f>
        <v>55.7380171900626</v>
      </c>
      <c r="Q63" s="75" t="n">
        <f aca="false">L62*$E$105</f>
        <v>9.00880472585373</v>
      </c>
      <c r="R63" s="75" t="n">
        <f aca="false">N62*$E$100</f>
        <v>9.408</v>
      </c>
      <c r="S63" s="75" t="n">
        <f aca="false">D63-E63-F63-G63-I63-J63</f>
        <v>0</v>
      </c>
    </row>
    <row r="64" customFormat="false" ht="13.8" hidden="false" customHeight="false" outlineLevel="0" collapsed="false">
      <c r="A64" s="1" t="n">
        <v>1904</v>
      </c>
      <c r="B64" s="126" t="n">
        <f aca="false">'Capital accounts'!D64</f>
        <v>104.699969819433</v>
      </c>
      <c r="C64" s="75" t="n">
        <f aca="false">MAX(0,'Capital accounts'!I64)*$E$106/oil_book</f>
        <v>22.7146455808668</v>
      </c>
      <c r="D64" s="75" t="n">
        <f aca="false">B64+C64</f>
        <v>127.414615400299</v>
      </c>
      <c r="E64" s="126" t="n">
        <f aca="false">'Capital accounts'!X64</f>
        <v>46.4372960929116</v>
      </c>
      <c r="F64" s="75" t="n">
        <f aca="false">IF(A64=1901,MIN($E$98,B64),0)</f>
        <v>0</v>
      </c>
      <c r="G64" s="75" t="n">
        <f aca="false">MIN(MAX(0,D64-E64-F64),$E$97*(D64-F64))</f>
        <v>31.8536538500749</v>
      </c>
      <c r="H64" s="75" t="n">
        <f aca="false">IF(AND(A64&gt;=1880,A64&lt;=1899),$E$101,IF(AND(A64&gt;=1900,A64&lt;=1913),$E$102,IF(AND(A64&gt;=1919,A64&lt;=1929),$E$103,0)))</f>
        <v>150</v>
      </c>
      <c r="I64" s="75" t="n">
        <f aca="false">MIN(H64,MAX(0,D64-E64-F64-G64))</f>
        <v>49.123665457313</v>
      </c>
      <c r="J64" s="75" t="n">
        <f aca="false">MAX(0,D64-E64-F64-G64-I64)</f>
        <v>0</v>
      </c>
      <c r="K64" s="75" t="n">
        <f aca="false">F64+G64+I64</f>
        <v>80.9773193073879</v>
      </c>
      <c r="L64" s="75" t="n">
        <f aca="false">L63*(1-$E$105)+I64</f>
        <v>381.884871073655</v>
      </c>
      <c r="M64" s="75" t="n">
        <f aca="false">M63+G64</f>
        <v>269.128763346268</v>
      </c>
      <c r="N64" s="75" t="n">
        <f aca="false">N63*(1-$E$100)+F64</f>
        <v>451.77216</v>
      </c>
      <c r="O64" s="127" t="n">
        <f aca="false">IF(Champions!AY64&gt;0,Champions!AZ64/Champions!AY64,0)</f>
        <v>0.073430387151527</v>
      </c>
      <c r="P64" s="75" t="n">
        <f aca="false">L63*$E$104+N63*$E$99+M63*O64</f>
        <v>59.9304026164863</v>
      </c>
      <c r="Q64" s="75" t="n">
        <f aca="false">L63*$E$105</f>
        <v>10.2915836788559</v>
      </c>
      <c r="R64" s="75" t="n">
        <f aca="false">N63*$E$100</f>
        <v>9.21984</v>
      </c>
      <c r="S64" s="75" t="n">
        <f aca="false">D64-E64-F64-G64-I64-J64</f>
        <v>0</v>
      </c>
    </row>
    <row r="65" customFormat="false" ht="13.8" hidden="false" customHeight="false" outlineLevel="0" collapsed="false">
      <c r="A65" s="1" t="n">
        <v>1905</v>
      </c>
      <c r="B65" s="126" t="n">
        <f aca="false">'Capital accounts'!D65</f>
        <v>100.007234685374</v>
      </c>
      <c r="C65" s="75" t="n">
        <f aca="false">MAX(0,'Capital accounts'!I65)*$E$106/oil_book</f>
        <v>27.1385146905614</v>
      </c>
      <c r="D65" s="75" t="n">
        <f aca="false">B65+C65</f>
        <v>127.145749375935</v>
      </c>
      <c r="E65" s="126" t="n">
        <f aca="false">'Capital accounts'!X65</f>
        <v>51.3025593398939</v>
      </c>
      <c r="F65" s="75" t="n">
        <f aca="false">IF(A65=1901,MIN($E$98,B65),0)</f>
        <v>0</v>
      </c>
      <c r="G65" s="75" t="n">
        <f aca="false">MIN(MAX(0,D65-E65-F65),$E$97*(D65-F65))</f>
        <v>31.7864373439838</v>
      </c>
      <c r="H65" s="75" t="n">
        <f aca="false">IF(AND(A65&gt;=1880,A65&lt;=1899),$E$101,IF(AND(A65&gt;=1900,A65&lt;=1913),$E$102,IF(AND(A65&gt;=1919,A65&lt;=1929),$E$103,0)))</f>
        <v>150</v>
      </c>
      <c r="I65" s="75" t="n">
        <f aca="false">MIN(H65,MAX(0,D65-E65-F65-G65))</f>
        <v>44.0567526920576</v>
      </c>
      <c r="J65" s="75" t="n">
        <f aca="false">MAX(0,D65-E65-F65-G65-I65)</f>
        <v>0</v>
      </c>
      <c r="K65" s="75" t="n">
        <f aca="false">F65+G65+I65</f>
        <v>75.8431900360414</v>
      </c>
      <c r="L65" s="75" t="n">
        <f aca="false">L64*(1-$E$105)+I65</f>
        <v>414.485077633503</v>
      </c>
      <c r="M65" s="75" t="n">
        <f aca="false">M64+G65</f>
        <v>300.915200690252</v>
      </c>
      <c r="N65" s="75" t="n">
        <f aca="false">N64*(1-$E$100)+F65</f>
        <v>442.7367168</v>
      </c>
      <c r="O65" s="127" t="n">
        <f aca="false">IF(Champions!AY65&gt;0,Champions!AZ65/Champions!AY65,0)</f>
        <v>0.0748932801954566</v>
      </c>
      <c r="P65" s="75" t="n">
        <f aca="false">L64*$E$104+N64*$E$99+M64*O65</f>
        <v>64.0976482356315</v>
      </c>
      <c r="Q65" s="75" t="n">
        <f aca="false">L64*$E$105</f>
        <v>11.4565461322097</v>
      </c>
      <c r="R65" s="75" t="n">
        <f aca="false">N64*$E$100</f>
        <v>9.0354432</v>
      </c>
      <c r="S65" s="75" t="n">
        <f aca="false">D65-E65-F65-G65-I65-J65</f>
        <v>0</v>
      </c>
    </row>
    <row r="66" customFormat="false" ht="13.8" hidden="false" customHeight="false" outlineLevel="0" collapsed="false">
      <c r="A66" s="1" t="n">
        <v>1906</v>
      </c>
      <c r="B66" s="126" t="n">
        <f aca="false">'Capital accounts'!D66</f>
        <v>123.173638675743</v>
      </c>
      <c r="C66" s="75" t="n">
        <f aca="false">MAX(0,'Capital accounts'!I66)*$E$106/oil_book</f>
        <v>16.6150658993815</v>
      </c>
      <c r="D66" s="75" t="n">
        <f aca="false">B66+C66</f>
        <v>139.788704575124</v>
      </c>
      <c r="E66" s="126" t="n">
        <f aca="false">'Capital accounts'!X66</f>
        <v>55.7434999064335</v>
      </c>
      <c r="F66" s="75" t="n">
        <f aca="false">IF(A66=1901,MIN($E$98,B66),0)</f>
        <v>0</v>
      </c>
      <c r="G66" s="75" t="n">
        <f aca="false">MIN(MAX(0,D66-E66-F66),$E$97*(D66-F66))</f>
        <v>34.9471761437811</v>
      </c>
      <c r="H66" s="75" t="n">
        <f aca="false">IF(AND(A66&gt;=1880,A66&lt;=1899),$E$101,IF(AND(A66&gt;=1900,A66&lt;=1913),$E$102,IF(AND(A66&gt;=1919,A66&lt;=1929),$E$103,0)))</f>
        <v>150</v>
      </c>
      <c r="I66" s="75" t="n">
        <f aca="false">MIN(H66,MAX(0,D66-E66-F66-G66))</f>
        <v>49.0980285249096</v>
      </c>
      <c r="J66" s="75" t="n">
        <f aca="false">MAX(0,D66-E66-F66-G66-I66)</f>
        <v>0</v>
      </c>
      <c r="K66" s="75" t="n">
        <f aca="false">F66+G66+I66</f>
        <v>84.0452046686907</v>
      </c>
      <c r="L66" s="75" t="n">
        <f aca="false">L65*(1-$E$105)+I66</f>
        <v>451.148553829408</v>
      </c>
      <c r="M66" s="75" t="n">
        <f aca="false">M65+G66</f>
        <v>335.862376834033</v>
      </c>
      <c r="N66" s="75" t="n">
        <f aca="false">N65*(1-$E$100)+F66</f>
        <v>433.881982464</v>
      </c>
      <c r="O66" s="127" t="n">
        <f aca="false">IF(Champions!AY66&gt;0,Champions!AZ66/Champions!AY66,0)</f>
        <v>0.0752199482840702</v>
      </c>
      <c r="P66" s="75" t="n">
        <f aca="false">L65*$E$104+N65*$E$99+M65*O66</f>
        <v>67.7095991394865</v>
      </c>
      <c r="Q66" s="75" t="n">
        <f aca="false">L65*$E$105</f>
        <v>12.4345523290051</v>
      </c>
      <c r="R66" s="75" t="n">
        <f aca="false">N65*$E$100</f>
        <v>8.854734336</v>
      </c>
      <c r="S66" s="75" t="n">
        <f aca="false">D66-E66-F66-G66-I66-J66</f>
        <v>0</v>
      </c>
    </row>
    <row r="67" customFormat="false" ht="13.8" hidden="false" customHeight="false" outlineLevel="0" collapsed="false">
      <c r="A67" s="1" t="n">
        <v>1907</v>
      </c>
      <c r="B67" s="126" t="n">
        <f aca="false">'Capital accounts'!D67</f>
        <v>122.43949431392</v>
      </c>
      <c r="C67" s="75" t="n">
        <f aca="false">MAX(0,'Capital accounts'!I67)*$E$106/oil_book</f>
        <v>21.5952051881411</v>
      </c>
      <c r="D67" s="75" t="n">
        <f aca="false">B67+C67</f>
        <v>144.034699502061</v>
      </c>
      <c r="E67" s="126" t="n">
        <f aca="false">'Capital accounts'!X67</f>
        <v>60.8351036142401</v>
      </c>
      <c r="F67" s="75" t="n">
        <f aca="false">IF(A67=1901,MIN($E$98,B67),0)</f>
        <v>0</v>
      </c>
      <c r="G67" s="75" t="n">
        <f aca="false">MIN(MAX(0,D67-E67-F67),$E$97*(D67-F67))</f>
        <v>36.0086748755152</v>
      </c>
      <c r="H67" s="75" t="n">
        <f aca="false">IF(AND(A67&gt;=1880,A67&lt;=1899),$E$101,IF(AND(A67&gt;=1900,A67&lt;=1913),$E$102,IF(AND(A67&gt;=1919,A67&lt;=1929),$E$103,0)))</f>
        <v>150</v>
      </c>
      <c r="I67" s="75" t="n">
        <f aca="false">MIN(H67,MAX(0,D67-E67-F67-G67))</f>
        <v>47.1909210123054</v>
      </c>
      <c r="J67" s="75" t="n">
        <f aca="false">MAX(0,D67-E67-F67-G67-I67)</f>
        <v>0</v>
      </c>
      <c r="K67" s="75" t="n">
        <f aca="false">F67+G67+I67</f>
        <v>83.1995958878206</v>
      </c>
      <c r="L67" s="75" t="n">
        <f aca="false">L66*(1-$E$105)+I67</f>
        <v>484.805018226831</v>
      </c>
      <c r="M67" s="75" t="n">
        <f aca="false">M66+G67</f>
        <v>371.871051709548</v>
      </c>
      <c r="N67" s="75" t="n">
        <f aca="false">N66*(1-$E$100)+F67</f>
        <v>425.20434281472</v>
      </c>
      <c r="O67" s="127" t="n">
        <f aca="false">IF(Champions!AY67&gt;0,Champions!AZ67/Champions!AY67,0)</f>
        <v>0.0757373358011415</v>
      </c>
      <c r="P67" s="75" t="n">
        <f aca="false">L66*$E$104+N66*$E$99+M66*O67</f>
        <v>71.8582583442391</v>
      </c>
      <c r="Q67" s="75" t="n">
        <f aca="false">L66*$E$105</f>
        <v>13.5344566148822</v>
      </c>
      <c r="R67" s="75" t="n">
        <f aca="false">N66*$E$100</f>
        <v>8.67763964928</v>
      </c>
      <c r="S67" s="75" t="n">
        <f aca="false">D67-E67-F67-G67-I67-J67</f>
        <v>0</v>
      </c>
    </row>
    <row r="68" customFormat="false" ht="13.8" hidden="false" customHeight="false" outlineLevel="0" collapsed="false">
      <c r="A68" s="1" t="n">
        <v>1908</v>
      </c>
      <c r="B68" s="126" t="n">
        <f aca="false">'Capital accounts'!D68</f>
        <v>124.288045783248</v>
      </c>
      <c r="C68" s="75" t="n">
        <f aca="false">MAX(0,'Capital accounts'!I68)*$E$106/oil_book</f>
        <v>18.0684496301898</v>
      </c>
      <c r="D68" s="75" t="n">
        <f aca="false">B68+C68</f>
        <v>142.356495413438</v>
      </c>
      <c r="E68" s="126" t="n">
        <f aca="false">'Capital accounts'!X68</f>
        <v>65.7481285434488</v>
      </c>
      <c r="F68" s="75" t="n">
        <f aca="false">IF(A68=1901,MIN($E$98,B68),0)</f>
        <v>0</v>
      </c>
      <c r="G68" s="75" t="n">
        <f aca="false">MIN(MAX(0,D68-E68-F68),$E$97*(D68-F68))</f>
        <v>35.5891238533594</v>
      </c>
      <c r="H68" s="75" t="n">
        <f aca="false">IF(AND(A68&gt;=1880,A68&lt;=1899),$E$101,IF(AND(A68&gt;=1900,A68&lt;=1913),$E$102,IF(AND(A68&gt;=1919,A68&lt;=1929),$E$103,0)))</f>
        <v>150</v>
      </c>
      <c r="I68" s="75" t="n">
        <f aca="false">MIN(H68,MAX(0,D68-E68-F68-G68))</f>
        <v>41.0192430166294</v>
      </c>
      <c r="J68" s="75" t="n">
        <f aca="false">MAX(0,D68-E68-F68-G68-I68)</f>
        <v>0</v>
      </c>
      <c r="K68" s="75" t="n">
        <f aca="false">F68+G68+I68</f>
        <v>76.6083668699888</v>
      </c>
      <c r="L68" s="75" t="n">
        <f aca="false">L67*(1-$E$105)+I68</f>
        <v>511.280110696655</v>
      </c>
      <c r="M68" s="75" t="n">
        <f aca="false">M67+G68</f>
        <v>407.460175562907</v>
      </c>
      <c r="N68" s="75" t="n">
        <f aca="false">N67*(1-$E$100)+F68</f>
        <v>416.700255958426</v>
      </c>
      <c r="O68" s="127" t="n">
        <f aca="false">IF(Champions!AY68&gt;0,Champions!AZ68/Champions!AY68,0)</f>
        <v>0.0759972621460064</v>
      </c>
      <c r="P68" s="75" t="n">
        <f aca="false">L67*$E$104+N67*$E$99+M67*O68</f>
        <v>75.8876715674328</v>
      </c>
      <c r="Q68" s="75" t="n">
        <f aca="false">L67*$E$105</f>
        <v>14.5441505468049</v>
      </c>
      <c r="R68" s="75" t="n">
        <f aca="false">N67*$E$100</f>
        <v>8.5040868562944</v>
      </c>
      <c r="S68" s="75" t="n">
        <f aca="false">D68-E68-F68-G68-I68-J68</f>
        <v>0</v>
      </c>
    </row>
    <row r="69" customFormat="false" ht="13.8" hidden="false" customHeight="false" outlineLevel="0" collapsed="false">
      <c r="A69" s="1" t="n">
        <v>1909</v>
      </c>
      <c r="B69" s="126" t="n">
        <f aca="false">'Capital accounts'!D69</f>
        <v>118.59415424665</v>
      </c>
      <c r="C69" s="75" t="n">
        <f aca="false">MAX(0,'Capital accounts'!I69)*$E$106/oil_book</f>
        <v>20.1914751462977</v>
      </c>
      <c r="D69" s="75" t="n">
        <f aca="false">B69+C69</f>
        <v>138.785629392947</v>
      </c>
      <c r="E69" s="126" t="n">
        <f aca="false">'Capital accounts'!X69</f>
        <v>70.6174234758981</v>
      </c>
      <c r="F69" s="75" t="n">
        <f aca="false">IF(A69=1901,MIN($E$98,B69),0)</f>
        <v>0</v>
      </c>
      <c r="G69" s="75" t="n">
        <f aca="false">MIN(MAX(0,D69-E69-F69),$E$97*(D69-F69))</f>
        <v>34.6964073482368</v>
      </c>
      <c r="H69" s="75" t="n">
        <f aca="false">IF(AND(A69&gt;=1880,A69&lt;=1899),$E$101,IF(AND(A69&gt;=1900,A69&lt;=1913),$E$102,IF(AND(A69&gt;=1919,A69&lt;=1929),$E$103,0)))</f>
        <v>150</v>
      </c>
      <c r="I69" s="75" t="n">
        <f aca="false">MIN(H69,MAX(0,D69-E69-F69-G69))</f>
        <v>33.4717985688125</v>
      </c>
      <c r="J69" s="75" t="n">
        <f aca="false">MAX(0,D69-E69-F69-G69-I69)</f>
        <v>0</v>
      </c>
      <c r="K69" s="75" t="n">
        <f aca="false">F69+G69+I69</f>
        <v>68.1682059170493</v>
      </c>
      <c r="L69" s="75" t="n">
        <f aca="false">L68*(1-$E$105)+I69</f>
        <v>529.413505944568</v>
      </c>
      <c r="M69" s="75" t="n">
        <f aca="false">M68+G69</f>
        <v>442.156582911144</v>
      </c>
      <c r="N69" s="75" t="n">
        <f aca="false">N68*(1-$E$100)+F69</f>
        <v>408.366250839257</v>
      </c>
      <c r="O69" s="127" t="n">
        <f aca="false">IF(Champions!AY69&gt;0,Champions!AZ69/Champions!AY69,0)</f>
        <v>0.076325173883795</v>
      </c>
      <c r="P69" s="75" t="n">
        <f aca="false">L68*$E$104+N68*$E$99+M68*O69</f>
        <v>79.5819883631067</v>
      </c>
      <c r="Q69" s="75" t="n">
        <f aca="false">L68*$E$105</f>
        <v>15.3384033208997</v>
      </c>
      <c r="R69" s="75" t="n">
        <f aca="false">N68*$E$100</f>
        <v>8.33400511916851</v>
      </c>
      <c r="S69" s="75" t="n">
        <f aca="false">D69-E69-F69-G69-I69-J69</f>
        <v>0</v>
      </c>
    </row>
    <row r="70" customFormat="false" ht="13.8" hidden="false" customHeight="false" outlineLevel="0" collapsed="false">
      <c r="A70" s="1" t="n">
        <v>1910</v>
      </c>
      <c r="B70" s="126" t="n">
        <f aca="false">'Capital accounts'!D70</f>
        <v>122.078950350749</v>
      </c>
      <c r="C70" s="75" t="n">
        <f aca="false">MAX(0,'Capital accounts'!I70)*$E$106/oil_book</f>
        <v>17.2337917561699</v>
      </c>
      <c r="D70" s="75" t="n">
        <f aca="false">B70+C70</f>
        <v>139.312742106918</v>
      </c>
      <c r="E70" s="126" t="n">
        <f aca="false">'Capital accounts'!X70</f>
        <v>75.9977034904751</v>
      </c>
      <c r="F70" s="75" t="n">
        <f aca="false">IF(A70=1901,MIN($E$98,B70),0)</f>
        <v>0</v>
      </c>
      <c r="G70" s="75" t="n">
        <f aca="false">MIN(MAX(0,D70-E70-F70),$E$97*(D70-F70))</f>
        <v>34.8281855267296</v>
      </c>
      <c r="H70" s="75" t="n">
        <f aca="false">IF(AND(A70&gt;=1880,A70&lt;=1899),$E$101,IF(AND(A70&gt;=1900,A70&lt;=1913),$E$102,IF(AND(A70&gt;=1919,A70&lt;=1929),$E$103,0)))</f>
        <v>150</v>
      </c>
      <c r="I70" s="75" t="n">
        <f aca="false">MIN(H70,MAX(0,D70-E70-F70-G70))</f>
        <v>28.4868530897138</v>
      </c>
      <c r="J70" s="75" t="n">
        <f aca="false">MAX(0,D70-E70-F70-G70-I70)</f>
        <v>0</v>
      </c>
      <c r="K70" s="75" t="n">
        <f aca="false">F70+G70+I70</f>
        <v>63.3150386164434</v>
      </c>
      <c r="L70" s="75" t="n">
        <f aca="false">L69*(1-$E$105)+I70</f>
        <v>542.017953855945</v>
      </c>
      <c r="M70" s="75" t="n">
        <f aca="false">M69+G70</f>
        <v>476.984768437874</v>
      </c>
      <c r="N70" s="75" t="n">
        <f aca="false">N69*(1-$E$100)+F70</f>
        <v>400.198925822472</v>
      </c>
      <c r="O70" s="127" t="n">
        <f aca="false">IF(Champions!AY70&gt;0,Champions!AZ70/Champions!AY70,0)</f>
        <v>0.0765193367928895</v>
      </c>
      <c r="P70" s="75" t="n">
        <f aca="false">L69*$E$104+N69*$E$99+M69*O70</f>
        <v>82.7643475763586</v>
      </c>
      <c r="Q70" s="75" t="n">
        <f aca="false">L69*$E$105</f>
        <v>15.882405178337</v>
      </c>
      <c r="R70" s="75" t="n">
        <f aca="false">N69*$E$100</f>
        <v>8.16732501678514</v>
      </c>
      <c r="S70" s="75" t="n">
        <f aca="false">D70-E70-F70-G70-I70-J70</f>
        <v>0</v>
      </c>
    </row>
    <row r="71" customFormat="false" ht="13.8" hidden="false" customHeight="false" outlineLevel="0" collapsed="false">
      <c r="A71" s="1" t="n">
        <v>1911</v>
      </c>
      <c r="B71" s="126" t="n">
        <f aca="false">'Capital accounts'!D71</f>
        <v>140.669134114841</v>
      </c>
      <c r="C71" s="75" t="n">
        <f aca="false">MAX(0,'Capital accounts'!I71)*$E$106/oil_book</f>
        <v>20.6739080895401</v>
      </c>
      <c r="D71" s="75" t="n">
        <f aca="false">B71+C71</f>
        <v>161.343042204381</v>
      </c>
      <c r="E71" s="126" t="n">
        <f aca="false">'Capital accounts'!X71</f>
        <v>82.0904598914133</v>
      </c>
      <c r="F71" s="75" t="n">
        <f aca="false">IF(A71=1901,MIN($E$98,B71),0)</f>
        <v>0</v>
      </c>
      <c r="G71" s="75" t="n">
        <f aca="false">MIN(MAX(0,D71-E71-F71),$E$97*(D71-F71))</f>
        <v>40.3357605510952</v>
      </c>
      <c r="H71" s="75" t="n">
        <f aca="false">IF(AND(A71&gt;=1880,A71&lt;=1899),$E$101,IF(AND(A71&gt;=1900,A71&lt;=1913),$E$102,IF(AND(A71&gt;=1919,A71&lt;=1929),$E$103,0)))</f>
        <v>150</v>
      </c>
      <c r="I71" s="75" t="n">
        <f aca="false">MIN(H71,MAX(0,D71-E71-F71-G71))</f>
        <v>38.9168217618723</v>
      </c>
      <c r="J71" s="75" t="n">
        <f aca="false">MAX(0,D71-E71-F71-G71-I71)</f>
        <v>0</v>
      </c>
      <c r="K71" s="75" t="n">
        <f aca="false">F71+G71+I71</f>
        <v>79.2525823129675</v>
      </c>
      <c r="L71" s="75" t="n">
        <f aca="false">L70*(1-$E$105)+I71</f>
        <v>564.674237002139</v>
      </c>
      <c r="M71" s="75" t="n">
        <f aca="false">M70+G71</f>
        <v>517.320528988969</v>
      </c>
      <c r="N71" s="75" t="n">
        <f aca="false">N70*(1-$E$100)+F71</f>
        <v>392.194947306022</v>
      </c>
      <c r="O71" s="127" t="n">
        <f aca="false">IF(Champions!AY71&gt;0,Champions!AZ71/Champions!AY71,0)</f>
        <v>0.0769170695972318</v>
      </c>
      <c r="P71" s="75" t="n">
        <f aca="false">L70*$E$104+N70*$E$99+M70*O71</f>
        <v>85.8001092437886</v>
      </c>
      <c r="Q71" s="75" t="n">
        <f aca="false">L70*$E$105</f>
        <v>16.2605386156783</v>
      </c>
      <c r="R71" s="75" t="n">
        <f aca="false">N70*$E$100</f>
        <v>8.00397851644944</v>
      </c>
      <c r="S71" s="75" t="n">
        <f aca="false">D71-E71-F71-G71-I71-J71</f>
        <v>0</v>
      </c>
    </row>
    <row r="72" customFormat="false" ht="13.8" hidden="false" customHeight="false" outlineLevel="0" collapsed="false">
      <c r="A72" s="1" t="n">
        <v>1912</v>
      </c>
      <c r="B72" s="126" t="n">
        <f aca="false">'Capital accounts'!D72</f>
        <v>141.260638774345</v>
      </c>
      <c r="C72" s="75" t="n">
        <f aca="false">MAX(0,'Capital accounts'!I72)*$E$106/oil_book</f>
        <v>17.9167773681582</v>
      </c>
      <c r="D72" s="75" t="n">
        <f aca="false">B72+C72</f>
        <v>159.177416142504</v>
      </c>
      <c r="E72" s="126" t="n">
        <f aca="false">'Capital accounts'!X72</f>
        <v>89.4029342056502</v>
      </c>
      <c r="F72" s="75" t="n">
        <f aca="false">IF(A72=1901,MIN($E$98,B72),0)</f>
        <v>0</v>
      </c>
      <c r="G72" s="75" t="n">
        <f aca="false">MIN(MAX(0,D72-E72-F72),$E$97*(D72-F72))</f>
        <v>39.7943540356259</v>
      </c>
      <c r="H72" s="75" t="n">
        <f aca="false">IF(AND(A72&gt;=1880,A72&lt;=1899),$E$101,IF(AND(A72&gt;=1900,A72&lt;=1913),$E$102,IF(AND(A72&gt;=1919,A72&lt;=1929),$E$103,0)))</f>
        <v>150</v>
      </c>
      <c r="I72" s="75" t="n">
        <f aca="false">MIN(H72,MAX(0,D72-E72-F72-G72))</f>
        <v>29.9801279012274</v>
      </c>
      <c r="J72" s="75" t="n">
        <f aca="false">MAX(0,D72-E72-F72-G72-I72)</f>
        <v>0</v>
      </c>
      <c r="K72" s="75" t="n">
        <f aca="false">F72+G72+I72</f>
        <v>69.7744819368533</v>
      </c>
      <c r="L72" s="75" t="n">
        <f aca="false">L71*(1-$E$105)+I72</f>
        <v>577.714137793302</v>
      </c>
      <c r="M72" s="75" t="n">
        <f aca="false">M71+G72</f>
        <v>557.114883024595</v>
      </c>
      <c r="N72" s="75" t="n">
        <f aca="false">N71*(1-$E$100)+F72</f>
        <v>384.351048359902</v>
      </c>
      <c r="O72" s="127" t="n">
        <f aca="false">IF(Champions!AY72&gt;0,Champions!AZ72/Champions!AY72,0)</f>
        <v>0.0772019159679887</v>
      </c>
      <c r="P72" s="75" t="n">
        <f aca="false">L71*$E$104+N71*$E$99+M71*O72</f>
        <v>89.74256995946</v>
      </c>
      <c r="Q72" s="75" t="n">
        <f aca="false">L71*$E$105</f>
        <v>16.9402271100642</v>
      </c>
      <c r="R72" s="75" t="n">
        <f aca="false">N71*$E$100</f>
        <v>7.84389894612045</v>
      </c>
      <c r="S72" s="75" t="n">
        <f aca="false">D72-E72-F72-G72-I72-J72</f>
        <v>0</v>
      </c>
    </row>
    <row r="73" customFormat="false" ht="13.8" hidden="false" customHeight="false" outlineLevel="0" collapsed="false">
      <c r="A73" s="1" t="n">
        <v>1913</v>
      </c>
      <c r="B73" s="126" t="n">
        <f aca="false">'Capital accounts'!D73</f>
        <v>142.043530443547</v>
      </c>
      <c r="C73" s="75" t="n">
        <f aca="false">MAX(0,'Capital accounts'!I73)*$E$106/oil_book</f>
        <v>21.9367798138707</v>
      </c>
      <c r="D73" s="75" t="n">
        <f aca="false">B73+C73</f>
        <v>163.980310257418</v>
      </c>
      <c r="E73" s="126" t="n">
        <f aca="false">'Capital accounts'!X73</f>
        <v>96.6284945987361</v>
      </c>
      <c r="F73" s="75" t="n">
        <f aca="false">IF(A73=1901,MIN($E$98,B73),0)</f>
        <v>0</v>
      </c>
      <c r="G73" s="75" t="n">
        <f aca="false">MIN(MAX(0,D73-E73-F73),$E$97*(D73-F73))</f>
        <v>40.9950775643544</v>
      </c>
      <c r="H73" s="75" t="n">
        <f aca="false">IF(AND(A73&gt;=1880,A73&lt;=1899),$E$101,IF(AND(A73&gt;=1900,A73&lt;=1913),$E$102,IF(AND(A73&gt;=1919,A73&lt;=1929),$E$103,0)))</f>
        <v>150</v>
      </c>
      <c r="I73" s="75" t="n">
        <f aca="false">MIN(H73,MAX(0,D73-E73-F73-G73))</f>
        <v>26.3567380943271</v>
      </c>
      <c r="J73" s="75" t="n">
        <f aca="false">MAX(0,D73-E73-F73-G73-I73)</f>
        <v>0</v>
      </c>
      <c r="K73" s="75" t="n">
        <f aca="false">F73+G73+I73</f>
        <v>67.3518156586815</v>
      </c>
      <c r="L73" s="75" t="n">
        <f aca="false">L72*(1-$E$105)+I73</f>
        <v>586.73945175383</v>
      </c>
      <c r="M73" s="75" t="n">
        <f aca="false">M72+G73</f>
        <v>598.109960588949</v>
      </c>
      <c r="N73" s="75" t="n">
        <f aca="false">N72*(1-$E$100)+F73</f>
        <v>376.664027392704</v>
      </c>
      <c r="O73" s="127" t="n">
        <f aca="false">IF(Champions!AY73&gt;0,Champions!AZ73/Champions!AY73,0)</f>
        <v>0.0775819961668081</v>
      </c>
      <c r="P73" s="75" t="n">
        <f aca="false">L72*$E$104+N72*$E$99+M72*O73</f>
        <v>93.2470992687456</v>
      </c>
      <c r="Q73" s="75" t="n">
        <f aca="false">L72*$E$105</f>
        <v>17.3314241337991</v>
      </c>
      <c r="R73" s="75" t="n">
        <f aca="false">N72*$E$100</f>
        <v>7.68702096719804</v>
      </c>
      <c r="S73" s="75" t="n">
        <f aca="false">D73-E73-F73-G73-I73-J73</f>
        <v>0</v>
      </c>
    </row>
    <row r="74" customFormat="false" ht="13.8" hidden="false" customHeight="false" outlineLevel="0" collapsed="false">
      <c r="A74" s="1" t="n">
        <v>1914</v>
      </c>
      <c r="B74" s="126" t="n">
        <f aca="false">'Capital accounts'!D74</f>
        <v>134.009934577688</v>
      </c>
      <c r="C74" s="75" t="n">
        <f aca="false">MAX(0,'Capital accounts'!I74)*$E$106/oil_book</f>
        <v>67.1784691569827</v>
      </c>
      <c r="D74" s="75" t="n">
        <f aca="false">B74+C74</f>
        <v>201.188403734671</v>
      </c>
      <c r="E74" s="126" t="n">
        <f aca="false">'Capital accounts'!X74</f>
        <v>113.134831019626</v>
      </c>
      <c r="F74" s="75" t="n">
        <f aca="false">IF(A74=1901,MIN($E$98,B74),0)</f>
        <v>0</v>
      </c>
      <c r="G74" s="75" t="n">
        <f aca="false">MIN(MAX(0,D74-E74-F74),$E$97*(D74-F74))</f>
        <v>50.2971009336677</v>
      </c>
      <c r="H74" s="75" t="n">
        <f aca="false">IF(AND(A74&gt;=1880,A74&lt;=1899),$E$101,IF(AND(A74&gt;=1900,A74&lt;=1913),$E$102,IF(AND(A74&gt;=1919,A74&lt;=1929),$E$103,0)))</f>
        <v>0</v>
      </c>
      <c r="I74" s="75" t="n">
        <f aca="false">MIN(H74,MAX(0,D74-E74-F74-G74))</f>
        <v>0</v>
      </c>
      <c r="J74" s="75" t="n">
        <f aca="false">MAX(0,D74-E74-F74-G74-I74)</f>
        <v>37.7564717813773</v>
      </c>
      <c r="K74" s="75" t="n">
        <f aca="false">F74+G74+I74</f>
        <v>50.2971009336677</v>
      </c>
      <c r="L74" s="75" t="n">
        <f aca="false">L73*(1-$E$105)+I74</f>
        <v>569.137268201215</v>
      </c>
      <c r="M74" s="75" t="n">
        <f aca="false">M73+G74</f>
        <v>648.407061522617</v>
      </c>
      <c r="N74" s="75" t="n">
        <f aca="false">N73*(1-$E$100)+F74</f>
        <v>369.13074684485</v>
      </c>
      <c r="O74" s="127" t="n">
        <f aca="false">IF(Champions!AY74&gt;0,Champions!AZ74/Champions!AY74,0)</f>
        <v>0.0804295160603742</v>
      </c>
      <c r="P74" s="75" t="n">
        <f aca="false">L73*$E$104+N73*$E$99+M73*O74</f>
        <v>98.1591887753489</v>
      </c>
      <c r="Q74" s="75" t="n">
        <f aca="false">L73*$E$105</f>
        <v>17.6021835526149</v>
      </c>
      <c r="R74" s="75" t="n">
        <f aca="false">N73*$E$100</f>
        <v>7.53328054785408</v>
      </c>
      <c r="S74" s="75" t="n">
        <f aca="false">D74-E74-F74-G74-I74-J74</f>
        <v>0</v>
      </c>
    </row>
    <row r="75" customFormat="false" ht="13.8" hidden="false" customHeight="false" outlineLevel="0" collapsed="false">
      <c r="A75" s="1" t="n">
        <v>1915</v>
      </c>
      <c r="B75" s="126" t="n">
        <f aca="false">'Capital accounts'!D75</f>
        <v>132.421093864327</v>
      </c>
      <c r="C75" s="75" t="n">
        <f aca="false">MAX(0,'Capital accounts'!I75)*$E$106/oil_book</f>
        <v>73.4715027036652</v>
      </c>
      <c r="D75" s="75" t="n">
        <f aca="false">B75+C75</f>
        <v>205.892596567993</v>
      </c>
      <c r="E75" s="126" t="n">
        <f aca="false">'Capital accounts'!X75</f>
        <v>131.172540949767</v>
      </c>
      <c r="F75" s="75" t="n">
        <f aca="false">IF(A75=1901,MIN($E$98,B75),0)</f>
        <v>0</v>
      </c>
      <c r="G75" s="75" t="n">
        <f aca="false">MIN(MAX(0,D75-E75-F75),$E$97*(D75-F75))</f>
        <v>51.4731491419981</v>
      </c>
      <c r="H75" s="75" t="n">
        <f aca="false">IF(AND(A75&gt;=1880,A75&lt;=1899),$E$101,IF(AND(A75&gt;=1900,A75&lt;=1913),$E$102,IF(AND(A75&gt;=1919,A75&lt;=1929),$E$103,0)))</f>
        <v>0</v>
      </c>
      <c r="I75" s="75" t="n">
        <f aca="false">MIN(H75,MAX(0,D75-E75-F75-G75))</f>
        <v>0</v>
      </c>
      <c r="J75" s="75" t="n">
        <f aca="false">MAX(0,D75-E75-F75-G75-I75)</f>
        <v>23.2469064762273</v>
      </c>
      <c r="K75" s="75" t="n">
        <f aca="false">F75+G75+I75</f>
        <v>51.4731491419981</v>
      </c>
      <c r="L75" s="75" t="n">
        <f aca="false">L74*(1-$E$105)+I75</f>
        <v>552.063150155179</v>
      </c>
      <c r="M75" s="75" t="n">
        <f aca="false">M74+G75</f>
        <v>699.880210664615</v>
      </c>
      <c r="N75" s="75" t="n">
        <f aca="false">N74*(1-$E$100)+F75</f>
        <v>361.748131907953</v>
      </c>
      <c r="O75" s="127" t="n">
        <f aca="false">IF(Champions!AY75&gt;0,Champions!AZ75/Champions!AY75,0)</f>
        <v>0.0831942787863588</v>
      </c>
      <c r="P75" s="75" t="n">
        <f aca="false">L74*$E$104+N74*$E$99+M74*O75</f>
        <v>102.702812329884</v>
      </c>
      <c r="Q75" s="75" t="n">
        <f aca="false">L74*$E$105</f>
        <v>17.0741180460365</v>
      </c>
      <c r="R75" s="75" t="n">
        <f aca="false">N74*$E$100</f>
        <v>7.382614936897</v>
      </c>
      <c r="S75" s="75" t="n">
        <f aca="false">D75-E75-F75-G75-I75-J75</f>
        <v>0</v>
      </c>
    </row>
    <row r="76" customFormat="false" ht="13.8" hidden="false" customHeight="false" outlineLevel="0" collapsed="false">
      <c r="A76" s="1" t="n">
        <v>1916</v>
      </c>
      <c r="B76" s="126" t="n">
        <f aca="false">'Capital accounts'!D76</f>
        <v>135.527581576893</v>
      </c>
      <c r="C76" s="75" t="n">
        <f aca="false">MAX(0,'Capital accounts'!I76)*$E$106/oil_book</f>
        <v>82.6321197469481</v>
      </c>
      <c r="D76" s="75" t="n">
        <f aca="false">B76+C76</f>
        <v>218.159701323841</v>
      </c>
      <c r="E76" s="126" t="n">
        <f aca="false">'Capital accounts'!X76</f>
        <v>151.844441924103</v>
      </c>
      <c r="F76" s="75" t="n">
        <f aca="false">IF(A76=1901,MIN($E$98,B76),0)</f>
        <v>0</v>
      </c>
      <c r="G76" s="75" t="n">
        <f aca="false">MIN(MAX(0,D76-E76-F76),$E$97*(D76-F76))</f>
        <v>54.5399253309602</v>
      </c>
      <c r="H76" s="75" t="n">
        <f aca="false">IF(AND(A76&gt;=1880,A76&lt;=1899),$E$101,IF(AND(A76&gt;=1900,A76&lt;=1913),$E$102,IF(AND(A76&gt;=1919,A76&lt;=1929),$E$103,0)))</f>
        <v>0</v>
      </c>
      <c r="I76" s="75" t="n">
        <f aca="false">MIN(H76,MAX(0,D76-E76-F76-G76))</f>
        <v>0</v>
      </c>
      <c r="J76" s="75" t="n">
        <f aca="false">MAX(0,D76-E76-F76-G76-I76)</f>
        <v>11.775334068778</v>
      </c>
      <c r="K76" s="75" t="n">
        <f aca="false">F76+G76+I76</f>
        <v>54.5399253309602</v>
      </c>
      <c r="L76" s="75" t="n">
        <f aca="false">L75*(1-$E$105)+I76</f>
        <v>535.501255650523</v>
      </c>
      <c r="M76" s="75" t="n">
        <f aca="false">M75+G76</f>
        <v>754.420135995576</v>
      </c>
      <c r="N76" s="75" t="n">
        <f aca="false">N75*(1-$E$100)+F76</f>
        <v>354.513169269794</v>
      </c>
      <c r="O76" s="127" t="n">
        <f aca="false">IF(Champions!AY76&gt;0,Champions!AZ76/Champions!AY76,0)</f>
        <v>0.0858276670764433</v>
      </c>
      <c r="P76" s="75" t="n">
        <f aca="false">L75*$E$104+N75*$E$99+M75*O76</f>
        <v>107.56839047701</v>
      </c>
      <c r="Q76" s="75" t="n">
        <f aca="false">L75*$E$105</f>
        <v>16.5618945046554</v>
      </c>
      <c r="R76" s="75" t="n">
        <f aca="false">N75*$E$100</f>
        <v>7.23496263815906</v>
      </c>
      <c r="S76" s="75" t="n">
        <f aca="false">D76-E76-F76-G76-I76-J76</f>
        <v>0</v>
      </c>
    </row>
    <row r="77" customFormat="false" ht="13.8" hidden="false" customHeight="false" outlineLevel="0" collapsed="false">
      <c r="A77" s="1" t="n">
        <v>1917</v>
      </c>
      <c r="B77" s="126" t="n">
        <f aca="false">'Capital accounts'!D77</f>
        <v>138.361581148189</v>
      </c>
      <c r="C77" s="75" t="n">
        <f aca="false">MAX(0,'Capital accounts'!I77)*$E$106/oil_book</f>
        <v>85.8967149483377</v>
      </c>
      <c r="D77" s="75" t="n">
        <f aca="false">B77+C77</f>
        <v>224.258296096527</v>
      </c>
      <c r="E77" s="126" t="n">
        <f aca="false">'Capital accounts'!X77</f>
        <v>171.160576651501</v>
      </c>
      <c r="F77" s="75" t="n">
        <f aca="false">IF(A77=1901,MIN($E$98,B77),0)</f>
        <v>0</v>
      </c>
      <c r="G77" s="75" t="n">
        <f aca="false">MIN(MAX(0,D77-E77-F77),$E$97*(D77-F77))</f>
        <v>53.0977194450259</v>
      </c>
      <c r="H77" s="75" t="n">
        <f aca="false">IF(AND(A77&gt;=1880,A77&lt;=1899),$E$101,IF(AND(A77&gt;=1900,A77&lt;=1913),$E$102,IF(AND(A77&gt;=1919,A77&lt;=1929),$E$103,0)))</f>
        <v>0</v>
      </c>
      <c r="I77" s="75" t="n">
        <f aca="false">MIN(H77,MAX(0,D77-E77-F77-G77))</f>
        <v>0</v>
      </c>
      <c r="J77" s="75" t="n">
        <f aca="false">MAX(0,D77-E77-F77-G77-I77)</f>
        <v>0</v>
      </c>
      <c r="K77" s="75" t="n">
        <f aca="false">F77+G77+I77</f>
        <v>53.0977194450259</v>
      </c>
      <c r="L77" s="75" t="n">
        <f aca="false">L76*(1-$E$105)+I77</f>
        <v>519.436217981008</v>
      </c>
      <c r="M77" s="75" t="n">
        <f aca="false">M76+G77</f>
        <v>807.517855440601</v>
      </c>
      <c r="N77" s="75" t="n">
        <f aca="false">N76*(1-$E$100)+F77</f>
        <v>347.422905884398</v>
      </c>
      <c r="O77" s="127" t="n">
        <f aca="false">IF(Champions!AY77&gt;0,Champions!AZ77/Champions!AY77,0)</f>
        <v>0.0882719505634659</v>
      </c>
      <c r="P77" s="75" t="n">
        <f aca="false">L76*$E$104+N76*$E$99+M76*O77</f>
        <v>112.86742404105</v>
      </c>
      <c r="Q77" s="75" t="n">
        <f aca="false">L76*$E$105</f>
        <v>16.0650376695157</v>
      </c>
      <c r="R77" s="75" t="n">
        <f aca="false">N76*$E$100</f>
        <v>7.09026338539587</v>
      </c>
      <c r="S77" s="75" t="n">
        <f aca="false">D77-E77-F77-G77-I77-J77</f>
        <v>0</v>
      </c>
    </row>
    <row r="78" customFormat="false" ht="13.8" hidden="false" customHeight="false" outlineLevel="0" collapsed="false">
      <c r="A78" s="1" t="n">
        <v>1918</v>
      </c>
      <c r="B78" s="126" t="n">
        <f aca="false">'Capital accounts'!D78</f>
        <v>138.928340393299</v>
      </c>
      <c r="C78" s="75" t="n">
        <f aca="false">MAX(0,'Capital accounts'!I78)*$E$106/oil_book</f>
        <v>128.722522177365</v>
      </c>
      <c r="D78" s="75" t="n">
        <f aca="false">B78+C78</f>
        <v>267.650862570664</v>
      </c>
      <c r="E78" s="126" t="n">
        <f aca="false">'Capital accounts'!X78</f>
        <v>193.237914370341</v>
      </c>
      <c r="F78" s="75" t="n">
        <f aca="false">IF(A78=1901,MIN($E$98,B78),0)</f>
        <v>0</v>
      </c>
      <c r="G78" s="75" t="n">
        <f aca="false">MIN(MAX(0,D78-E78-F78),$E$97*(D78-F78))</f>
        <v>66.9127156426659</v>
      </c>
      <c r="H78" s="75" t="n">
        <f aca="false">IF(AND(A78&gt;=1880,A78&lt;=1899),$E$101,IF(AND(A78&gt;=1900,A78&lt;=1913),$E$102,IF(AND(A78&gt;=1919,A78&lt;=1929),$E$103,0)))</f>
        <v>0</v>
      </c>
      <c r="I78" s="75" t="n">
        <f aca="false">MIN(H78,MAX(0,D78-E78-F78-G78))</f>
        <v>0</v>
      </c>
      <c r="J78" s="75" t="n">
        <f aca="false">MAX(0,D78-E78-F78-G78-I78)</f>
        <v>7.50023255765673</v>
      </c>
      <c r="K78" s="75" t="n">
        <f aca="false">F78+G78+I78</f>
        <v>66.9127156426659</v>
      </c>
      <c r="L78" s="75" t="n">
        <f aca="false">L77*(1-$E$105)+I78</f>
        <v>503.853131441577</v>
      </c>
      <c r="M78" s="75" t="n">
        <f aca="false">M77+G78</f>
        <v>874.430571083267</v>
      </c>
      <c r="N78" s="75" t="n">
        <f aca="false">N77*(1-$E$100)+F78</f>
        <v>340.47444776671</v>
      </c>
      <c r="O78" s="127" t="n">
        <f aca="false">IF(Champions!AY78&gt;0,Champions!AZ78/Champions!AY78,0)</f>
        <v>0.0913172486074767</v>
      </c>
      <c r="P78" s="75" t="n">
        <f aca="false">L77*$E$104+N77*$E$99+M77*O78</f>
        <v>118.820379482938</v>
      </c>
      <c r="Q78" s="75" t="n">
        <f aca="false">L77*$E$105</f>
        <v>15.5830865394302</v>
      </c>
      <c r="R78" s="75" t="n">
        <f aca="false">N77*$E$100</f>
        <v>6.94845811768796</v>
      </c>
      <c r="S78" s="75" t="n">
        <f aca="false">D78-E78-F78-G78-I78-J78</f>
        <v>0</v>
      </c>
    </row>
    <row r="79" customFormat="false" ht="13.8" hidden="false" customHeight="false" outlineLevel="0" collapsed="false">
      <c r="A79" s="1" t="n">
        <v>1919</v>
      </c>
      <c r="B79" s="126" t="n">
        <f aca="false">'Capital accounts'!D79</f>
        <v>188.413390283718</v>
      </c>
      <c r="C79" s="75" t="n">
        <f aca="false">MAX(0,'Capital accounts'!I79)*$E$106/oil_book</f>
        <v>140.176673768599</v>
      </c>
      <c r="D79" s="75" t="n">
        <f aca="false">B79+C79</f>
        <v>328.590064052317</v>
      </c>
      <c r="E79" s="126" t="n">
        <f aca="false">'Capital accounts'!X79</f>
        <v>210.855387579181</v>
      </c>
      <c r="F79" s="75" t="n">
        <f aca="false">IF(A79=1901,MIN($E$98,B79),0)</f>
        <v>0</v>
      </c>
      <c r="G79" s="75" t="n">
        <f aca="false">MIN(MAX(0,D79-E79-F79),$E$97*(D79-F79))</f>
        <v>82.1475160130792</v>
      </c>
      <c r="H79" s="75" t="n">
        <f aca="false">IF(AND(A79&gt;=1880,A79&lt;=1899),$E$101,IF(AND(A79&gt;=1900,A79&lt;=1913),$E$102,IF(AND(A79&gt;=1919,A79&lt;=1929),$E$103,0)))</f>
        <v>250</v>
      </c>
      <c r="I79" s="75" t="n">
        <f aca="false">MIN(H79,MAX(0,D79-E79-F79-G79))</f>
        <v>35.5871604600567</v>
      </c>
      <c r="J79" s="75" t="n">
        <f aca="false">MAX(0,D79-E79-F79-G79-I79)</f>
        <v>0</v>
      </c>
      <c r="K79" s="75" t="n">
        <f aca="false">F79+G79+I79</f>
        <v>117.734676473136</v>
      </c>
      <c r="L79" s="75" t="n">
        <f aca="false">L78*(1-$E$105)+I79</f>
        <v>524.324697958387</v>
      </c>
      <c r="M79" s="75" t="n">
        <f aca="false">M78+G79</f>
        <v>956.578087096347</v>
      </c>
      <c r="N79" s="75" t="n">
        <f aca="false">N78*(1-$E$100)+F79</f>
        <v>333.664958811376</v>
      </c>
      <c r="O79" s="127" t="n">
        <f aca="false">IF(Champions!AY79&gt;0,Champions!AZ79/Champions!AY79,0)</f>
        <v>0.0937067530631302</v>
      </c>
      <c r="P79" s="75" t="n">
        <f aca="false">L78*$E$104+N78*$E$99+M78*O79</f>
        <v>125.8588007946</v>
      </c>
      <c r="Q79" s="75" t="n">
        <f aca="false">L78*$E$105</f>
        <v>15.1155939432473</v>
      </c>
      <c r="R79" s="75" t="n">
        <f aca="false">N78*$E$100</f>
        <v>6.8094889553342</v>
      </c>
      <c r="S79" s="75" t="n">
        <f aca="false">D79-E79-F79-G79-I79-J79</f>
        <v>0</v>
      </c>
    </row>
    <row r="80" customFormat="false" ht="13.8" hidden="false" customHeight="false" outlineLevel="0" collapsed="false">
      <c r="A80" s="1" t="n">
        <v>1920</v>
      </c>
      <c r="B80" s="126" t="n">
        <f aca="false">'Capital accounts'!D80</f>
        <v>195.232262438612</v>
      </c>
      <c r="C80" s="75" t="n">
        <f aca="false">MAX(0,'Capital accounts'!I80)*$E$106/oil_book</f>
        <v>157.62522754364</v>
      </c>
      <c r="D80" s="75" t="n">
        <f aca="false">B80+C80</f>
        <v>352.857489982253</v>
      </c>
      <c r="E80" s="126" t="n">
        <f aca="false">'Capital accounts'!X80</f>
        <v>229.951229163786</v>
      </c>
      <c r="F80" s="75" t="n">
        <f aca="false">IF(A80=1901,MIN($E$98,B80),0)</f>
        <v>0</v>
      </c>
      <c r="G80" s="75" t="n">
        <f aca="false">MIN(MAX(0,D80-E80-F80),$E$97*(D80-F80))</f>
        <v>88.2143724955632</v>
      </c>
      <c r="H80" s="75" t="n">
        <f aca="false">IF(AND(A80&gt;=1880,A80&lt;=1899),$E$101,IF(AND(A80&gt;=1900,A80&lt;=1913),$E$102,IF(AND(A80&gt;=1919,A80&lt;=1929),$E$103,0)))</f>
        <v>250</v>
      </c>
      <c r="I80" s="75" t="n">
        <f aca="false">MIN(H80,MAX(0,D80-E80-F80-G80))</f>
        <v>34.6918883229033</v>
      </c>
      <c r="J80" s="75" t="n">
        <f aca="false">MAX(0,D80-E80-F80-G80-I80)</f>
        <v>0</v>
      </c>
      <c r="K80" s="75" t="n">
        <f aca="false">F80+G80+I80</f>
        <v>122.906260818466</v>
      </c>
      <c r="L80" s="75" t="n">
        <f aca="false">L79*(1-$E$105)+I80</f>
        <v>543.286845342538</v>
      </c>
      <c r="M80" s="75" t="n">
        <f aca="false">M79+G80</f>
        <v>1044.79245959191</v>
      </c>
      <c r="N80" s="75" t="n">
        <f aca="false">N79*(1-$E$100)+F80</f>
        <v>326.991659635148</v>
      </c>
      <c r="O80" s="127" t="n">
        <f aca="false">IF(Champions!AY80&gt;0,Champions!AZ80/Champions!AY80,0)</f>
        <v>0.0958204502578292</v>
      </c>
      <c r="P80" s="75" t="n">
        <f aca="false">L79*$E$104+N79*$E$99+M79*O80</f>
        <v>136.22755064489</v>
      </c>
      <c r="Q80" s="75" t="n">
        <f aca="false">L79*$E$105</f>
        <v>15.7297409387516</v>
      </c>
      <c r="R80" s="75" t="n">
        <f aca="false">N79*$E$100</f>
        <v>6.67329917622751</v>
      </c>
      <c r="S80" s="75" t="n">
        <f aca="false">D80-E80-F80-G80-I80-J80</f>
        <v>0</v>
      </c>
    </row>
    <row r="81" customFormat="false" ht="13.8" hidden="false" customHeight="false" outlineLevel="0" collapsed="false">
      <c r="A81" s="1" t="n">
        <v>1921</v>
      </c>
      <c r="B81" s="126" t="n">
        <f aca="false">'Capital accounts'!D81</f>
        <v>377.732812114703</v>
      </c>
      <c r="C81" s="75" t="n">
        <f aca="false">MAX(0,'Capital accounts'!I81)*$E$106/oil_book</f>
        <v>89.6315293801698</v>
      </c>
      <c r="D81" s="75" t="n">
        <f aca="false">B81+C81</f>
        <v>467.364341494873</v>
      </c>
      <c r="E81" s="126" t="n">
        <f aca="false">'Capital accounts'!X81</f>
        <v>231.797925578239</v>
      </c>
      <c r="F81" s="75" t="n">
        <f aca="false">IF(A81=1901,MIN($E$98,B81),0)</f>
        <v>0</v>
      </c>
      <c r="G81" s="75" t="n">
        <f aca="false">MIN(MAX(0,D81-E81-F81),$E$97*(D81-F81))</f>
        <v>116.841085373718</v>
      </c>
      <c r="H81" s="75" t="n">
        <f aca="false">IF(AND(A81&gt;=1880,A81&lt;=1899),$E$101,IF(AND(A81&gt;=1900,A81&lt;=1913),$E$102,IF(AND(A81&gt;=1919,A81&lt;=1929),$E$103,0)))</f>
        <v>250</v>
      </c>
      <c r="I81" s="75" t="n">
        <f aca="false">MIN(H81,MAX(0,D81-E81-F81-G81))</f>
        <v>118.725330542916</v>
      </c>
      <c r="J81" s="75" t="n">
        <f aca="false">MAX(0,D81-E81-F81-G81-I81)</f>
        <v>0</v>
      </c>
      <c r="K81" s="75" t="n">
        <f aca="false">F81+G81+I81</f>
        <v>235.566415916634</v>
      </c>
      <c r="L81" s="75" t="n">
        <f aca="false">L80*(1-$E$105)+I81</f>
        <v>645.713570525178</v>
      </c>
      <c r="M81" s="75" t="n">
        <f aca="false">M80+G81</f>
        <v>1161.63354496563</v>
      </c>
      <c r="N81" s="75" t="n">
        <f aca="false">N80*(1-$E$100)+F81</f>
        <v>320.451826442445</v>
      </c>
      <c r="O81" s="127" t="n">
        <f aca="false">IF(Champions!AY81&gt;0,Champions!AZ81/Champions!AY81,0)</f>
        <v>0.0947595690624893</v>
      </c>
      <c r="P81" s="75" t="n">
        <f aca="false">L80*$E$104+N80*$E$99+M80*O81</f>
        <v>144.152966777728</v>
      </c>
      <c r="Q81" s="75" t="n">
        <f aca="false">L80*$E$105</f>
        <v>16.2986053602762</v>
      </c>
      <c r="R81" s="75" t="n">
        <f aca="false">N80*$E$100</f>
        <v>6.53983319270296</v>
      </c>
      <c r="S81" s="75" t="n">
        <f aca="false">D81-E81-F81-G81-I81-J81</f>
        <v>0</v>
      </c>
    </row>
    <row r="82" customFormat="false" ht="13.8" hidden="false" customHeight="false" outlineLevel="0" collapsed="false">
      <c r="A82" s="1" t="n">
        <v>1922</v>
      </c>
      <c r="B82" s="126" t="n">
        <f aca="false">'Capital accounts'!D82</f>
        <v>384.677329000968</v>
      </c>
      <c r="C82" s="75" t="n">
        <f aca="false">MAX(0,'Capital accounts'!I82)*$E$106/oil_book</f>
        <v>85.3901361347362</v>
      </c>
      <c r="D82" s="75" t="n">
        <f aca="false">B82+C82</f>
        <v>470.067465135704</v>
      </c>
      <c r="E82" s="126" t="n">
        <f aca="false">'Capital accounts'!X82</f>
        <v>262.523084155958</v>
      </c>
      <c r="F82" s="75" t="n">
        <f aca="false">IF(A82=1901,MIN($E$98,B82),0)</f>
        <v>0</v>
      </c>
      <c r="G82" s="75" t="n">
        <f aca="false">MIN(MAX(0,D82-E82-F82),$E$97*(D82-F82))</f>
        <v>117.516866283926</v>
      </c>
      <c r="H82" s="75" t="n">
        <f aca="false">IF(AND(A82&gt;=1880,A82&lt;=1899),$E$101,IF(AND(A82&gt;=1900,A82&lt;=1913),$E$102,IF(AND(A82&gt;=1919,A82&lt;=1929),$E$103,0)))</f>
        <v>250</v>
      </c>
      <c r="I82" s="75" t="n">
        <f aca="false">MIN(H82,MAX(0,D82-E82-F82-G82))</f>
        <v>90.0275146958204</v>
      </c>
      <c r="J82" s="75" t="n">
        <f aca="false">MAX(0,D82-E82-F82-G82-I82)</f>
        <v>0</v>
      </c>
      <c r="K82" s="75" t="n">
        <f aca="false">F82+G82+I82</f>
        <v>207.544380979747</v>
      </c>
      <c r="L82" s="75" t="n">
        <f aca="false">L81*(1-$E$105)+I82</f>
        <v>716.369678105243</v>
      </c>
      <c r="M82" s="75" t="n">
        <f aca="false">M81+G82</f>
        <v>1279.15041124955</v>
      </c>
      <c r="N82" s="75" t="n">
        <f aca="false">N81*(1-$E$100)+F82</f>
        <v>314.042789913596</v>
      </c>
      <c r="O82" s="127" t="n">
        <f aca="false">IF(Champions!AY82&gt;0,Champions!AZ82/Champions!AY82,0)</f>
        <v>0.0952531247435131</v>
      </c>
      <c r="P82" s="75" t="n">
        <f aca="false">L81*$E$104+N81*$E$99+M81*O82</f>
        <v>160.559753945454</v>
      </c>
      <c r="Q82" s="75" t="n">
        <f aca="false">L81*$E$105</f>
        <v>19.3714071157553</v>
      </c>
      <c r="R82" s="75" t="n">
        <f aca="false">N81*$E$100</f>
        <v>6.4090365288489</v>
      </c>
      <c r="S82" s="75" t="n">
        <f aca="false">D82-E82-F82-G82-I82-J82</f>
        <v>0</v>
      </c>
    </row>
    <row r="83" customFormat="false" ht="13.8" hidden="false" customHeight="false" outlineLevel="0" collapsed="false">
      <c r="A83" s="1" t="n">
        <v>1923</v>
      </c>
      <c r="B83" s="126" t="n">
        <f aca="false">'Capital accounts'!D83</f>
        <v>399.786816345448</v>
      </c>
      <c r="C83" s="75" t="n">
        <f aca="false">MAX(0,'Capital accounts'!I83)*$E$106/oil_book</f>
        <v>84.2205210798903</v>
      </c>
      <c r="D83" s="75" t="n">
        <f aca="false">B83+C83</f>
        <v>484.007337425338</v>
      </c>
      <c r="E83" s="126" t="n">
        <f aca="false">'Capital accounts'!X83</f>
        <v>294.641262718289</v>
      </c>
      <c r="F83" s="75" t="n">
        <f aca="false">IF(A83=1901,MIN($E$98,B83),0)</f>
        <v>0</v>
      </c>
      <c r="G83" s="75" t="n">
        <f aca="false">MIN(MAX(0,D83-E83-F83),$E$97*(D83-F83))</f>
        <v>121.001834356335</v>
      </c>
      <c r="H83" s="75" t="n">
        <f aca="false">IF(AND(A83&gt;=1880,A83&lt;=1899),$E$101,IF(AND(A83&gt;=1900,A83&lt;=1913),$E$102,IF(AND(A83&gt;=1919,A83&lt;=1929),$E$103,0)))</f>
        <v>250</v>
      </c>
      <c r="I83" s="75" t="n">
        <f aca="false">MIN(H83,MAX(0,D83-E83-F83-G83))</f>
        <v>68.3642403507144</v>
      </c>
      <c r="J83" s="75" t="n">
        <f aca="false">MAX(0,D83-E83-F83-G83-I83)</f>
        <v>0</v>
      </c>
      <c r="K83" s="75" t="n">
        <f aca="false">F83+G83+I83</f>
        <v>189.366074707049</v>
      </c>
      <c r="L83" s="75" t="n">
        <f aca="false">L82*(1-$E$105)+I83</f>
        <v>763.2428281128</v>
      </c>
      <c r="M83" s="75" t="n">
        <f aca="false">M82+G83</f>
        <v>1400.15224560589</v>
      </c>
      <c r="N83" s="75" t="n">
        <f aca="false">N82*(1-$E$100)+F83</f>
        <v>307.761934115324</v>
      </c>
      <c r="O83" s="127" t="n">
        <f aca="false">IF(Champions!AY83&gt;0,Champions!AZ83/Champions!AY83,0)</f>
        <v>0.0956381425720281</v>
      </c>
      <c r="P83" s="75" t="n">
        <f aca="false">L82*$E$104+N82*$E$99+M82*O83</f>
        <v>175.426406752663</v>
      </c>
      <c r="Q83" s="75" t="n">
        <f aca="false">L82*$E$105</f>
        <v>21.4910903431573</v>
      </c>
      <c r="R83" s="75" t="n">
        <f aca="false">N82*$E$100</f>
        <v>6.28085579827193</v>
      </c>
      <c r="S83" s="75" t="n">
        <f aca="false">D83-E83-F83-G83-I83-J83</f>
        <v>0</v>
      </c>
    </row>
    <row r="84" customFormat="false" ht="13.8" hidden="false" customHeight="false" outlineLevel="0" collapsed="false">
      <c r="A84" s="1" t="n">
        <v>1924</v>
      </c>
      <c r="B84" s="126" t="n">
        <f aca="false">'Capital accounts'!D84</f>
        <v>396.660831757225</v>
      </c>
      <c r="C84" s="75" t="n">
        <f aca="false">MAX(0,'Capital accounts'!I84)*$E$106/oil_book</f>
        <v>71.1110508162565</v>
      </c>
      <c r="D84" s="75" t="n">
        <f aca="false">B84+C84</f>
        <v>467.771882573481</v>
      </c>
      <c r="E84" s="126" t="n">
        <f aca="false">'Capital accounts'!X84</f>
        <v>322.27493647456</v>
      </c>
      <c r="F84" s="75" t="n">
        <f aca="false">IF(A84=1901,MIN($E$98,B84),0)</f>
        <v>0</v>
      </c>
      <c r="G84" s="75" t="n">
        <f aca="false">MIN(MAX(0,D84-E84-F84),$E$97*(D84-F84))</f>
        <v>116.94297064337</v>
      </c>
      <c r="H84" s="75" t="n">
        <f aca="false">IF(AND(A84&gt;=1880,A84&lt;=1899),$E$101,IF(AND(A84&gt;=1900,A84&lt;=1913),$E$102,IF(AND(A84&gt;=1919,A84&lt;=1929),$E$103,0)))</f>
        <v>250</v>
      </c>
      <c r="I84" s="75" t="n">
        <f aca="false">MIN(H84,MAX(0,D84-E84-F84-G84))</f>
        <v>28.5539754555508</v>
      </c>
      <c r="J84" s="75" t="n">
        <f aca="false">MAX(0,D84-E84-F84-G84-I84)</f>
        <v>0</v>
      </c>
      <c r="K84" s="75" t="n">
        <f aca="false">F84+G84+I84</f>
        <v>145.496946098921</v>
      </c>
      <c r="L84" s="75" t="n">
        <f aca="false">L83*(1-$E$105)+I84</f>
        <v>768.899518724967</v>
      </c>
      <c r="M84" s="75" t="n">
        <f aca="false">M83+G84</f>
        <v>1517.09521624926</v>
      </c>
      <c r="N84" s="75" t="n">
        <f aca="false">N83*(1-$E$100)+F84</f>
        <v>301.606695433018</v>
      </c>
      <c r="O84" s="127" t="n">
        <f aca="false">IF(Champions!AY84&gt;0,Champions!AZ84/Champions!AY84,0)</f>
        <v>0.0958422014598337</v>
      </c>
      <c r="P84" s="75" t="n">
        <f aca="false">L83*$E$104+N83*$E$99+M83*O84</f>
        <v>189.282721379781</v>
      </c>
      <c r="Q84" s="75" t="n">
        <f aca="false">L83*$E$105</f>
        <v>22.897284843384</v>
      </c>
      <c r="R84" s="75" t="n">
        <f aca="false">N83*$E$100</f>
        <v>6.15523868230649</v>
      </c>
      <c r="S84" s="75" t="n">
        <f aca="false">D84-E84-F84-G84-I84-J84</f>
        <v>0</v>
      </c>
    </row>
    <row r="85" customFormat="false" ht="13.8" hidden="false" customHeight="false" outlineLevel="0" collapsed="false">
      <c r="A85" s="1" t="n">
        <v>1925</v>
      </c>
      <c r="B85" s="126" t="n">
        <f aca="false">'Capital accounts'!D85</f>
        <v>396.20462411126</v>
      </c>
      <c r="C85" s="75" t="n">
        <f aca="false">MAX(0,'Capital accounts'!I85)*$E$106/oil_book</f>
        <v>62.5156018260015</v>
      </c>
      <c r="D85" s="75" t="n">
        <f aca="false">B85+C85</f>
        <v>458.720225937262</v>
      </c>
      <c r="E85" s="126" t="n">
        <f aca="false">'Capital accounts'!X85</f>
        <v>347.12885205559</v>
      </c>
      <c r="F85" s="75" t="n">
        <f aca="false">IF(A85=1901,MIN($E$98,B85),0)</f>
        <v>0</v>
      </c>
      <c r="G85" s="75" t="n">
        <f aca="false">MIN(MAX(0,D85-E85-F85),$E$97*(D85-F85))</f>
        <v>111.591373881671</v>
      </c>
      <c r="H85" s="75" t="n">
        <f aca="false">IF(AND(A85&gt;=1880,A85&lt;=1899),$E$101,IF(AND(A85&gt;=1900,A85&lt;=1913),$E$102,IF(AND(A85&gt;=1919,A85&lt;=1929),$E$103,0)))</f>
        <v>250</v>
      </c>
      <c r="I85" s="75" t="n">
        <f aca="false">MIN(H85,MAX(0,D85-E85-F85-G85))</f>
        <v>0</v>
      </c>
      <c r="J85" s="75" t="n">
        <f aca="false">MAX(0,D85-E85-F85-G85-I85)</f>
        <v>0</v>
      </c>
      <c r="K85" s="75" t="n">
        <f aca="false">F85+G85+I85</f>
        <v>111.591373881671</v>
      </c>
      <c r="L85" s="75" t="n">
        <f aca="false">L84*(1-$E$105)+I85</f>
        <v>745.832533163218</v>
      </c>
      <c r="M85" s="75" t="n">
        <f aca="false">M84+G85</f>
        <v>1628.68659013093</v>
      </c>
      <c r="N85" s="75" t="n">
        <f aca="false">N84*(1-$E$100)+F85</f>
        <v>295.574561524358</v>
      </c>
      <c r="O85" s="127" t="n">
        <f aca="false">IF(Champions!AY85&gt;0,Champions!AZ85/Champions!AY85,0)</f>
        <v>0.095987256496222</v>
      </c>
      <c r="P85" s="75" t="n">
        <f aca="false">L84*$E$104+N84*$E$99+M84*O85</f>
        <v>200.655151836373</v>
      </c>
      <c r="Q85" s="75" t="n">
        <f aca="false">L84*$E$105</f>
        <v>23.066985561749</v>
      </c>
      <c r="R85" s="75" t="n">
        <f aca="false">N84*$E$100</f>
        <v>6.03213390866036</v>
      </c>
      <c r="S85" s="75" t="n">
        <f aca="false">D85-E85-F85-G85-I85-J85</f>
        <v>0</v>
      </c>
    </row>
    <row r="86" customFormat="false" ht="13.8" hidden="false" customHeight="false" outlineLevel="0" collapsed="false">
      <c r="A86" s="1" t="n">
        <v>1926</v>
      </c>
      <c r="B86" s="126" t="n">
        <f aca="false">'Capital accounts'!D86</f>
        <v>600.523408266139</v>
      </c>
      <c r="C86" s="75" t="n">
        <f aca="false">MAX(0,'Capital accounts'!I86)*$E$106/oil_book</f>
        <v>65.8115017050233</v>
      </c>
      <c r="D86" s="75" t="n">
        <f aca="false">B86+C86</f>
        <v>666.334909971162</v>
      </c>
      <c r="E86" s="126" t="n">
        <f aca="false">'Capital accounts'!X86</f>
        <v>375.77266423377</v>
      </c>
      <c r="F86" s="75" t="n">
        <f aca="false">IF(A86=1901,MIN($E$98,B86),0)</f>
        <v>0</v>
      </c>
      <c r="G86" s="75" t="n">
        <f aca="false">MIN(MAX(0,D86-E86-F86),$E$97*(D86-F86))</f>
        <v>166.583727492791</v>
      </c>
      <c r="H86" s="75" t="n">
        <f aca="false">IF(AND(A86&gt;=1880,A86&lt;=1899),$E$101,IF(AND(A86&gt;=1900,A86&lt;=1913),$E$102,IF(AND(A86&gt;=1919,A86&lt;=1929),$E$103,0)))</f>
        <v>250</v>
      </c>
      <c r="I86" s="75" t="n">
        <f aca="false">MIN(H86,MAX(0,D86-E86-F86-G86))</f>
        <v>123.978518244602</v>
      </c>
      <c r="J86" s="75" t="n">
        <f aca="false">MAX(0,D86-E86-F86-G86-I86)</f>
        <v>0</v>
      </c>
      <c r="K86" s="75" t="n">
        <f aca="false">F86+G86+I86</f>
        <v>290.562245737393</v>
      </c>
      <c r="L86" s="75" t="n">
        <f aca="false">L85*(1-$E$105)+I86</f>
        <v>847.436075412924</v>
      </c>
      <c r="M86" s="75" t="n">
        <f aca="false">M85+G86</f>
        <v>1795.27031762372</v>
      </c>
      <c r="N86" s="75" t="n">
        <f aca="false">N85*(1-$E$100)+F86</f>
        <v>289.66307029387</v>
      </c>
      <c r="O86" s="127" t="n">
        <f aca="false">IF(Champions!AY86&gt;0,Champions!AZ86/Champions!AY86,0)</f>
        <v>0.0955312271366329</v>
      </c>
      <c r="P86" s="75" t="n">
        <f aca="false">L85*$E$104+N85*$E$99+M85*O86</f>
        <v>209.138656118187</v>
      </c>
      <c r="Q86" s="75" t="n">
        <f aca="false">L85*$E$105</f>
        <v>22.3749759948965</v>
      </c>
      <c r="R86" s="75" t="n">
        <f aca="false">N85*$E$100</f>
        <v>5.91149123048715</v>
      </c>
      <c r="S86" s="75" t="n">
        <f aca="false">D86-E86-F86-G86-I86-J86</f>
        <v>0</v>
      </c>
    </row>
    <row r="87" customFormat="false" ht="13.8" hidden="false" customHeight="false" outlineLevel="0" collapsed="false">
      <c r="A87" s="1" t="n">
        <v>1927</v>
      </c>
      <c r="B87" s="126" t="n">
        <f aca="false">'Capital accounts'!D87</f>
        <v>612.413408069623</v>
      </c>
      <c r="C87" s="75" t="n">
        <f aca="false">MAX(0,'Capital accounts'!I87)*$E$106/oil_book</f>
        <v>179.737404123594</v>
      </c>
      <c r="D87" s="75" t="n">
        <f aca="false">B87+C87</f>
        <v>792.150812193217</v>
      </c>
      <c r="E87" s="126" t="n">
        <f aca="false">'Capital accounts'!X87</f>
        <v>413.677257469733</v>
      </c>
      <c r="F87" s="75" t="n">
        <f aca="false">IF(A87=1901,MIN($E$98,B87),0)</f>
        <v>0</v>
      </c>
      <c r="G87" s="75" t="n">
        <f aca="false">MIN(MAX(0,D87-E87-F87),$E$97*(D87-F87))</f>
        <v>198.037703048304</v>
      </c>
      <c r="H87" s="75" t="n">
        <f aca="false">IF(AND(A87&gt;=1880,A87&lt;=1899),$E$101,IF(AND(A87&gt;=1900,A87&lt;=1913),$E$102,IF(AND(A87&gt;=1919,A87&lt;=1929),$E$103,0)))</f>
        <v>250</v>
      </c>
      <c r="I87" s="75" t="n">
        <f aca="false">MIN(H87,MAX(0,D87-E87-F87-G87))</f>
        <v>180.43585167518</v>
      </c>
      <c r="J87" s="75" t="n">
        <f aca="false">MAX(0,D87-E87-F87-G87-I87)</f>
        <v>0</v>
      </c>
      <c r="K87" s="75" t="n">
        <f aca="false">F87+G87+I87</f>
        <v>378.473554723484</v>
      </c>
      <c r="L87" s="75" t="n">
        <f aca="false">L86*(1-$E$105)+I87</f>
        <v>1002.44884482572</v>
      </c>
      <c r="M87" s="75" t="n">
        <f aca="false">M86+G87</f>
        <v>1993.30802067203</v>
      </c>
      <c r="N87" s="75" t="n">
        <f aca="false">N86*(1-$E$100)+F87</f>
        <v>283.869808887993</v>
      </c>
      <c r="O87" s="127" t="n">
        <f aca="false">IF(Champions!AY87&gt;0,Champions!AZ87/Champions!AY87,0)</f>
        <v>0.0961117443886391</v>
      </c>
      <c r="P87" s="75" t="n">
        <f aca="false">L86*$E$104+N86*$E$99+M86*O87</f>
        <v>230.849834512771</v>
      </c>
      <c r="Q87" s="75" t="n">
        <f aca="false">L86*$E$105</f>
        <v>25.4230822623877</v>
      </c>
      <c r="R87" s="75" t="n">
        <f aca="false">N86*$E$100</f>
        <v>5.79326140587741</v>
      </c>
      <c r="S87" s="75" t="n">
        <f aca="false">D87-E87-F87-G87-I87-J87</f>
        <v>0</v>
      </c>
    </row>
    <row r="88" customFormat="false" ht="13.8" hidden="false" customHeight="false" outlineLevel="0" collapsed="false">
      <c r="A88" s="1" t="n">
        <v>1928</v>
      </c>
      <c r="B88" s="126" t="n">
        <f aca="false">'Capital accounts'!D88</f>
        <v>612.740329920713</v>
      </c>
      <c r="C88" s="75" t="n">
        <f aca="false">MAX(0,'Capital accounts'!I88)*$E$106/oil_book</f>
        <v>168.718790556079</v>
      </c>
      <c r="D88" s="75" t="n">
        <f aca="false">B88+C88</f>
        <v>781.459120476791</v>
      </c>
      <c r="E88" s="126" t="n">
        <f aca="false">'Capital accounts'!X88</f>
        <v>451.084357910848</v>
      </c>
      <c r="F88" s="75" t="n">
        <f aca="false">IF(A88=1901,MIN($E$98,B88),0)</f>
        <v>0</v>
      </c>
      <c r="G88" s="75" t="n">
        <f aca="false">MIN(MAX(0,D88-E88-F88),$E$97*(D88-F88))</f>
        <v>195.364780119198</v>
      </c>
      <c r="H88" s="75" t="n">
        <f aca="false">IF(AND(A88&gt;=1880,A88&lt;=1899),$E$101,IF(AND(A88&gt;=1900,A88&lt;=1913),$E$102,IF(AND(A88&gt;=1919,A88&lt;=1929),$E$103,0)))</f>
        <v>250</v>
      </c>
      <c r="I88" s="75" t="n">
        <f aca="false">MIN(H88,MAX(0,D88-E88-F88-G88))</f>
        <v>135.009982446745</v>
      </c>
      <c r="J88" s="75" t="n">
        <f aca="false">MAX(0,D88-E88-F88-G88-I88)</f>
        <v>0</v>
      </c>
      <c r="K88" s="75" t="n">
        <f aca="false">F88+G88+I88</f>
        <v>330.374762565943</v>
      </c>
      <c r="L88" s="75" t="n">
        <f aca="false">L87*(1-$E$105)+I88</f>
        <v>1107.38536192769</v>
      </c>
      <c r="M88" s="75" t="n">
        <f aca="false">M87+G88</f>
        <v>2188.67280079122</v>
      </c>
      <c r="N88" s="75" t="n">
        <f aca="false">N87*(1-$E$100)+F88</f>
        <v>278.192412710233</v>
      </c>
      <c r="O88" s="127" t="n">
        <f aca="false">IF(Champions!AY88&gt;0,Champions!AZ88/Champions!AY88,0)</f>
        <v>0.0965143775140419</v>
      </c>
      <c r="P88" s="75" t="n">
        <f aca="false">L87*$E$104+N87*$E$99+M87*O88</f>
        <v>258.118164539033</v>
      </c>
      <c r="Q88" s="75" t="n">
        <f aca="false">L87*$E$105</f>
        <v>30.0734653447715</v>
      </c>
      <c r="R88" s="75" t="n">
        <f aca="false">N87*$E$100</f>
        <v>5.67739617775986</v>
      </c>
      <c r="S88" s="75" t="n">
        <f aca="false">D88-E88-F88-G88-I88-J88</f>
        <v>0</v>
      </c>
    </row>
    <row r="89" customFormat="false" ht="13.8" hidden="false" customHeight="false" outlineLevel="0" collapsed="false">
      <c r="A89" s="1" t="n">
        <v>1929</v>
      </c>
      <c r="B89" s="126" t="n">
        <f aca="false">'Capital accounts'!D89</f>
        <v>630.836085624301</v>
      </c>
      <c r="C89" s="75" t="n">
        <f aca="false">MAX(0,'Capital accounts'!I89)*$E$106/oil_book</f>
        <v>168.371588514573</v>
      </c>
      <c r="D89" s="75" t="n">
        <f aca="false">B89+C89</f>
        <v>799.207674138874</v>
      </c>
      <c r="E89" s="126" t="n">
        <f aca="false">'Capital accounts'!X89</f>
        <v>488.345827830246</v>
      </c>
      <c r="F89" s="75" t="n">
        <f aca="false">IF(A89=1901,MIN($E$98,B89),0)</f>
        <v>0</v>
      </c>
      <c r="G89" s="75" t="n">
        <f aca="false">MIN(MAX(0,D89-E89-F89),$E$97*(D89-F89))</f>
        <v>199.801918534719</v>
      </c>
      <c r="H89" s="75" t="n">
        <f aca="false">IF(AND(A89&gt;=1880,A89&lt;=1899),$E$101,IF(AND(A89&gt;=1900,A89&lt;=1913),$E$102,IF(AND(A89&gt;=1919,A89&lt;=1929),$E$103,0)))</f>
        <v>250</v>
      </c>
      <c r="I89" s="75" t="n">
        <f aca="false">MIN(H89,MAX(0,D89-E89-F89-G89))</f>
        <v>111.059927773909</v>
      </c>
      <c r="J89" s="75" t="n">
        <f aca="false">MAX(0,D89-E89-F89-G89-I89)</f>
        <v>0</v>
      </c>
      <c r="K89" s="75" t="n">
        <f aca="false">F89+G89+I89</f>
        <v>310.861846308628</v>
      </c>
      <c r="L89" s="75" t="n">
        <f aca="false">L88*(1-$E$105)+I89</f>
        <v>1185.22372884377</v>
      </c>
      <c r="M89" s="75" t="n">
        <f aca="false">M88+G89</f>
        <v>2388.47471932594</v>
      </c>
      <c r="N89" s="75" t="n">
        <f aca="false">N88*(1-$E$100)+F89</f>
        <v>272.628564456028</v>
      </c>
      <c r="O89" s="127" t="n">
        <f aca="false">IF(Champions!AY89&gt;0,Champions!AZ89/Champions!AY89,0)</f>
        <v>0.0968388589051658</v>
      </c>
      <c r="P89" s="75" t="n">
        <f aca="false">L88*$E$104+N88*$E$99+M88*O89</f>
        <v>282.618427340842</v>
      </c>
      <c r="Q89" s="75" t="n">
        <f aca="false">L88*$E$105</f>
        <v>33.2215608578307</v>
      </c>
      <c r="R89" s="75" t="n">
        <f aca="false">N88*$E$100</f>
        <v>5.56384825420466</v>
      </c>
      <c r="S89" s="75" t="n">
        <f aca="false">D89-E89-F89-G89-I89-J89</f>
        <v>0</v>
      </c>
    </row>
    <row r="90" customFormat="false" ht="13.8" hidden="false" customHeight="false" outlineLevel="0" collapsed="false">
      <c r="A90" s="1" t="n">
        <v>1930</v>
      </c>
      <c r="B90" s="126" t="n">
        <f aca="false">'Capital accounts'!D90</f>
        <v>0</v>
      </c>
      <c r="C90" s="75" t="n">
        <f aca="false">MAX(0,'Capital accounts'!I90)*$E$106/oil_book</f>
        <v>0</v>
      </c>
      <c r="D90" s="75" t="n">
        <f aca="false">B90+C90</f>
        <v>0</v>
      </c>
      <c r="E90" s="126" t="n">
        <f aca="false">'Capital accounts'!X90</f>
        <v>0</v>
      </c>
      <c r="F90" s="75" t="n">
        <f aca="false">IF(A90=1901,MIN($E$98,B90),0)</f>
        <v>0</v>
      </c>
      <c r="G90" s="75" t="n">
        <f aca="false">MIN(MAX(0,D90-E90-F90),$E$97*(D90-F90))</f>
        <v>0</v>
      </c>
      <c r="H90" s="75" t="n">
        <f aca="false">IF(AND(A90&gt;=1880,A90&lt;=1899),$E$101,IF(AND(A90&gt;=1900,A90&lt;=1913),$E$102,IF(AND(A90&gt;=1919,A90&lt;=1929),$E$103,0)))</f>
        <v>0</v>
      </c>
      <c r="I90" s="75" t="n">
        <f aca="false">MIN(H90,MAX(0,D90-E90-F90-G90))</f>
        <v>0</v>
      </c>
      <c r="J90" s="75" t="n">
        <f aca="false">MAX(0,D90-E90-F90-G90-I90)</f>
        <v>0</v>
      </c>
      <c r="K90" s="75" t="n">
        <f aca="false">F90+G90+I90</f>
        <v>0</v>
      </c>
      <c r="L90" s="75" t="n">
        <f aca="false">L89*(1-$E$105)+I90</f>
        <v>1149.66701697846</v>
      </c>
      <c r="M90" s="75" t="n">
        <f aca="false">M89+G90</f>
        <v>2388.47471932594</v>
      </c>
      <c r="N90" s="75" t="n">
        <f aca="false">N89*(1-$E$100)+F90</f>
        <v>267.175993166908</v>
      </c>
      <c r="O90" s="127" t="n">
        <f aca="false">IF(Champions!AY90&gt;0,Champions!AZ90/Champions!AY90,0)</f>
        <v>0.0941159128467873</v>
      </c>
      <c r="P90" s="75" t="n">
        <f aca="false">L89*$E$104+N89*$E$99+M89*O90</f>
        <v>299.049236008105</v>
      </c>
      <c r="Q90" s="75" t="n">
        <f aca="false">L89*$E$105</f>
        <v>35.556711865313</v>
      </c>
      <c r="R90" s="75" t="n">
        <f aca="false">N89*$E$100</f>
        <v>5.45257128912057</v>
      </c>
      <c r="S90" s="75" t="n">
        <f aca="false">D90-E90-F90-G90-I90-J90</f>
        <v>0</v>
      </c>
    </row>
    <row r="91" customFormat="false" ht="13.8" hidden="false" customHeight="false" outlineLevel="0" collapsed="false">
      <c r="A91" s="1" t="n">
        <v>1931</v>
      </c>
      <c r="B91" s="126" t="n">
        <f aca="false">'Capital accounts'!D91</f>
        <v>0</v>
      </c>
      <c r="C91" s="75" t="n">
        <f aca="false">MAX(0,'Capital accounts'!I91)*$E$106/oil_book</f>
        <v>0</v>
      </c>
      <c r="D91" s="75" t="n">
        <f aca="false">B91+C91</f>
        <v>0</v>
      </c>
      <c r="E91" s="126" t="n">
        <f aca="false">'Capital accounts'!X91</f>
        <v>0</v>
      </c>
      <c r="F91" s="75" t="n">
        <f aca="false">IF(A91=1901,MIN($E$98,B91),0)</f>
        <v>0</v>
      </c>
      <c r="G91" s="75" t="n">
        <f aca="false">MIN(MAX(0,D91-E91-F91),$E$97*(D91-F91))</f>
        <v>0</v>
      </c>
      <c r="H91" s="75" t="n">
        <f aca="false">IF(AND(A91&gt;=1880,A91&lt;=1899),$E$101,IF(AND(A91&gt;=1900,A91&lt;=1913),$E$102,IF(AND(A91&gt;=1919,A91&lt;=1929),$E$103,0)))</f>
        <v>0</v>
      </c>
      <c r="I91" s="75" t="n">
        <f aca="false">MIN(H91,MAX(0,D91-E91-F91-G91))</f>
        <v>0</v>
      </c>
      <c r="J91" s="75" t="n">
        <f aca="false">MAX(0,D91-E91-F91-G91-I91)</f>
        <v>0</v>
      </c>
      <c r="K91" s="75" t="n">
        <f aca="false">F91+G91+I91</f>
        <v>0</v>
      </c>
      <c r="L91" s="75" t="n">
        <f aca="false">L90*(1-$E$105)+I91</f>
        <v>1115.1770064691</v>
      </c>
      <c r="M91" s="75" t="n">
        <f aca="false">M90+G91</f>
        <v>2388.47471932594</v>
      </c>
      <c r="N91" s="75" t="n">
        <f aca="false">N90*(1-$E$100)+F91</f>
        <v>261.83247330357</v>
      </c>
      <c r="O91" s="127" t="n">
        <f aca="false">IF(Champions!AY91&gt;0,Champions!AZ91/Champions!AY91,0)</f>
        <v>0.0751099638320369</v>
      </c>
      <c r="P91" s="75" t="n">
        <f aca="false">L90*$E$104+N90*$E$99+M90*O91</f>
        <v>251.576280255409</v>
      </c>
      <c r="Q91" s="75" t="n">
        <f aca="false">L90*$E$105</f>
        <v>34.4900105093537</v>
      </c>
      <c r="R91" s="75" t="n">
        <f aca="false">N90*$E$100</f>
        <v>5.34351986333816</v>
      </c>
      <c r="S91" s="75" t="n">
        <f aca="false">D91-E91-F91-G91-I91-J91</f>
        <v>0</v>
      </c>
    </row>
    <row r="92" customFormat="false" ht="13.8" hidden="false" customHeight="false" outlineLevel="0" collapsed="false">
      <c r="A92" s="1" t="n">
        <v>1932</v>
      </c>
      <c r="B92" s="126" t="n">
        <f aca="false">'Capital accounts'!D92</f>
        <v>0</v>
      </c>
      <c r="C92" s="75" t="n">
        <f aca="false">MAX(0,'Capital accounts'!I92)*$E$106/oil_book</f>
        <v>0</v>
      </c>
      <c r="D92" s="75" t="n">
        <f aca="false">B92+C92</f>
        <v>0</v>
      </c>
      <c r="E92" s="126" t="n">
        <f aca="false">'Capital accounts'!X92</f>
        <v>0</v>
      </c>
      <c r="F92" s="75" t="n">
        <f aca="false">IF(A92=1901,MIN($E$98,B92),0)</f>
        <v>0</v>
      </c>
      <c r="G92" s="75" t="n">
        <f aca="false">MIN(MAX(0,D92-E92-F92),$E$97*(D92-F92))</f>
        <v>0</v>
      </c>
      <c r="H92" s="75" t="n">
        <f aca="false">IF(AND(A92&gt;=1880,A92&lt;=1899),$E$101,IF(AND(A92&gt;=1900,A92&lt;=1913),$E$102,IF(AND(A92&gt;=1919,A92&lt;=1929),$E$103,0)))</f>
        <v>0</v>
      </c>
      <c r="I92" s="75" t="n">
        <f aca="false">MIN(H92,MAX(0,D92-E92-F92-G92))</f>
        <v>0</v>
      </c>
      <c r="J92" s="75" t="n">
        <f aca="false">MAX(0,D92-E92-F92-G92-I92)</f>
        <v>0</v>
      </c>
      <c r="K92" s="75" t="n">
        <f aca="false">F92+G92+I92</f>
        <v>0</v>
      </c>
      <c r="L92" s="75" t="n">
        <f aca="false">L91*(1-$E$105)+I92</f>
        <v>1081.72169627503</v>
      </c>
      <c r="M92" s="75" t="n">
        <f aca="false">M91+G92</f>
        <v>2388.47471932594</v>
      </c>
      <c r="N92" s="75" t="n">
        <f aca="false">N91*(1-$E$100)+F92</f>
        <v>256.595823837498</v>
      </c>
      <c r="O92" s="127" t="n">
        <f aca="false">IF(Champions!AY92&gt;0,Champions!AZ92/Champions!AY92,0)</f>
        <v>0.0709235717688374</v>
      </c>
      <c r="P92" s="75" t="n">
        <f aca="false">L91*$E$104+N91*$E$99+M91*O92</f>
        <v>239.558794529319</v>
      </c>
      <c r="Q92" s="75" t="n">
        <f aca="false">L91*$E$105</f>
        <v>33.455310194073</v>
      </c>
      <c r="R92" s="75" t="n">
        <f aca="false">N91*$E$100</f>
        <v>5.23664946607139</v>
      </c>
      <c r="S92" s="75" t="n">
        <f aca="false">D92-E92-F92-G92-I92-J92</f>
        <v>0</v>
      </c>
    </row>
    <row r="93" customFormat="false" ht="13.8" hidden="false" customHeight="false" outlineLevel="0" collapsed="false"/>
    <row r="94" customFormat="false" ht="13.8" hidden="false" customHeight="false" outlineLevel="0" collapsed="false"/>
    <row r="95" customFormat="false" ht="13.8" hidden="false" customHeight="false" outlineLevel="0" collapsed="false"/>
    <row r="96" customFormat="false" ht="13.8" hidden="false" customHeight="false" outlineLevel="0" collapsed="false">
      <c r="A96" s="28" t="s">
        <v>2057</v>
      </c>
      <c r="B96" s="28"/>
      <c r="C96" s="28" t="s">
        <v>2058</v>
      </c>
      <c r="D96" s="28" t="s">
        <v>2059</v>
      </c>
      <c r="E96" s="28" t="s">
        <v>194</v>
      </c>
      <c r="F96" s="28" t="s">
        <v>1943</v>
      </c>
    </row>
    <row r="97" customFormat="false" ht="13.8" hidden="false" customHeight="false" outlineLevel="0" collapsed="false">
      <c r="A97" s="1" t="s">
        <v>2436</v>
      </c>
      <c r="C97" s="1" t="n">
        <v>0.25</v>
      </c>
      <c r="D97" s="1" t="n">
        <v>0.25</v>
      </c>
      <c r="E97" s="1" t="n">
        <f aca="false">IF(Levers!$E$4=1,C97,D97)</f>
        <v>0.25</v>
      </c>
      <c r="F97" s="1" t="s">
        <v>2437</v>
      </c>
    </row>
    <row r="98" customFormat="false" ht="13.8" hidden="false" customHeight="false" outlineLevel="0" collapsed="false">
      <c r="A98" s="1" t="s">
        <v>2438</v>
      </c>
      <c r="C98" s="1" t="n">
        <v>480</v>
      </c>
      <c r="D98" s="1" t="n">
        <v>480</v>
      </c>
      <c r="E98" s="1" t="n">
        <f aca="false">IF(Levers!$E$4=1,C98,D98)</f>
        <v>480</v>
      </c>
      <c r="F98" s="1" t="s">
        <v>2439</v>
      </c>
    </row>
    <row r="99" customFormat="false" ht="13.8" hidden="false" customHeight="false" outlineLevel="0" collapsed="false">
      <c r="A99" s="1" t="s">
        <v>2440</v>
      </c>
      <c r="C99" s="1" t="n">
        <v>0.055</v>
      </c>
      <c r="D99" s="1" t="n">
        <v>0.055</v>
      </c>
      <c r="E99" s="1" t="n">
        <f aca="false">IF(Levers!$E$4=1,C99,D99)</f>
        <v>0.055</v>
      </c>
      <c r="F99" s="1" t="s">
        <v>2441</v>
      </c>
    </row>
    <row r="100" customFormat="false" ht="13.8" hidden="false" customHeight="false" outlineLevel="0" collapsed="false">
      <c r="A100" s="1" t="s">
        <v>2442</v>
      </c>
      <c r="C100" s="1" t="n">
        <v>0.02</v>
      </c>
      <c r="D100" s="1" t="n">
        <v>0.02</v>
      </c>
      <c r="E100" s="1" t="n">
        <f aca="false">IF(Levers!$E$4=1,C100,D100)</f>
        <v>0.02</v>
      </c>
      <c r="F100" s="1" t="s">
        <v>2443</v>
      </c>
    </row>
    <row r="101" customFormat="false" ht="13.8" hidden="false" customHeight="false" outlineLevel="0" collapsed="false">
      <c r="A101" s="1" t="s">
        <v>2444</v>
      </c>
      <c r="C101" s="1" t="n">
        <v>40</v>
      </c>
      <c r="D101" s="1" t="n">
        <v>30</v>
      </c>
      <c r="E101" s="1" t="n">
        <f aca="false">IF(Levers!$E$4=1,C101,D101)</f>
        <v>40</v>
      </c>
      <c r="F101" s="1" t="s">
        <v>2445</v>
      </c>
    </row>
    <row r="102" customFormat="false" ht="13.8" hidden="false" customHeight="false" outlineLevel="0" collapsed="false">
      <c r="A102" s="1" t="s">
        <v>2446</v>
      </c>
      <c r="C102" s="1" t="n">
        <v>150</v>
      </c>
      <c r="D102" s="1" t="n">
        <v>100</v>
      </c>
      <c r="E102" s="1" t="n">
        <f aca="false">IF(Levers!$E$4=1,C102,D102)</f>
        <v>150</v>
      </c>
      <c r="F102" s="1" t="s">
        <v>2447</v>
      </c>
    </row>
    <row r="103" customFormat="false" ht="13.8" hidden="false" customHeight="false" outlineLevel="0" collapsed="false">
      <c r="A103" s="1" t="s">
        <v>2448</v>
      </c>
      <c r="C103" s="1" t="n">
        <v>250</v>
      </c>
      <c r="D103" s="1" t="n">
        <v>150</v>
      </c>
      <c r="E103" s="1" t="n">
        <f aca="false">IF(Levers!$E$4=1,C103,D103)</f>
        <v>250</v>
      </c>
      <c r="F103" s="1" t="s">
        <v>2449</v>
      </c>
    </row>
    <row r="104" customFormat="false" ht="13.8" hidden="false" customHeight="false" outlineLevel="0" collapsed="false">
      <c r="A104" s="1" t="s">
        <v>2450</v>
      </c>
      <c r="C104" s="1" t="n">
        <v>0.05</v>
      </c>
      <c r="D104" s="1" t="n">
        <v>0.055</v>
      </c>
      <c r="E104" s="1" t="n">
        <f aca="false">IF(Levers!$E$4=1,C104,D104)</f>
        <v>0.05</v>
      </c>
      <c r="F104" s="1" t="s">
        <v>2451</v>
      </c>
    </row>
    <row r="105" customFormat="false" ht="13.8" hidden="false" customHeight="false" outlineLevel="0" collapsed="false">
      <c r="A105" s="1" t="s">
        <v>2452</v>
      </c>
      <c r="C105" s="1" t="n">
        <v>0.03</v>
      </c>
      <c r="D105" s="1" t="n">
        <v>0.03</v>
      </c>
      <c r="E105" s="1" t="n">
        <f aca="false">IF(Levers!$E$4=1,C105,D105)</f>
        <v>0.03</v>
      </c>
      <c r="F105" s="1" t="s">
        <v>2453</v>
      </c>
    </row>
    <row r="106" customFormat="false" ht="13.8" hidden="false" customHeight="false" outlineLevel="0" collapsed="false">
      <c r="A106" s="1" t="s">
        <v>2454</v>
      </c>
      <c r="C106" s="1" t="n">
        <v>4</v>
      </c>
      <c r="D106" s="1" t="n">
        <v>4</v>
      </c>
      <c r="E106" s="1" t="n">
        <f aca="false">IF(Levers!$E$4=1,C106,D106)</f>
        <v>4</v>
      </c>
      <c r="F106" s="1" t="s">
        <v>2455</v>
      </c>
    </row>
    <row r="107" customFormat="false" ht="13.8" hidden="false" customHeight="false" outlineLevel="0" collapsed="false"/>
    <row r="108" customFormat="false" ht="13.8" hidden="false" customHeight="false" outlineLevel="0" collapsed="false">
      <c r="A108" s="1" t="s">
        <v>2456</v>
      </c>
    </row>
    <row r="109" customFormat="false" ht="13.8" hidden="false" customHeight="false" outlineLevel="0" collapsed="false">
      <c r="A109" s="1" t="s">
        <v>2457</v>
      </c>
    </row>
    <row r="110" customFormat="false" ht="13.8" hidden="false" customHeight="false" outlineLevel="0" collapsed="false">
      <c r="A110" s="1" t="s">
        <v>2458</v>
      </c>
    </row>
    <row r="111" customFormat="false" ht="13.8" hidden="false" customHeight="false" outlineLevel="0" collapsed="false">
      <c r="A111" s="1" t="s">
        <v>2459</v>
      </c>
    </row>
    <row r="112" customFormat="false" ht="13.8" hidden="false" customHeight="false" outlineLevel="0" collapsed="false">
      <c r="A112" s="1" t="s">
        <v>2460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sheetData>
    <row r="1" customFormat="false" ht="13.8" hidden="false" customHeight="false" outlineLevel="0" collapsed="false">
      <c r="A1" s="28" t="s">
        <v>2461</v>
      </c>
    </row>
    <row r="2" customFormat="false" ht="13.8" hidden="false" customHeight="false" outlineLevel="0" collapsed="false">
      <c r="A2" s="1" t="s">
        <v>2462</v>
      </c>
    </row>
    <row r="3" customFormat="false" ht="13.8" hidden="false" customHeight="false" outlineLevel="0" collapsed="false"/>
    <row r="4" customFormat="false" ht="13.8" hidden="false" customHeight="false" outlineLevel="0" collapsed="false"/>
    <row r="5" customFormat="false" ht="13.8" hidden="false" customHeight="false" outlineLevel="0" collapsed="false">
      <c r="A5" s="28" t="s">
        <v>103</v>
      </c>
      <c r="B5" s="28" t="s">
        <v>2463</v>
      </c>
      <c r="C5" s="28" t="s">
        <v>2464</v>
      </c>
      <c r="D5" s="28" t="s">
        <v>41</v>
      </c>
      <c r="E5" s="28" t="s">
        <v>2465</v>
      </c>
      <c r="F5" s="28" t="s">
        <v>2466</v>
      </c>
      <c r="G5" s="28" t="s">
        <v>2467</v>
      </c>
      <c r="H5" s="28" t="s">
        <v>2468</v>
      </c>
      <c r="I5" s="28" t="s">
        <v>2469</v>
      </c>
    </row>
    <row r="6" customFormat="false" ht="13.8" hidden="false" customHeight="false" outlineLevel="0" collapsed="false">
      <c r="A6" s="1" t="n">
        <v>1914</v>
      </c>
      <c r="B6" s="75" t="n">
        <v>0</v>
      </c>
      <c r="C6" s="75" t="n">
        <v>0</v>
      </c>
      <c r="D6" s="75" t="n">
        <v>0</v>
      </c>
      <c r="E6" s="75" t="n">
        <v>0</v>
      </c>
      <c r="F6" s="75" t="n">
        <v>0</v>
      </c>
      <c r="G6" s="75" t="n">
        <f aca="false">SUM(B6:F6)*IF(Levers!$E$4=1,1,$C$13)</f>
        <v>0</v>
      </c>
      <c r="H6" s="75" t="n">
        <f aca="false">'War credit'!E74</f>
        <v>0</v>
      </c>
      <c r="I6" s="75" t="n">
        <f aca="false">MAX(0,H6-G6)</f>
        <v>0</v>
      </c>
    </row>
    <row r="7" customFormat="false" ht="13.8" hidden="false" customHeight="false" outlineLevel="0" collapsed="false">
      <c r="A7" s="1" t="n">
        <v>1915</v>
      </c>
      <c r="B7" s="75" t="n">
        <v>450</v>
      </c>
      <c r="C7" s="75" t="n">
        <v>50</v>
      </c>
      <c r="D7" s="75" t="n">
        <v>0</v>
      </c>
      <c r="E7" s="75" t="n">
        <v>0</v>
      </c>
      <c r="F7" s="75" t="n">
        <v>25</v>
      </c>
      <c r="G7" s="75" t="n">
        <f aca="false">SUM(B7:F7)*IF(Levers!$E$4=1,1,$C$13)</f>
        <v>525</v>
      </c>
      <c r="H7" s="75" t="n">
        <f aca="false">'War credit'!E75</f>
        <v>525</v>
      </c>
      <c r="I7" s="75" t="n">
        <f aca="false">MAX(0,H7-G7)</f>
        <v>0</v>
      </c>
    </row>
    <row r="8" customFormat="false" ht="13.8" hidden="false" customHeight="false" outlineLevel="0" collapsed="false">
      <c r="A8" s="1" t="n">
        <v>1916</v>
      </c>
      <c r="B8" s="75" t="n">
        <v>700</v>
      </c>
      <c r="C8" s="75" t="n">
        <v>250</v>
      </c>
      <c r="D8" s="75" t="n">
        <v>0</v>
      </c>
      <c r="E8" s="75" t="n">
        <v>50</v>
      </c>
      <c r="F8" s="75" t="n">
        <v>50</v>
      </c>
      <c r="G8" s="75" t="n">
        <f aca="false">SUM(B8:F8)*IF(Levers!$E$4=1,1,$C$13)</f>
        <v>1050</v>
      </c>
      <c r="H8" s="75" t="n">
        <f aca="false">'War credit'!E76</f>
        <v>1050</v>
      </c>
      <c r="I8" s="75" t="n">
        <f aca="false">MAX(0,H8-G8)</f>
        <v>0</v>
      </c>
    </row>
    <row r="9" customFormat="false" ht="13.8" hidden="false" customHeight="false" outlineLevel="0" collapsed="false">
      <c r="A9" s="1" t="n">
        <v>1917</v>
      </c>
      <c r="B9" s="75" t="n">
        <v>450</v>
      </c>
      <c r="C9" s="75" t="n">
        <v>300</v>
      </c>
      <c r="D9" s="75" t="n">
        <v>300</v>
      </c>
      <c r="E9" s="75" t="n">
        <v>75</v>
      </c>
      <c r="F9" s="75" t="n">
        <v>75</v>
      </c>
      <c r="G9" s="75" t="n">
        <f aca="false">SUM(B9:F9)*IF(Levers!$E$4=1,1,$C$13)</f>
        <v>1200</v>
      </c>
      <c r="H9" s="75" t="n">
        <f aca="false">'War credit'!E77</f>
        <v>1200</v>
      </c>
      <c r="I9" s="75" t="n">
        <f aca="false">MAX(0,H9-G9)</f>
        <v>0</v>
      </c>
    </row>
    <row r="10" customFormat="false" ht="13.8" hidden="false" customHeight="false" outlineLevel="0" collapsed="false">
      <c r="A10" s="1" t="n">
        <v>1918</v>
      </c>
      <c r="B10" s="75" t="n">
        <v>350</v>
      </c>
      <c r="C10" s="75" t="n">
        <v>200</v>
      </c>
      <c r="D10" s="75" t="n">
        <v>300</v>
      </c>
      <c r="E10" s="75" t="n">
        <v>125</v>
      </c>
      <c r="F10" s="75" t="n">
        <v>200</v>
      </c>
      <c r="G10" s="75" t="n">
        <f aca="false">SUM(B10:F10)*IF(Levers!$E$4=1,1,$C$13)</f>
        <v>1175</v>
      </c>
      <c r="H10" s="75" t="n">
        <f aca="false">'War credit'!E78</f>
        <v>1175</v>
      </c>
      <c r="I10" s="75" t="n">
        <f aca="false">MAX(0,H10-G10)</f>
        <v>0</v>
      </c>
    </row>
    <row r="11" customFormat="false" ht="13.8" hidden="false" customHeight="false" outlineLevel="0" collapsed="false">
      <c r="A11" s="28" t="s">
        <v>2007</v>
      </c>
      <c r="B11" s="128" t="n">
        <f aca="false">SUM(B6:B10)</f>
        <v>1950</v>
      </c>
      <c r="C11" s="128" t="n">
        <f aca="false">SUM(C6:C10)</f>
        <v>800</v>
      </c>
      <c r="D11" s="128" t="n">
        <f aca="false">SUM(D6:D10)</f>
        <v>600</v>
      </c>
      <c r="E11" s="128" t="n">
        <f aca="false">SUM(E6:E10)</f>
        <v>250</v>
      </c>
      <c r="F11" s="128" t="n">
        <f aca="false">SUM(F6:F10)</f>
        <v>350</v>
      </c>
      <c r="G11" s="128" t="n">
        <f aca="false">SUM(G6:G10)</f>
        <v>3950</v>
      </c>
      <c r="H11" s="128" t="n">
        <f aca="false">SUM(H6:H10)</f>
        <v>3950</v>
      </c>
      <c r="I11" s="128" t="n">
        <f aca="false">SUM(I6:I10)</f>
        <v>0</v>
      </c>
    </row>
    <row r="12" customFormat="false" ht="13.8" hidden="false" customHeight="false" outlineLevel="0" collapsed="false"/>
    <row r="13" customFormat="false" ht="13.8" hidden="false" customHeight="false" outlineLevel="0" collapsed="false">
      <c r="A13" s="1" t="s">
        <v>2470</v>
      </c>
      <c r="C13" s="1" t="n">
        <v>0.85</v>
      </c>
    </row>
    <row r="14" customFormat="false" ht="13.8" hidden="false" customHeight="false" outlineLevel="0" collapsed="false"/>
    <row r="15" customFormat="false" ht="13.8" hidden="false" customHeight="false" outlineLevel="0" collapsed="false">
      <c r="A15" s="1" t="s">
        <v>2471</v>
      </c>
    </row>
    <row r="16" customFormat="false" ht="13.8" hidden="false" customHeight="false" outlineLevel="0" collapsed="false">
      <c r="A16" s="1" t="s">
        <v>2472</v>
      </c>
    </row>
    <row r="17" customFormat="false" ht="13.8" hidden="false" customHeight="false" outlineLevel="0" collapsed="false">
      <c r="A17" s="1" t="s">
        <v>2473</v>
      </c>
    </row>
    <row r="18" customFormat="false" ht="13.8" hidden="false" customHeight="false" outlineLevel="0" collapsed="false">
      <c r="A18" s="1" t="s">
        <v>2474</v>
      </c>
    </row>
    <row r="19" customFormat="false" ht="13.8" hidden="false" customHeight="false" outlineLevel="0" collapsed="false">
      <c r="A19" s="1" t="s">
        <v>2475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2026-10-23T12:14:37Z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