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<sst xmlns="http://schemas.openxmlformats.org/spreadsheetml/2006/main" uniqueCount="18" count="18">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</sst>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5">
    <numFmt formatCode="0.0%_);(0.0%)" numFmtId="100"/>
    <numFmt formatCode="#,##0_);(#,##0)" numFmtId="101"/>
    <numFmt formatCode="d-mmm-yyyy" numFmtId="102"/>
    <numFmt formatCode="0_);(0)" numFmtId="103"/>
    <numFmt formatCode="0.000_);(0.000)" numFmtId="104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Sheet1!$BE$9:$BE$57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Sheet1!$AQ$9:$AQ$57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Sheet1!$AX$9:$AX$57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1"/>
        <c:axId val="2"/>
      </c:areaChart>
      <c:catAx>
        <c:axId val="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1"/>
        <c:minorUnit val="2"/>
      </c:catAx>
      <c:valAx>
        <c:axId val="2"/>
        <c:scaling>
          <c:orientation val="minMax"/>
          <c:max val="175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Sheet1!$BS$9:$BS$57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Sheet1!$BE$9:$BE$57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Sheet1!$AQ$9:$AQ$57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Sheet1!$AX$9:$AX$57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Sheet1!$V$9:$V$57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Sheet1!$AC$9:$AC$57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Sheet1!$AJ$9:$AJ$57</c:f>
            </c:numRef>
          </c:val>
        </c:ser>
        <c:axId val="3"/>
        <c:axId val="4"/>
      </c:areaChart>
      <c:catAx>
        <c:axId val="3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ax"/>
        <c:majorUnit val="1"/>
        <c:minorUnit val="2"/>
      </c:catAx>
      <c:valAx>
        <c:axId val="4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Sheet1!$AR$17:$AR$57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Sheet1!$P$17:$P$57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Sheet1!$BM$17:$BM$57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Sheet1!$AY$17:$AY$57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Sheet1!$BF$17:$BF$57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5"/>
        <c:axId val="6"/>
      </c:scatterChart>
      <c:valAx>
        <c:axId val="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Sheet1!$AK$17:$AK$57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Sheet1!$AD$17:$AD$57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Sheet1!$W$17:$W$57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Sheet1!$AR$17:$AR$57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Sheet1!$P$17:$P$57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Sheet1!$BM$17:$BM$57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Sheet1!$AY$17:$AY$57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Sheet1!$BF$17:$BF$57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7"/>
        <c:axId val="8"/>
      </c:scatterChart>
      <c:valAx>
        <c:axId val="7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9"/>
        <c:axId val="10"/>
      </c:areaChart>
      <c:catAx>
        <c:axId val="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in"/>
        <c:minorTickMark val="none"/>
        <c:spPr/>
        <c:crossAx val="10"/>
        <c:crosses val="min"/>
        <c:majorUnit val="2"/>
        <c:minorUnit val="2"/>
      </c:catAx>
      <c:valAx>
        <c:axId val="10"/>
        <c:scaling>
          <c:orientation val="minMax"/>
          <c:max val="32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9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Sheet1!$U$9:$U$57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Sheet1!$AB$9:$AB$57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Sheet1!$AI$9:$AI$57</c:f>
            </c:numRef>
          </c:val>
        </c:ser>
        <c:axId val="11"/>
        <c:axId val="12"/>
      </c:areaChart>
      <c:catAx>
        <c:axId val="1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in"/>
        <c:minorTickMark val="none"/>
        <c:spPr/>
        <c:crossAx val="12"/>
        <c:crosses val="min"/>
        <c:majorUnit val="2"/>
        <c:minorUnit val="2"/>
      </c:catAx>
      <c:valAx>
        <c:axId val="1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13"/>
        <c:axId val="14"/>
      </c:areaChart>
      <c:catAx>
        <c:axId val="13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14"/>
        <c:crosses val="min"/>
        <c:majorUnit val="2"/>
        <c:minorUnit val="2"/>
      </c:catAx>
      <c:valAx>
        <c:axId val="1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Sheet1!$BD$9:$BD$57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Sheet1!$AW$9:$AW$57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Sheet1!$BK$9:$BK$57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Sheet1!$BR$9:$BR$57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Sheet1!$AP$9:$AP$57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Sheet1!$N$9:$N$57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Sheet1!$U$9:$U$57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Sheet1!$AB$9:$AB$57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Sheet1!$AI$9:$AI$57</c:f>
            </c:numRef>
          </c:val>
        </c:ser>
        <c:axId val="15"/>
        <c:axId val="16"/>
      </c:areaChart>
      <c:catAx>
        <c:axId val="15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16"/>
        <c:crosses val="min"/>
        <c:majorUnit val="2"/>
        <c:minorUnit val="2"/>
      </c:catAx>
      <c:valAx>
        <c:axId val="16"/>
        <c:scaling>
          <c:orientation val="minMax"/>
          <c:max val="25326.909090909092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65</xdr:col>
      <xdr:colOff>172216</xdr:colOff>
      <xdr:row>124</xdr:row>
      <xdr:rowOff>117881</xdr:rowOff>
    </xdr:from>
    <xdr:ext cx="13843000" cy="67310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64</xdr:col>
      <xdr:colOff>885377</xdr:colOff>
      <xdr:row>94</xdr:row>
      <xdr:rowOff>247650</xdr:rowOff>
    </xdr:from>
    <xdr:ext cx="13843000" cy="6731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46</xdr:col>
      <xdr:colOff>82785</xdr:colOff>
      <xdr:row>119</xdr:row>
      <xdr:rowOff>58940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46</xdr:col>
      <xdr:colOff>137975</xdr:colOff>
      <xdr:row>85</xdr:row>
      <xdr:rowOff>47053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123875</xdr:colOff>
      <xdr:row>85</xdr:row>
      <xdr:rowOff>94354</xdr:rowOff>
    </xdr:from>
    <xdr:ext cx="15113000" cy="717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</xdr:col>
      <xdr:colOff>83004</xdr:colOff>
      <xdr:row>85</xdr:row>
      <xdr:rowOff>82467</xdr:rowOff>
    </xdr:from>
    <xdr:ext cx="16129000" cy="7366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28</xdr:col>
      <xdr:colOff>68987</xdr:colOff>
      <xdr:row>119</xdr:row>
      <xdr:rowOff>35413</xdr:rowOff>
    </xdr:from>
    <xdr:ext cx="15113000" cy="6921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</xdr:col>
      <xdr:colOff>138340</xdr:colOff>
      <xdr:row>119</xdr:row>
      <xdr:rowOff>82467</xdr:rowOff>
    </xdr:from>
    <xdr:ext cx="16129000" cy="6540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S518"/>
  <sheetViews>
    <sheetView workbookViewId="0" zoomScale="8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28485576923077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1.1421875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1.42788461538461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1.427884615384617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1.42788461538461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1" width="17.284675480769234" customWidth="1"/>
    <col min="84" max="84" style="1" width="24.646137820512823" customWidth="1"/>
    <col min="85" max="85" style="2" width="14.856250000000001" customWidth="1"/>
    <col min="86" max="86" style="5" width="14.28485576923077" customWidth="1"/>
    <col min="87" max="87" style="1" width="16.71328125" customWidth="1"/>
    <col min="88" max="88" style="1" width="12.856370192307693" bestFit="1" customWidth="1"/>
    <col min="89" max="97" style="1" width="11.85643028846154" bestFit="1" customWidth="1"/>
    <col min="98" max="256" style="1" width="9.142307692307693"/>
  </cols>
  <sheetData>
    <row r="1" spans="1:97" customHeight="1" ht="3">
      <c r="A1" t="inlineStr">
        <is>
          <t>a</t>
        </is>
      </c>
    </row>
    <row r="2" spans="1:97" customHeight="1" ht="3">
      <c r="A2" t="inlineStr">
        <is>
          <t>b</t>
        </is>
      </c>
    </row>
    <row r="3" spans="1:97" ht="19.5">
      <c r="A3" t="inlineStr">
        <is>
          <t>c</t>
        </is>
      </c>
      <c r="C3" t="inlineStr">
        <is>
          <t>Last revision:  Sunday, 26 Apr 2020 22:28:35 UTC</t>
        </is>
      </c>
      <c r="H3" t="inlineStr">
        <is>
          <t>Good revision - lot of work on graphs</t>
        </is>
      </c>
    </row>
    <row r="4" spans="1:97" ht="19.5">
      <c r="A4" t="inlineStr">
        <is>
          <t>d</t>
        </is>
      </c>
      <c r="C4" s="1"/>
      <c r="D4" s="6"/>
      <c r="I4" t="s">
        <v>0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97" ht="19.5">
      <c r="A5" t="inlineStr">
        <is>
          <t>e</t>
        </is>
      </c>
      <c r="C5" t="s">
        <v>1</v>
      </c>
      <c r="G5" t="inlineStr">
        <is>
          <t>15x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P5" t="s">
        <v>3</v>
      </c>
      <c r="W5" t="s">
        <v>3</v>
      </c>
      <c r="CG5" t="inlineStr">
        <is>
          <t>United States,</t>
        </is>
      </c>
    </row>
    <row r="6" spans="1:9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N6" t="s">
        <v>8</v>
      </c>
      <c r="P6" t="s">
        <v>9</v>
      </c>
      <c r="R6" t="s">
        <v>10</v>
      </c>
      <c r="U6" t="s">
        <v>8</v>
      </c>
      <c r="W6" t="s">
        <v>9</v>
      </c>
      <c r="Y6" t="s">
        <v>10</v>
      </c>
      <c r="AB6" t="s">
        <v>8</v>
      </c>
      <c r="AD6" t="s">
        <v>9</v>
      </c>
      <c r="AF6" t="s">
        <v>10</v>
      </c>
      <c r="AI6" t="s">
        <v>8</v>
      </c>
      <c r="AK6" t="s">
        <v>9</v>
      </c>
      <c r="AM6" t="s">
        <v>10</v>
      </c>
      <c r="AP6" t="s">
        <v>8</v>
      </c>
      <c r="AR6" t="s">
        <v>9</v>
      </c>
      <c r="AT6" t="s">
        <v>10</v>
      </c>
      <c r="AW6" t="s">
        <v>8</v>
      </c>
      <c r="AY6" t="s">
        <v>9</v>
      </c>
      <c r="BA6" t="s">
        <v>10</v>
      </c>
      <c r="BD6" t="s">
        <v>8</v>
      </c>
      <c r="BF6" t="s">
        <v>9</v>
      </c>
      <c r="BH6" t="s">
        <v>10</v>
      </c>
      <c r="BK6" t="s">
        <v>8</v>
      </c>
      <c r="BM6" t="s">
        <v>9</v>
      </c>
      <c r="BO6" t="s">
        <v>10</v>
      </c>
      <c r="BR6" t="s">
        <v>8</v>
      </c>
      <c r="BT6" t="s">
        <v>9</v>
      </c>
      <c r="BV6" t="s">
        <v>10</v>
      </c>
      <c r="BY6" t="s">
        <v>8</v>
      </c>
      <c r="CA6" t="s">
        <v>9</v>
      </c>
      <c r="CC6" t="s">
        <v>10</v>
      </c>
      <c r="CG6" t="inlineStr">
        <is>
          <t>Confirmed</t>
        </is>
      </c>
    </row>
    <row r="7" spans="1:97" ht="19.5">
      <c r="C7" s="1"/>
      <c r="H7" s="1"/>
      <c r="CH7" s="1"/>
    </row>
    <row r="8" spans="1:97" ht="19.5">
      <c r="C8" s="1">
        <v>1</v>
      </c>
      <c r="D8">
        <v>0</v>
      </c>
      <c r="E8" t="s">
        <v>11</v>
      </c>
      <c r="F8" s="7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AI8">
        <f>AI7+1</f>
        <v>1</v>
      </c>
      <c r="AJ8" s="8">
        <f>AI8-AI7</f>
        <v>1</v>
      </c>
      <c r="BY8">
        <f>N8+U8+AB8+AI8+AP8+AW8+BD8+BK8</f>
        <v>1</v>
      </c>
      <c r="BZ8" s="8">
        <f>BY8-BY7</f>
        <v>1</v>
      </c>
      <c r="CA8">
        <f>P8+W8+AD8+AK8+AR8+AY8+BF8+BM8</f>
        <v>0</v>
      </c>
      <c r="CC8">
        <f>R8+Y8+AF8+AM8+AT8+BA8+BH8+BO8</f>
        <v>0</v>
      </c>
      <c r="CH8" s="1"/>
    </row>
    <row r="9" spans="1:97" ht="19.5">
      <c r="C9">
        <f>H8*D9</f>
        <v>1</v>
      </c>
      <c r="D9">
        <v>1</v>
      </c>
      <c r="E9" t="s">
        <v>12</v>
      </c>
      <c r="F9" s="7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8">
        <f>N9-N8</f>
        <v>1</v>
      </c>
      <c r="AI9">
        <f>AI8+0</f>
        <v>1</v>
      </c>
      <c r="AJ9" s="8">
        <f>AI9-AI8</f>
        <v>0</v>
      </c>
      <c r="BY9">
        <f>N9+U9+AB9+AI9+AP9+AW9+BD9+BK9</f>
        <v>2</v>
      </c>
      <c r="BZ9" s="8">
        <f>BY9-BY8</f>
        <v>1</v>
      </c>
      <c r="CA9">
        <f>P9+W9+AD9+AK9+AR9+AY9+BF9+BM9</f>
        <v>0</v>
      </c>
      <c r="CC9">
        <f>R9+Y9+AF9+AM9+AT9+BA9+BH9+BO9</f>
        <v>0</v>
      </c>
    </row>
    <row r="10" spans="1:97" ht="19.5">
      <c r="C10">
        <f>H9*D10</f>
        <v>0</v>
      </c>
      <c r="D10">
        <v>0</v>
      </c>
      <c r="E10" t="s">
        <v>13</v>
      </c>
      <c r="F10" s="7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8">
        <f>N10-N9</f>
        <v>0</v>
      </c>
      <c r="AI10">
        <f>AI9+0</f>
        <v>1</v>
      </c>
      <c r="AJ10" s="8">
        <f>AI10-AI9</f>
        <v>0</v>
      </c>
      <c r="BY10">
        <f>N10+U10+AB10+AI10+AP10+AW10+BD10+BK10</f>
        <v>2</v>
      </c>
      <c r="BZ10" s="8">
        <f>BY10-BY9</f>
        <v>0</v>
      </c>
      <c r="CA10">
        <f>P10+W10+AD10+AK10+AR10+AY10+BF10+BM10</f>
        <v>0</v>
      </c>
      <c r="CC10">
        <f>R10+Y10+AF10+AM10+AT10+BA10+BH10+BO10</f>
        <v>0</v>
      </c>
      <c r="CF10" s="7">
        <v>43852</v>
      </c>
      <c r="CG10">
        <v>1</v>
      </c>
    </row>
    <row r="11" spans="1:97" ht="19.5">
      <c r="C11">
        <f>H10*D11</f>
        <v>1</v>
      </c>
      <c r="D11">
        <v>0.5</v>
      </c>
      <c r="E11" t="s">
        <v>14</v>
      </c>
      <c r="F11" s="7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8">
        <f>N11-N10</f>
        <v>0</v>
      </c>
      <c r="AI11">
        <f>AI10+1</f>
        <v>2</v>
      </c>
      <c r="AJ11" s="8">
        <f>AI11-AI10</f>
        <v>1</v>
      </c>
      <c r="BY11">
        <f>N11+U11+AB11+AI11+AP11+AW11+BD11+BK11</f>
        <v>3</v>
      </c>
      <c r="BZ11" s="8">
        <f>BY11-BY10</f>
        <v>1</v>
      </c>
      <c r="CA11">
        <f>P11+W11+AD11+AK11+AR11+AY11+BF11+BM11</f>
        <v>0</v>
      </c>
      <c r="CC11">
        <f>R11+Y11+AF11+AM11+AT11+BA11+BH11+BO11</f>
        <v>0</v>
      </c>
      <c r="CF11" s="7">
        <v>43853</v>
      </c>
      <c r="CG11">
        <v>1</v>
      </c>
      <c r="CH11">
        <f>(CG11/CG10)-1</f>
        <v>0</v>
      </c>
      <c r="CJ11">
        <v>869170</v>
      </c>
      <c r="CK11">
        <v>905358</v>
      </c>
    </row>
    <row r="12" spans="1:97" ht="19.5">
      <c r="C12">
        <f>H11*D12</f>
        <v>3</v>
      </c>
      <c r="D12">
        <v>1</v>
      </c>
      <c r="E12" t="s">
        <v>15</v>
      </c>
      <c r="F12" s="7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8">
        <f>N12-N11</f>
        <v>0</v>
      </c>
      <c r="AI12">
        <f>AI11+3</f>
        <v>5</v>
      </c>
      <c r="AJ12" s="8">
        <f>AI12-AI11</f>
        <v>3</v>
      </c>
      <c r="BY12">
        <f>N12+U12+AB12+AI12+AP12+AW12+BD12+BK12</f>
        <v>6</v>
      </c>
      <c r="BZ12" s="8">
        <f>BY12-BY11</f>
        <v>3</v>
      </c>
      <c r="CA12">
        <f>P12+W12+AD12+AK12+AR12+AY12+BF12+BM12</f>
        <v>0</v>
      </c>
      <c r="CC12">
        <f>R12+Y12+AF12+AM12+AT12+BA12+BH12+BO12</f>
        <v>0</v>
      </c>
      <c r="CF12" s="7">
        <v>43854</v>
      </c>
      <c r="CG12">
        <v>2</v>
      </c>
      <c r="CH12">
        <f>(CG12/CG11)-1</f>
        <v>1</v>
      </c>
    </row>
    <row r="13" spans="1:97" ht="19.5">
      <c r="C13">
        <f>H12*D13</f>
        <v>4.9999999999979998</v>
      </c>
      <c r="D13">
        <v>0.83333333333299997</v>
      </c>
      <c r="E13" t="s">
        <v>16</v>
      </c>
      <c r="F13" s="7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8">
        <f>N13-N12</f>
        <v>2</v>
      </c>
      <c r="AI13">
        <v>8</v>
      </c>
      <c r="AJ13" s="8">
        <f>AI13-AI12</f>
        <v>3</v>
      </c>
      <c r="BY13">
        <f>N13+U13+AB13+AI13+AP13+AW13+BD13+BK13</f>
        <v>11</v>
      </c>
      <c r="BZ13" s="8">
        <f>BY13-BY12</f>
        <v>5</v>
      </c>
      <c r="CA13">
        <f>P13+W13+AD13+AK13+AR13+AY13+BF13+BM13</f>
        <v>0</v>
      </c>
      <c r="CC13">
        <f>R13+Y13+AF13+AM13+AT13+BA13+BH13+BO13</f>
        <v>0</v>
      </c>
      <c r="CF13" s="7">
        <v>43855</v>
      </c>
      <c r="CG13">
        <v>2</v>
      </c>
      <c r="CH13">
        <f>(CG13/CG12)-1</f>
        <v>0</v>
      </c>
      <c r="CJ13">
        <v>869170</v>
      </c>
      <c r="CK13">
        <v>905358</v>
      </c>
      <c r="CL13">
        <v>938154</v>
      </c>
    </row>
    <row r="14" spans="1:97" ht="19.5">
      <c r="C14">
        <f>H13*D14</f>
        <v>9.0000000000003624</v>
      </c>
      <c r="D14">
        <v>0.81818181818199998</v>
      </c>
      <c r="E14" t="s">
        <v>17</v>
      </c>
      <c r="F14" s="7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8">
        <f>N14-N13</f>
        <v>0</v>
      </c>
      <c r="U14">
        <f>U13+1</f>
        <v>1</v>
      </c>
      <c r="V14" s="8">
        <f>U14-U13</f>
        <v>1</v>
      </c>
      <c r="AB14">
        <f>AB13+1</f>
        <v>1</v>
      </c>
      <c r="AC14" s="8">
        <f>AB14-AB13</f>
        <v>1</v>
      </c>
      <c r="AI14">
        <f>AI13+7</f>
        <v>15</v>
      </c>
      <c r="AJ14" s="8">
        <f>AI14-AI13</f>
        <v>7</v>
      </c>
      <c r="BY14">
        <f>N14+U14+AB14+AI14+AP14+AW14+BD14+BK14</f>
        <v>20</v>
      </c>
      <c r="BZ14" s="8">
        <f>BY14-BY13</f>
        <v>9</v>
      </c>
      <c r="CA14">
        <f>P14+W14+AD14+AK14+AR14+AY14+BF14+BM14</f>
        <v>0</v>
      </c>
      <c r="CC14">
        <f>R14+Y14+AF14+AM14+AT14+BA14+BH14+BO14</f>
        <v>0</v>
      </c>
      <c r="CF14" s="7">
        <v>43856</v>
      </c>
      <c r="CG14">
        <v>5</v>
      </c>
      <c r="CH14">
        <f>(CG14/CG13)-1</f>
        <v>1.5</v>
      </c>
    </row>
    <row r="15" spans="1:97" ht="19.5">
      <c r="C15">
        <f>H14*D15</f>
        <v>5.9999999999995088</v>
      </c>
      <c r="D15">
        <v>0.29999999999999999</v>
      </c>
      <c r="E15" t="s">
        <v>11</v>
      </c>
      <c r="F15" s="7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8">
        <f>N15-N14</f>
        <v>1</v>
      </c>
      <c r="U15">
        <f>U14+2</f>
        <v>3</v>
      </c>
      <c r="V15" s="8">
        <f>U15-U14</f>
        <v>2</v>
      </c>
      <c r="AB15">
        <f>AB14+2</f>
        <v>3</v>
      </c>
      <c r="AC15" s="8">
        <f>AB15-AB14</f>
        <v>2</v>
      </c>
      <c r="AI15">
        <f>AI14+1</f>
        <v>16</v>
      </c>
      <c r="AJ15" s="8">
        <f>AI15-AI14</f>
        <v>1</v>
      </c>
      <c r="BY15">
        <f>N15+U15+AB15+AI15+AP15+AW15+BD15+BK15</f>
        <v>26</v>
      </c>
      <c r="BZ15" s="8">
        <f>BY15-BY14</f>
        <v>6</v>
      </c>
      <c r="CA15">
        <f>P15+W15+AD15+AK15+AR15+AY15+BF15+BM15</f>
        <v>0</v>
      </c>
      <c r="CC15">
        <f>R15+Y15+AF15+AM15+AT15+BA15+BH15+BO15</f>
        <v>0</v>
      </c>
      <c r="CF15" s="7">
        <v>43857</v>
      </c>
      <c r="CG15">
        <v>5</v>
      </c>
      <c r="CH15">
        <f>(CG15/CG14)-1</f>
        <v>0</v>
      </c>
    </row>
    <row r="16" spans="1:97" ht="19.5">
      <c r="C16">
        <f>H15*D16</f>
        <v>14.999999999996774</v>
      </c>
      <c r="D16">
        <v>0.57692307692300004</v>
      </c>
      <c r="E16" t="s">
        <v>12</v>
      </c>
      <c r="F16" s="7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8">
        <f>N16-N15</f>
        <v>0</v>
      </c>
      <c r="U16">
        <f>U15+1</f>
        <v>4</v>
      </c>
      <c r="V16" s="8">
        <f>U16-U15</f>
        <v>1</v>
      </c>
      <c r="AB16">
        <f>AB15+1</f>
        <v>4</v>
      </c>
      <c r="AC16" s="8">
        <f>AB16-AB15</f>
        <v>1</v>
      </c>
      <c r="AI16">
        <f>AI15+13</f>
        <v>29</v>
      </c>
      <c r="AJ16" s="8">
        <f>AI16-AI15</f>
        <v>13</v>
      </c>
      <c r="BY16">
        <f>N16+U16+AB16+AI16+AP16+AW16+BD16+BK16</f>
        <v>41</v>
      </c>
      <c r="BZ16" s="8">
        <f>BY16-BY15</f>
        <v>15</v>
      </c>
      <c r="CA16">
        <f>P16+W16+AD16+AK16+AR16+AY16+BF16+BM16</f>
        <v>0</v>
      </c>
      <c r="CC16">
        <f>R16+Y16+AF16+AM16+AT16+BA16+BH16+BO16</f>
        <v>0</v>
      </c>
      <c r="CF16" s="7">
        <v>43858</v>
      </c>
      <c r="CG16">
        <v>5</v>
      </c>
      <c r="CH16">
        <f>(CG16/CG15)-1</f>
        <v>0</v>
      </c>
      <c r="CJ16" s="2"/>
    </row>
    <row r="17" spans="1:97" ht="19.5">
      <c r="C17">
        <f>H16*D17</f>
        <v>27.000000000002473</v>
      </c>
      <c r="D17">
        <v>0.65853658536600002</v>
      </c>
      <c r="E17" t="s">
        <v>13</v>
      </c>
      <c r="F17" s="7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8">
        <f>N17-N16</f>
        <v>1</v>
      </c>
      <c r="U17">
        <f>U16+3</f>
        <v>7</v>
      </c>
      <c r="V17" s="8">
        <f>U17-U16</f>
        <v>3</v>
      </c>
      <c r="AB17">
        <f>AB16+4</f>
        <v>8</v>
      </c>
      <c r="AC17" s="8">
        <f>AB17-AB16</f>
        <v>4</v>
      </c>
      <c r="AI17">
        <f>AI16+19</f>
        <v>48</v>
      </c>
      <c r="AJ17" s="8">
        <f>AI17-AI16</f>
        <v>19</v>
      </c>
      <c r="BY17">
        <f>N17+U17+AB17+AI17+AP17+AW17+BD17+BK17</f>
        <v>68</v>
      </c>
      <c r="BZ17" s="8">
        <f>BY17-BY16</f>
        <v>27</v>
      </c>
      <c r="CA17">
        <f>P17+W17+AD17+AK17+AR17+AY17+BF17+BM17</f>
        <v>0</v>
      </c>
      <c r="CC17">
        <f>R17+Y17+AF17+AM17+AT17+BA17+BH17+BO17</f>
        <v>0</v>
      </c>
      <c r="CF17" s="7">
        <v>43859</v>
      </c>
      <c r="CG17">
        <v>5</v>
      </c>
      <c r="CH17">
        <f>(CG17/CG16)-1</f>
        <v>0</v>
      </c>
    </row>
    <row r="18" spans="1:97" ht="19.5">
      <c r="C18">
        <f>H17*D18</f>
        <v>27.999999999974811</v>
      </c>
      <c r="D18">
        <v>0.41176470588199998</v>
      </c>
      <c r="E18" t="s">
        <v>14</v>
      </c>
      <c r="F18" s="7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8">
        <f>N18-N17</f>
        <v>0</v>
      </c>
      <c r="U18">
        <f>U17+4</f>
        <v>11</v>
      </c>
      <c r="V18" s="8">
        <f>U18-U17</f>
        <v>4</v>
      </c>
      <c r="AB18">
        <f>AB17+2</f>
        <v>10</v>
      </c>
      <c r="AC18" s="8">
        <f>AB18-AB17</f>
        <v>2</v>
      </c>
      <c r="AI18">
        <f>AI17+21</f>
        <v>69</v>
      </c>
      <c r="AJ18" s="8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8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8">
        <f>BY18-BY17</f>
        <v>28</v>
      </c>
      <c r="CA18">
        <f>P18+W18+AD18+AK18+AR18+AY18+BF18+BM18</f>
        <v>0</v>
      </c>
      <c r="CC18">
        <f>R18+Y18+AF18+AM18+AT18+BA18+BH18+BO18</f>
        <v>1</v>
      </c>
      <c r="CF18" s="7">
        <v>43860</v>
      </c>
      <c r="CG18">
        <v>5</v>
      </c>
      <c r="CH18">
        <f>(CG18/CG17)-1</f>
        <v>0</v>
      </c>
    </row>
    <row r="19" spans="1:97" ht="19.5">
      <c r="C19">
        <f>H18*D19</f>
        <v>62.999999999981569</v>
      </c>
      <c r="D19">
        <v>0.65625</v>
      </c>
      <c r="E19" t="s">
        <v>15</v>
      </c>
      <c r="F19" s="7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8">
        <f>N19-N18</f>
        <v>2</v>
      </c>
      <c r="U19">
        <f>U18+7</f>
        <v>18</v>
      </c>
      <c r="V19" s="8">
        <f>U19-U18</f>
        <v>7</v>
      </c>
      <c r="AB19">
        <f>AB18+13</f>
        <v>23</v>
      </c>
      <c r="AC19" s="8">
        <f>AB19-AB18</f>
        <v>13</v>
      </c>
      <c r="AI19">
        <f>AI18+33</f>
        <v>102</v>
      </c>
      <c r="AJ19" s="8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8">
        <f>AP19-AP18</f>
        <v>2</v>
      </c>
      <c r="AR19">
        <f>AR18+0</f>
        <v>0</v>
      </c>
      <c r="AW19">
        <f>AW18+4</f>
        <v>4</v>
      </c>
      <c r="AX19" s="8">
        <f>AW19-AW18</f>
        <v>4</v>
      </c>
      <c r="BD19">
        <f>BD18+2</f>
        <v>2</v>
      </c>
      <c r="BE19" s="8">
        <f>BD19-BD18</f>
        <v>2</v>
      </c>
      <c r="BY19">
        <f>N19+U19+AB19+AI19+AP19+AW19+BD19+BK19</f>
        <v>159</v>
      </c>
      <c r="BZ19" s="8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F19" s="7">
        <v>43861</v>
      </c>
      <c r="CG19">
        <v>7</v>
      </c>
      <c r="CH19">
        <f>(CG19/CG18)-1</f>
        <v>0.39999999999999991</v>
      </c>
      <c r="CJ19" s="2"/>
    </row>
    <row r="20" spans="1:97" ht="19.5">
      <c r="C20">
        <f>H19*D20</f>
        <v>35.000000000065768</v>
      </c>
      <c r="D20">
        <v>0.220125786164</v>
      </c>
      <c r="E20" t="s">
        <v>16</v>
      </c>
      <c r="F20" s="7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8">
        <f>N20-N19</f>
        <v>1</v>
      </c>
      <c r="P20">
        <f>P19+0</f>
        <v>0</v>
      </c>
      <c r="U20">
        <f>U19+11</f>
        <v>29</v>
      </c>
      <c r="V20" s="8">
        <f>U20-U19</f>
        <v>11</v>
      </c>
      <c r="W20">
        <f>W19+0</f>
        <v>0</v>
      </c>
      <c r="AB20">
        <f>AB19+0</f>
        <v>23</v>
      </c>
      <c r="AC20" s="8">
        <f>AB20-AB19</f>
        <v>0</v>
      </c>
      <c r="AI20">
        <f>AI19+20</f>
        <v>122</v>
      </c>
      <c r="AJ20" s="8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8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8">
        <f>AW20-AW19</f>
        <v>0</v>
      </c>
      <c r="BD20">
        <f>BD19+0</f>
        <v>2</v>
      </c>
      <c r="BE20" s="8">
        <f>BD20-BD19</f>
        <v>0</v>
      </c>
      <c r="BK20">
        <f>BK19+1</f>
        <v>1</v>
      </c>
      <c r="BL20" s="8">
        <f>BK20-BK19</f>
        <v>1</v>
      </c>
      <c r="BY20">
        <f>N20+U20+AB20+AI20+AP20+AW20+BD20+BK20</f>
        <v>194</v>
      </c>
      <c r="BZ20" s="8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F20" s="7">
        <v>43862</v>
      </c>
      <c r="CG20">
        <v>8</v>
      </c>
      <c r="CH20">
        <f>(CG20/CG19)-1</f>
        <v>0.14285714285714279</v>
      </c>
      <c r="CJ20" s="2"/>
    </row>
    <row r="21" spans="1:97" ht="19.5">
      <c r="C21">
        <f>H20*D21</f>
        <v>28.99999999991088</v>
      </c>
      <c r="D21">
        <v>0.14948453608199999</v>
      </c>
      <c r="E21" t="s">
        <v>17</v>
      </c>
      <c r="F21" s="7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8">
        <f>N21-N20</f>
        <v>3</v>
      </c>
      <c r="P21">
        <f>P20+2</f>
        <v>2</v>
      </c>
      <c r="Q21" s="3"/>
      <c r="R21">
        <f>R20+0</f>
        <v>0</v>
      </c>
      <c r="U21">
        <f>U20+6</f>
        <v>35</v>
      </c>
      <c r="V21" s="8">
        <f>U21-U20</f>
        <v>6</v>
      </c>
      <c r="W21">
        <f>W20+12</f>
        <v>12</v>
      </c>
      <c r="AB21">
        <f>AB20+1</f>
        <v>24</v>
      </c>
      <c r="AC21" s="8">
        <f>AB21-AB20</f>
        <v>1</v>
      </c>
      <c r="AD21">
        <f>AD20+9</f>
        <v>9</v>
      </c>
      <c r="AF21">
        <f>AF20+0</f>
        <v>0</v>
      </c>
      <c r="AI21">
        <f>AI20+18</f>
        <v>140</v>
      </c>
      <c r="AJ21" s="8">
        <f>AI21-AI20</f>
        <v>18</v>
      </c>
      <c r="AK21">
        <f>AK20+15</f>
        <v>15</v>
      </c>
      <c r="AM21">
        <f>AM20+0</f>
        <v>4</v>
      </c>
      <c r="AN21" s="3">
        <f>(AM21/AM20)-1</f>
        <v>0</v>
      </c>
      <c r="AP21">
        <f>AP20+1</f>
        <v>6</v>
      </c>
      <c r="AQ21" s="8">
        <f>AP21-AP20</f>
        <v>1</v>
      </c>
      <c r="AR21">
        <f>AR20+3</f>
        <v>3</v>
      </c>
      <c r="AT21">
        <f>AT20+0</f>
        <v>0</v>
      </c>
      <c r="AW21">
        <f>AW20+1</f>
        <v>5</v>
      </c>
      <c r="AX21" s="8">
        <f>AW21-AW20</f>
        <v>1</v>
      </c>
      <c r="AY21">
        <f>AY20+2</f>
        <v>2</v>
      </c>
      <c r="BA21">
        <f>BA20+1</f>
        <v>1</v>
      </c>
      <c r="BD21">
        <f>BD20-1</f>
        <v>1</v>
      </c>
      <c r="BE21" s="8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8">
        <f>BK21-BK20</f>
        <v>0</v>
      </c>
      <c r="BO21">
        <f>BO20+0</f>
        <v>0</v>
      </c>
      <c r="BY21">
        <f>N21+U21+AB21+AI21+AP21+AW21+BD21+BK21</f>
        <v>223</v>
      </c>
      <c r="BZ21" s="8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F21" s="7">
        <v>43863</v>
      </c>
      <c r="CG21">
        <v>8</v>
      </c>
      <c r="CH21">
        <f>(CG21/CG20)-1</f>
        <v>0</v>
      </c>
    </row>
    <row r="22" spans="1:97" ht="19.5">
      <c r="C22">
        <f>H21*D22</f>
        <v>103.99999999896743</v>
      </c>
      <c r="D22">
        <v>0.46636771300000002</v>
      </c>
      <c r="E22" t="s">
        <v>11</v>
      </c>
      <c r="F22" s="7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8">
        <f>N22-N21</f>
        <v>1</v>
      </c>
      <c r="P22">
        <f>P21+1</f>
        <v>3</v>
      </c>
      <c r="Q22" s="3">
        <f>(P22/P21)-1</f>
        <v>0.5</v>
      </c>
      <c r="R22">
        <f>R21+0</f>
        <v>0</v>
      </c>
      <c r="U22">
        <f>U21+19</f>
        <v>54</v>
      </c>
      <c r="V22" s="8">
        <f>U22-U21</f>
        <v>19</v>
      </c>
      <c r="W22">
        <f>W21+1</f>
        <v>13</v>
      </c>
      <c r="X22" s="3">
        <f>(W22/W21)-1</f>
        <v>0.083333333333333259</v>
      </c>
      <c r="Y22">
        <f>Y21+1</f>
        <v>1</v>
      </c>
      <c r="AB22">
        <f>AB21+5</f>
        <v>29</v>
      </c>
      <c r="AC22" s="8">
        <f>AB22-AB21</f>
        <v>5</v>
      </c>
      <c r="AD22">
        <f>AD21+0</f>
        <v>9</v>
      </c>
      <c r="AE22" s="3">
        <f>(AD22/AD21)-1</f>
        <v>0</v>
      </c>
      <c r="AF22">
        <f>AF21+0</f>
        <v>0</v>
      </c>
      <c r="AI22">
        <f>AI21+68</f>
        <v>208</v>
      </c>
      <c r="AJ22" s="8">
        <f>AI22-AI21</f>
        <v>68</v>
      </c>
      <c r="AK22">
        <f>AK21+5</f>
        <v>20</v>
      </c>
      <c r="AL22" s="3">
        <f>(AK22/AK21)-1</f>
        <v>0.33333333333333326</v>
      </c>
      <c r="AM22">
        <f>AM21+1</f>
        <v>5</v>
      </c>
      <c r="AN22" s="3">
        <f>(AM22/AM21)-1</f>
        <v>0.25</v>
      </c>
      <c r="AP22">
        <f>AP21+0</f>
        <v>6</v>
      </c>
      <c r="AQ22" s="8">
        <f>AP22-AP21</f>
        <v>0</v>
      </c>
      <c r="AR22">
        <f>AR21+0</f>
        <v>3</v>
      </c>
      <c r="AS22" s="3">
        <f>(AR22/AR21)-1</f>
        <v>0</v>
      </c>
      <c r="AT22">
        <f>AT21+0</f>
        <v>0</v>
      </c>
      <c r="AW22">
        <f>AW21+9</f>
        <v>14</v>
      </c>
      <c r="AX22" s="8">
        <f>AW22-AW21</f>
        <v>9</v>
      </c>
      <c r="AY22">
        <f>AY21+0</f>
        <v>2</v>
      </c>
      <c r="AZ22" s="3">
        <f>(AY22/AY21)-1</f>
        <v>0</v>
      </c>
      <c r="BA22">
        <f>BA21+1</f>
        <v>2</v>
      </c>
      <c r="BB22" s="3">
        <f>(BA22/BA21)-1</f>
        <v>1</v>
      </c>
      <c r="BD22">
        <f>BD21+0</f>
        <v>1</v>
      </c>
      <c r="BE22" s="8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8">
        <f>BK22-BK21</f>
        <v>2</v>
      </c>
      <c r="BM22">
        <f>BM21+1</f>
        <v>1</v>
      </c>
      <c r="BO22">
        <f>BO21+0</f>
        <v>0</v>
      </c>
      <c r="BY22">
        <f>N22+U22+AB22+AI22+AP22+AW22+BD22+BK22</f>
        <v>327</v>
      </c>
      <c r="BZ22" s="8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F22" s="7">
        <v>43864</v>
      </c>
      <c r="CG22">
        <v>11</v>
      </c>
      <c r="CH22">
        <f>(CG22/CG21)-1</f>
        <v>0.375</v>
      </c>
    </row>
    <row r="23" spans="1:97" ht="19.5">
      <c r="C23">
        <f>H22*D23</f>
        <v>87.999999999672326</v>
      </c>
      <c r="D23">
        <v>0.26911314984700002</v>
      </c>
      <c r="E23" t="s">
        <v>12</v>
      </c>
      <c r="F23" s="7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8">
        <f>N23-N22</f>
        <v>1</v>
      </c>
      <c r="P23">
        <f>P22-1</f>
        <v>2</v>
      </c>
      <c r="Q23" s="3">
        <f>(P23/P22)-1</f>
        <v>-0.33333333333333337</v>
      </c>
      <c r="R23">
        <f>R22+0</f>
        <v>0</v>
      </c>
      <c r="U23">
        <f>U22+7</f>
        <v>61</v>
      </c>
      <c r="V23" s="8">
        <f>U23-U22</f>
        <v>7</v>
      </c>
      <c r="W23">
        <f>W22+0</f>
        <v>13</v>
      </c>
      <c r="X23" s="3">
        <f>(W23/W22)-1</f>
        <v>0</v>
      </c>
      <c r="Y23">
        <f>Y22+1</f>
        <v>2</v>
      </c>
      <c r="Z23" s="3">
        <f>(Y23/Y22)-1</f>
        <v>1</v>
      </c>
      <c r="AB23">
        <f>AB22+12</f>
        <v>41</v>
      </c>
      <c r="AC23" s="8">
        <f>AB23-AB22</f>
        <v>12</v>
      </c>
      <c r="AD23">
        <f>AD22+3</f>
        <v>12</v>
      </c>
      <c r="AE23" s="3">
        <f>(AD23/AD22)-1</f>
        <v>0.33333333333333326</v>
      </c>
      <c r="AF23">
        <f>AF22+0</f>
        <v>0</v>
      </c>
      <c r="AI23">
        <f>AI22+62</f>
        <v>270</v>
      </c>
      <c r="AJ23" s="8">
        <f>AI23-AI22</f>
        <v>62</v>
      </c>
      <c r="AK23">
        <f>AK22+0</f>
        <v>20</v>
      </c>
      <c r="AL23" s="3">
        <f>(AK23/AK22)-1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8">
        <f>AP23-AP22</f>
        <v>2</v>
      </c>
      <c r="AR23">
        <f>AR22+1</f>
        <v>4</v>
      </c>
      <c r="AS23" s="3">
        <f>(AR23/AR22)-1</f>
        <v>0.33333333333333326</v>
      </c>
      <c r="AT23">
        <f>AT22+0</f>
        <v>0</v>
      </c>
      <c r="AW23">
        <f>AW22+2</f>
        <v>16</v>
      </c>
      <c r="AX23" s="8">
        <f>AW23-AW22</f>
        <v>2</v>
      </c>
      <c r="AY23">
        <f>AY22+0</f>
        <v>2</v>
      </c>
      <c r="AZ23" s="3">
        <f>(AY23/AY22)-1</f>
        <v>0</v>
      </c>
      <c r="BA23">
        <f>BA22+0</f>
        <v>2</v>
      </c>
      <c r="BB23" s="3">
        <f>(BA23/BA22)-1</f>
        <v>0</v>
      </c>
      <c r="BD23">
        <f>BD22+1</f>
        <v>2</v>
      </c>
      <c r="BE23" s="8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8">
        <f>BK23-BK22</f>
        <v>1</v>
      </c>
      <c r="BM23">
        <f>BM22+0</f>
        <v>1</v>
      </c>
      <c r="BN23" s="3">
        <f>(BM23/BM22)-1</f>
        <v>0</v>
      </c>
      <c r="BO23">
        <f>BO22+0</f>
        <v>0</v>
      </c>
      <c r="BY23">
        <f>N23+U23+AB23+AI23+AP23+AW23+BD23+BK23</f>
        <v>415</v>
      </c>
      <c r="BZ23" s="8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F23" s="7">
        <v>43865</v>
      </c>
      <c r="CG23">
        <v>11</v>
      </c>
      <c r="CH23">
        <f>(CG23/CG22)-1</f>
        <v>0</v>
      </c>
    </row>
    <row r="24" spans="1:97" ht="19.5">
      <c r="C24">
        <f>H23*D24</f>
        <v>202.99999999929048</v>
      </c>
      <c r="D24">
        <v>0.489156626506</v>
      </c>
      <c r="E24" t="s">
        <v>13</v>
      </c>
      <c r="F24" s="7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8">
        <f>N24-N23</f>
        <v>9</v>
      </c>
      <c r="P24">
        <f>P23+1</f>
        <v>3</v>
      </c>
      <c r="Q24" s="3">
        <f>(P24/P23)-1</f>
        <v>0.5</v>
      </c>
      <c r="R24">
        <f>R23+0</f>
        <v>0</v>
      </c>
      <c r="U24">
        <f>U23+27</f>
        <v>88</v>
      </c>
      <c r="V24" s="8">
        <f>U24-U23</f>
        <v>27</v>
      </c>
      <c r="W24">
        <f>W23+4</f>
        <v>17</v>
      </c>
      <c r="X24" s="3">
        <f>(W24/W23)-1</f>
        <v>0.30769230769230771</v>
      </c>
      <c r="Y24">
        <f>Y23+0</f>
        <v>2</v>
      </c>
      <c r="Z24" s="3">
        <f>(Y24/Y23)-1</f>
        <v>0</v>
      </c>
      <c r="AB24">
        <f>AB23+48</f>
        <v>89</v>
      </c>
      <c r="AC24" s="8">
        <f>AB24-AB23</f>
        <v>48</v>
      </c>
      <c r="AD24">
        <f>AD23+7</f>
        <v>19</v>
      </c>
      <c r="AE24" s="3">
        <f>(AD24/AD23)-1</f>
        <v>0.58333333333333326</v>
      </c>
      <c r="AF24">
        <f>AF23+0</f>
        <v>0</v>
      </c>
      <c r="AI24">
        <f>AI23+114</f>
        <v>384</v>
      </c>
      <c r="AJ24" s="8">
        <f>AI24-AI23</f>
        <v>114</v>
      </c>
      <c r="AK24">
        <f>AK23+3</f>
        <v>23</v>
      </c>
      <c r="AL24" s="3">
        <f>(AK24/AK23)-1</f>
        <v>0.14999999999999991</v>
      </c>
      <c r="AM24">
        <f>AM23+1</f>
        <v>7</v>
      </c>
      <c r="AN24" s="3">
        <f>(AM24/AM23)-1</f>
        <v>0.16666666666666674</v>
      </c>
      <c r="AP24">
        <f>AP23+0</f>
        <v>8</v>
      </c>
      <c r="AQ24" s="8">
        <f>AP24-AP23</f>
        <v>0</v>
      </c>
      <c r="AR24">
        <f>AR23+0</f>
        <v>4</v>
      </c>
      <c r="AS24" s="3">
        <f>(AR24/AR23)-1</f>
        <v>0</v>
      </c>
      <c r="AT24">
        <f>AT23+0</f>
        <v>0</v>
      </c>
      <c r="AW24">
        <f>AW23+3</f>
        <v>19</v>
      </c>
      <c r="AX24" s="8">
        <f>AW24-AW23</f>
        <v>3</v>
      </c>
      <c r="AY24">
        <f>AY23+2</f>
        <v>4</v>
      </c>
      <c r="AZ24" s="3">
        <f>(AY24/AY23)-1</f>
        <v>1</v>
      </c>
      <c r="BA24">
        <f>BA23+1</f>
        <v>3</v>
      </c>
      <c r="BB24" s="3">
        <f>(BA24/BA23)-1</f>
        <v>0.5</v>
      </c>
      <c r="BD24">
        <f>BD23+0</f>
        <v>2</v>
      </c>
      <c r="BE24" s="8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8">
        <f>BK24-BK23</f>
        <v>2</v>
      </c>
      <c r="BM24">
        <f>BM23+0</f>
        <v>1</v>
      </c>
      <c r="BN24" s="3">
        <f>(BM24/BM23)-1</f>
        <v>0</v>
      </c>
      <c r="BO24">
        <f>BO23+0</f>
        <v>0</v>
      </c>
      <c r="BY24">
        <f>N24+U24+AB24+AI24+AP24+AW24+BD24+BK24</f>
        <v>618</v>
      </c>
      <c r="BZ24" s="8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F24" s="7">
        <v>43866</v>
      </c>
      <c r="CG24">
        <v>11</v>
      </c>
      <c r="CH24">
        <f>(CG24/CG23)-1</f>
        <v>0</v>
      </c>
    </row>
    <row r="25" spans="1:97" ht="19.5">
      <c r="C25">
        <f>H24*D25</f>
        <v>256.99999999911427</v>
      </c>
      <c r="D25">
        <v>0.41585760517800002</v>
      </c>
      <c r="E25" t="s">
        <v>14</v>
      </c>
      <c r="F25" s="7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8">
        <f>N25-N24</f>
        <v>11</v>
      </c>
      <c r="P25">
        <f>P24+0</f>
        <v>3</v>
      </c>
      <c r="Q25" s="3">
        <f>(P25/P24)-1</f>
        <v>0</v>
      </c>
      <c r="R25">
        <f>R24+0</f>
        <v>0</v>
      </c>
      <c r="U25">
        <f>U24+28</f>
        <v>116</v>
      </c>
      <c r="V25" s="8">
        <f>U25-U24</f>
        <v>28</v>
      </c>
      <c r="W25">
        <f>W24+7</f>
        <v>24</v>
      </c>
      <c r="X25" s="3">
        <f>(W25/W24)-1</f>
        <v>0.41176470588235303</v>
      </c>
      <c r="Y25">
        <f>Y24+0</f>
        <v>2</v>
      </c>
      <c r="Z25" s="3">
        <f>(Y25/Y24)-1</f>
        <v>0</v>
      </c>
      <c r="AB25">
        <f>AB24+38</f>
        <v>127</v>
      </c>
      <c r="AC25" s="8">
        <f>AB25-AB24</f>
        <v>38</v>
      </c>
      <c r="AD25">
        <f>AD24+9</f>
        <v>28</v>
      </c>
      <c r="AE25" s="3">
        <f>(AD25/AD24)-1</f>
        <v>0.47368421052631571</v>
      </c>
      <c r="AF25">
        <f>AF24+2</f>
        <v>2</v>
      </c>
      <c r="AI25">
        <f>AI24+162</f>
        <v>546</v>
      </c>
      <c r="AJ25" s="8">
        <f>AI25-AI24</f>
        <v>162</v>
      </c>
      <c r="AK25">
        <f>AK24+24</f>
        <v>47</v>
      </c>
      <c r="AL25" s="3">
        <f>(AK25/AK24)-1</f>
        <v>1.0434782608695654</v>
      </c>
      <c r="AM25">
        <f>AM24+5</f>
        <v>12</v>
      </c>
      <c r="AN25" s="3">
        <f>(AM25/AM24)-1</f>
        <v>0.71428571428571419</v>
      </c>
      <c r="AP25">
        <f>AP24+7</f>
        <v>15</v>
      </c>
      <c r="AQ25" s="8">
        <f>AP25-AP24</f>
        <v>7</v>
      </c>
      <c r="AR25">
        <f>AR24+0</f>
        <v>4</v>
      </c>
      <c r="AS25" s="3">
        <f>(AR25/AR24)-1</f>
        <v>0</v>
      </c>
      <c r="AT25">
        <f>AT24+0</f>
        <v>0</v>
      </c>
      <c r="AW25">
        <f>AW24+8</f>
        <v>27</v>
      </c>
      <c r="AX25" s="8">
        <f>AW25-AW24</f>
        <v>8</v>
      </c>
      <c r="AY25">
        <f>AY24+1</f>
        <v>5</v>
      </c>
      <c r="AZ25" s="3">
        <f>(AY25/AY24)-1</f>
        <v>0.25</v>
      </c>
      <c r="BA25">
        <f>BA24+0</f>
        <v>3</v>
      </c>
      <c r="BB25" s="3">
        <f>(BA25/BA24)-1</f>
        <v>0</v>
      </c>
      <c r="BD25">
        <f>BD24+0</f>
        <v>2</v>
      </c>
      <c r="BE25" s="8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8">
        <f>BK25-BK24</f>
        <v>3</v>
      </c>
      <c r="BM25">
        <f>BM24+1</f>
        <v>2</v>
      </c>
      <c r="BN25" s="3">
        <f>(BM25/BM24)-1</f>
        <v>1</v>
      </c>
      <c r="BO25">
        <f>BO24+0</f>
        <v>0</v>
      </c>
      <c r="BY25">
        <f>N25+U25+AB25+AI25+AP25+AW25+BD25+BK25</f>
        <v>875</v>
      </c>
      <c r="BZ25" s="8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F25" s="7">
        <v>43867</v>
      </c>
      <c r="CG25">
        <v>11</v>
      </c>
      <c r="CH25">
        <f>(CG25/CG24)-1</f>
        <v>0</v>
      </c>
    </row>
    <row r="26" spans="1:97" ht="19.5">
      <c r="C26">
        <f>H25*D26</f>
        <v>136.99999999915133</v>
      </c>
      <c r="D26">
        <v>0.15657142857100001</v>
      </c>
      <c r="E26" t="s">
        <v>15</v>
      </c>
      <c r="F26" s="7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8">
        <f>N26-N25</f>
        <v>11</v>
      </c>
      <c r="P26">
        <f>P25+0</f>
        <v>3</v>
      </c>
      <c r="Q26" s="3">
        <f>(P26/P25)-1</f>
        <v>0</v>
      </c>
      <c r="R26">
        <f>R25+0</f>
        <v>0</v>
      </c>
      <c r="U26">
        <f>U25+22</f>
        <v>138</v>
      </c>
      <c r="V26" s="8">
        <f>U26-U25</f>
        <v>22</v>
      </c>
      <c r="W26">
        <f>W25+3</f>
        <v>27</v>
      </c>
      <c r="X26" s="3">
        <f>(W26/W25)-1</f>
        <v>0.125</v>
      </c>
      <c r="Y26">
        <f>Y25+0</f>
        <v>2</v>
      </c>
      <c r="Z26" s="3">
        <f>(Y26/Y25)-1</f>
        <v>0</v>
      </c>
      <c r="AB26">
        <f>AB25+29</f>
        <v>156</v>
      </c>
      <c r="AC26" s="8">
        <f>AB26-AB25</f>
        <v>29</v>
      </c>
      <c r="AD26">
        <f>AD25+6</f>
        <v>34</v>
      </c>
      <c r="AE26" s="3">
        <f>(AD26/AD25)-1</f>
        <v>0.21428571428571419</v>
      </c>
      <c r="AF26">
        <f>AF25+0</f>
        <v>2</v>
      </c>
      <c r="AG26" s="3">
        <f>(AF26/AF25)-1</f>
        <v>0</v>
      </c>
      <c r="AI26">
        <f>AI25+61</f>
        <v>607</v>
      </c>
      <c r="AJ26" s="8">
        <f>AI26-AI25</f>
        <v>61</v>
      </c>
      <c r="AK26">
        <f>AK25+2</f>
        <v>49</v>
      </c>
      <c r="AL26" s="3">
        <f>(AK26/AK25)-1</f>
        <v>0.042553191489361764</v>
      </c>
      <c r="AM26">
        <f>AM25+1</f>
        <v>13</v>
      </c>
      <c r="AN26" s="3">
        <f>(AM26/AM25)-1</f>
        <v>0.083333333333333259</v>
      </c>
      <c r="AP26">
        <f>AP25+3</f>
        <v>18</v>
      </c>
      <c r="AQ26" s="8">
        <f>AP26-AP25</f>
        <v>3</v>
      </c>
      <c r="AR26">
        <f>AR25+1</f>
        <v>5</v>
      </c>
      <c r="AS26" s="3">
        <f>(AR26/AR25)-1</f>
        <v>0.25</v>
      </c>
      <c r="AT26">
        <f>AT25+1</f>
        <v>1</v>
      </c>
      <c r="AW26">
        <f>AW25+6</f>
        <v>33</v>
      </c>
      <c r="AX26" s="8">
        <f>AW26-AW25</f>
        <v>6</v>
      </c>
      <c r="AY26">
        <f>AY25+0</f>
        <v>5</v>
      </c>
      <c r="AZ26" s="3">
        <f>(AY26/AY25)-1</f>
        <v>0</v>
      </c>
      <c r="BA26">
        <f>BA25+0</f>
        <v>3</v>
      </c>
      <c r="BB26" s="3">
        <f>(BA26/BA25)-1</f>
        <v>0</v>
      </c>
      <c r="BD26">
        <f>BD25+1</f>
        <v>3</v>
      </c>
      <c r="BE26" s="8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8">
        <f>BK26-BK25</f>
        <v>4</v>
      </c>
      <c r="BM26">
        <f>BM25+0</f>
        <v>2</v>
      </c>
      <c r="BN26" s="3">
        <f>(BM26/BM25)-1</f>
        <v>0</v>
      </c>
      <c r="BO26">
        <f>BO25+0</f>
        <v>0</v>
      </c>
      <c r="BY26">
        <f>N26+U26+AB26+AI26+AP26+AW26+BD26+BK26</f>
        <v>1012</v>
      </c>
      <c r="BZ26" s="8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F26" s="7">
        <v>43868</v>
      </c>
      <c r="CG26">
        <v>11</v>
      </c>
      <c r="CH26">
        <f>(CG26/CG25)-1</f>
        <v>0</v>
      </c>
    </row>
    <row r="27" spans="1:97" ht="19.5">
      <c r="C27">
        <f>H26*D27</f>
        <v>278.999999994132</v>
      </c>
      <c r="D27">
        <v>0.27569169960000001</v>
      </c>
      <c r="E27" t="s">
        <v>16</v>
      </c>
      <c r="F27" s="7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8">
        <f>N27-N26</f>
        <v>8</v>
      </c>
      <c r="P27">
        <f>P26+6</f>
        <v>9</v>
      </c>
      <c r="Q27" s="3">
        <f>(P27/P26)-1</f>
        <v>2</v>
      </c>
      <c r="R27">
        <f>R26+0</f>
        <v>0</v>
      </c>
      <c r="U27">
        <f>U26+51</f>
        <v>189</v>
      </c>
      <c r="V27" s="8">
        <f>U27-U26</f>
        <v>51</v>
      </c>
      <c r="W27">
        <f>W26+9</f>
        <v>36</v>
      </c>
      <c r="X27" s="3">
        <f>(W27/W26)-1</f>
        <v>0.33333333333333326</v>
      </c>
      <c r="Y27">
        <f>Y26+0</f>
        <v>2</v>
      </c>
      <c r="Z27" s="3">
        <f>(Y27/Y26)-1</f>
        <v>0</v>
      </c>
      <c r="AB27">
        <f>AB26+66</f>
        <v>222</v>
      </c>
      <c r="AC27" s="8">
        <f>AB27-AB26</f>
        <v>66</v>
      </c>
      <c r="AD27">
        <f>AD26+12</f>
        <v>46</v>
      </c>
      <c r="AE27" s="3">
        <f>(AD27/AD26)-1</f>
        <v>0.35294117647058831</v>
      </c>
      <c r="AF27">
        <f>AF26+4</f>
        <v>6</v>
      </c>
      <c r="AG27" s="3">
        <f>(AF27/AF26)-1</f>
        <v>2</v>
      </c>
      <c r="AI27">
        <f>AI26+145</f>
        <v>752</v>
      </c>
      <c r="AJ27" s="8">
        <f>AI27-AI26</f>
        <v>145</v>
      </c>
      <c r="AK27">
        <f>AK26+19</f>
        <v>68</v>
      </c>
      <c r="AL27" s="3">
        <f>(AK27/AK26)-1</f>
        <v>0.38775510204081631</v>
      </c>
      <c r="AM27">
        <f>AM26+2</f>
        <v>15</v>
      </c>
      <c r="AN27" s="3">
        <f>(AM27/AM26)-1</f>
        <v>0.15384615384615374</v>
      </c>
      <c r="AP27">
        <f>AP26+7</f>
        <v>25</v>
      </c>
      <c r="AQ27" s="8">
        <f>AP27-AP26</f>
        <v>7</v>
      </c>
      <c r="AR27">
        <f>AR26+0</f>
        <v>5</v>
      </c>
      <c r="AS27" s="3">
        <f>(AR27/AR26)-1</f>
        <v>0</v>
      </c>
      <c r="AT27">
        <f>AT26+0</f>
        <v>1</v>
      </c>
      <c r="AU27" s="3">
        <f>(AT27/AT26)-1</f>
        <v>0</v>
      </c>
      <c r="AW27">
        <f>AW26+0</f>
        <v>33</v>
      </c>
      <c r="AX27" s="8">
        <f>AW27-AW26</f>
        <v>0</v>
      </c>
      <c r="AY27">
        <f>AY26+2</f>
        <v>7</v>
      </c>
      <c r="AZ27" s="3">
        <f>(AY27/AY26)-1</f>
        <v>0.39999999999999991</v>
      </c>
      <c r="BA27">
        <f>BA26+0</f>
        <v>3</v>
      </c>
      <c r="BB27" s="3">
        <f>(BA27/BA26)-1</f>
        <v>0</v>
      </c>
      <c r="BD27">
        <f>BD26+0</f>
        <v>3</v>
      </c>
      <c r="BE27" s="8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8">
        <f>BK27-BK26</f>
        <v>2</v>
      </c>
      <c r="BM27">
        <f>BM26+0</f>
        <v>2</v>
      </c>
      <c r="BN27" s="3">
        <f>(BM27/BM26)-1</f>
        <v>0</v>
      </c>
      <c r="BO27">
        <f>BO26+0</f>
        <v>0</v>
      </c>
      <c r="BY27">
        <f>N27+U27+AB27+AI27+AP27+AW27+BD27+BK27</f>
        <v>1291</v>
      </c>
      <c r="BZ27" s="8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F27" s="7">
        <v>43869</v>
      </c>
      <c r="CG27">
        <v>11</v>
      </c>
      <c r="CH27">
        <f>(CG27/CG26)-1</f>
        <v>0</v>
      </c>
    </row>
    <row r="28" spans="1:97" ht="19.5">
      <c r="C28">
        <f>H27*D28</f>
        <v>232.99999999841174</v>
      </c>
      <c r="D28">
        <v>0.18048024787</v>
      </c>
      <c r="E28" t="s">
        <v>17</v>
      </c>
      <c r="F28" s="7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8">
        <f>N28-N27</f>
        <v>13</v>
      </c>
      <c r="P28">
        <f>P27+3</f>
        <v>12</v>
      </c>
      <c r="Q28" s="3">
        <f>(P28/P27)-1</f>
        <v>0.33333333333333326</v>
      </c>
      <c r="R28">
        <f>R27+0</f>
        <v>0</v>
      </c>
      <c r="U28">
        <f>U27+39</f>
        <v>228</v>
      </c>
      <c r="V28" s="8">
        <f>U28-U27</f>
        <v>39</v>
      </c>
      <c r="W28">
        <f>W27+5</f>
        <v>41</v>
      </c>
      <c r="X28" s="3">
        <f>(W28/W27)-1</f>
        <v>0.13888888888888884</v>
      </c>
      <c r="Y28">
        <f>Y27+0</f>
        <v>2</v>
      </c>
      <c r="Z28" s="3">
        <f>(Y28/Y27)-1</f>
        <v>0</v>
      </c>
      <c r="AB28">
        <f>AB27+14</f>
        <v>236</v>
      </c>
      <c r="AC28" s="8">
        <f>AB28-AB27</f>
        <v>14</v>
      </c>
      <c r="AD28">
        <f>AD27+4</f>
        <v>50</v>
      </c>
      <c r="AE28" s="3">
        <f>(AD28/AD27)-1</f>
        <v>0.086956521739130377</v>
      </c>
      <c r="AF28">
        <f>AF27+0</f>
        <v>6</v>
      </c>
      <c r="AG28" s="3">
        <f>(AF28/AF27)-1</f>
        <v>0</v>
      </c>
      <c r="AI28">
        <f>AI27+156</f>
        <v>908</v>
      </c>
      <c r="AJ28" s="8">
        <f>AI28-AI27</f>
        <v>156</v>
      </c>
      <c r="AK28">
        <f>AK27+20</f>
        <v>88</v>
      </c>
      <c r="AL28" s="3">
        <f>(AK28/AK27)-1</f>
        <v>0.29411764705882359</v>
      </c>
      <c r="AM28">
        <f>AM27+5</f>
        <v>20</v>
      </c>
      <c r="AN28" s="3">
        <f>(AM28/AM27)-1</f>
        <v>0.33333333333333326</v>
      </c>
      <c r="AP28">
        <f>AP27+3</f>
        <v>28</v>
      </c>
      <c r="AQ28" s="8">
        <f>AP28-AP27</f>
        <v>3</v>
      </c>
      <c r="AR28">
        <f>AR27+0</f>
        <v>5</v>
      </c>
      <c r="AS28" s="3">
        <f>(AR28/AR27)-1</f>
        <v>0</v>
      </c>
      <c r="AT28">
        <f>AT27+0</f>
        <v>1</v>
      </c>
      <c r="AU28" s="3">
        <f>(AT28/AT27)-1</f>
        <v>0</v>
      </c>
      <c r="AW28">
        <f>AW27+4</f>
        <v>37</v>
      </c>
      <c r="AX28" s="8">
        <f>AW28-AW27</f>
        <v>4</v>
      </c>
      <c r="AY28">
        <f>AY27+0</f>
        <v>7</v>
      </c>
      <c r="AZ28" s="3">
        <f>(AY28/AY27)-1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8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8">
        <f>BK28-BK27</f>
        <v>4</v>
      </c>
      <c r="BM28">
        <f>BM27+0</f>
        <v>2</v>
      </c>
      <c r="BN28" s="3">
        <f>(BM28/BM27)-1</f>
        <v>0</v>
      </c>
      <c r="BO28">
        <f>BO27+0</f>
        <v>0</v>
      </c>
      <c r="BY28">
        <f>N28+U28+AB28+AI28+AP28+AW28+BD28+BK28</f>
        <v>1524</v>
      </c>
      <c r="BZ28" s="8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F28" s="7">
        <v>43870</v>
      </c>
      <c r="CG28">
        <v>11</v>
      </c>
      <c r="CH28">
        <f>(CG28/CG27)-1</f>
        <v>0</v>
      </c>
    </row>
    <row r="29" spans="1:97" ht="19.5">
      <c r="C29">
        <f>H28*D29</f>
        <v>468.99999999616119</v>
      </c>
      <c r="D29">
        <v>0.30774278215200002</v>
      </c>
      <c r="E29" t="s">
        <v>11</v>
      </c>
      <c r="F29" s="7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8">
        <f>N29-N28</f>
        <v>22</v>
      </c>
      <c r="P29">
        <f>P28-7</f>
        <v>5</v>
      </c>
      <c r="Q29" s="3">
        <f>(P29/P28)-1</f>
        <v>-0.58333333333333326</v>
      </c>
      <c r="R29">
        <f>R28+0</f>
        <v>0</v>
      </c>
      <c r="U29">
        <f>U28+48</f>
        <v>276</v>
      </c>
      <c r="V29" s="8">
        <f>U29-U28</f>
        <v>48</v>
      </c>
      <c r="W29">
        <f>W28+26</f>
        <v>67</v>
      </c>
      <c r="X29" s="3">
        <f>(W29/W28)-1</f>
        <v>0.63414634146341453</v>
      </c>
      <c r="Y29">
        <f>Y28+0</f>
        <v>2</v>
      </c>
      <c r="Z29" s="3">
        <f>(Y29/Y28)-1</f>
        <v>0</v>
      </c>
      <c r="AB29">
        <f>AB28+44</f>
        <v>280</v>
      </c>
      <c r="AC29" s="8">
        <f>AB29-AB28</f>
        <v>44</v>
      </c>
      <c r="AD29">
        <f>AD28+87</f>
        <v>137</v>
      </c>
      <c r="AE29" s="3">
        <f>(AD29/AD28)-1</f>
        <v>1.7400000000000002</v>
      </c>
      <c r="AF29">
        <f>AF28+0</f>
        <v>6</v>
      </c>
      <c r="AG29" s="3">
        <f>(AF29/AF28)-1</f>
        <v>0</v>
      </c>
      <c r="AI29">
        <f>AI28+337</f>
        <v>1245</v>
      </c>
      <c r="AJ29" s="8">
        <f>AI29-AI28</f>
        <v>337</v>
      </c>
      <c r="AK29">
        <f>AK28+101</f>
        <v>189</v>
      </c>
      <c r="AL29" s="3">
        <f>(AK29/AK28)-1</f>
        <v>1.1477272727272729</v>
      </c>
      <c r="AM29">
        <f>AM28+1</f>
        <v>21</v>
      </c>
      <c r="AN29" s="3">
        <f>(AM29/AM28)-1</f>
        <v>0.050000000000000044</v>
      </c>
      <c r="AP29">
        <f>AP28+10</f>
        <v>38</v>
      </c>
      <c r="AQ29" s="8">
        <f>AP29-AP28</f>
        <v>10</v>
      </c>
      <c r="AR29">
        <f>AR28-4</f>
        <v>1</v>
      </c>
      <c r="AS29" s="3">
        <f>(AR29/AR28)-1</f>
        <v>-0.80000000000000004</v>
      </c>
      <c r="AT29">
        <f>AT28+0</f>
        <v>1</v>
      </c>
      <c r="AU29" s="3">
        <f>(AT29/AT28)-1</f>
        <v>0</v>
      </c>
      <c r="AW29">
        <f>AW28+3</f>
        <v>40</v>
      </c>
      <c r="AX29" s="8">
        <f>AW29-AW28</f>
        <v>3</v>
      </c>
      <c r="AY29">
        <f>AY28-7</f>
        <v>0</v>
      </c>
      <c r="AZ29" s="3">
        <f>(AY29/AY28)-1</f>
        <v>-1</v>
      </c>
      <c r="BA29">
        <f>BA28+0</f>
        <v>4</v>
      </c>
      <c r="BB29" s="3">
        <f>(BA29/BA28)-1</f>
        <v>0</v>
      </c>
      <c r="BD29">
        <f>BD28+4</f>
        <v>7</v>
      </c>
      <c r="BE29" s="8">
        <f>BD29-BD28</f>
        <v>4</v>
      </c>
      <c r="BF29">
        <f>BF28+1</f>
        <v>1</v>
      </c>
      <c r="BG29" s="3"/>
      <c r="BH29">
        <f>BH28+0</f>
        <v>0</v>
      </c>
      <c r="BK29">
        <f>BK28+1</f>
        <v>20</v>
      </c>
      <c r="BL29" s="8">
        <f>BK29-BK28</f>
        <v>1</v>
      </c>
      <c r="BM29">
        <f>BM28+2</f>
        <v>4</v>
      </c>
      <c r="BN29" s="3">
        <f>(BM29/BM28)-1</f>
        <v>1</v>
      </c>
      <c r="BO29">
        <f>BO28+0</f>
        <v>0</v>
      </c>
      <c r="BY29">
        <f>N29+U29+AB29+AI29+AP29+AW29+BD29+BK29</f>
        <v>1993</v>
      </c>
      <c r="BZ29" s="8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F29" s="7">
        <v>43871</v>
      </c>
      <c r="CG29">
        <v>11</v>
      </c>
      <c r="CH29">
        <f>(CG29/CG28)-1</f>
        <v>0</v>
      </c>
    </row>
    <row r="30" spans="1:97" ht="19.5">
      <c r="C30">
        <f>H29*D30</f>
        <v>577.99999999481281</v>
      </c>
      <c r="D30">
        <f>0.29001505268400002</f>
        <v>0.29001505268400002</v>
      </c>
      <c r="E30" t="s">
        <v>12</v>
      </c>
      <c r="F30" s="7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8">
        <f>N30-N29</f>
        <v>26</v>
      </c>
      <c r="P30">
        <f>P29+2</f>
        <v>7</v>
      </c>
      <c r="Q30" s="3">
        <f>(P30/P29)-1</f>
        <v>0.39999999999999991</v>
      </c>
      <c r="R30">
        <f>R29+1</f>
        <v>1</v>
      </c>
      <c r="S30" s="3"/>
      <c r="U30">
        <f>U29+54</f>
        <v>330</v>
      </c>
      <c r="V30" s="8">
        <f>U30-U29</f>
        <v>54</v>
      </c>
      <c r="W30">
        <f>W29+29</f>
        <v>96</v>
      </c>
      <c r="X30" s="3">
        <f>(W30/W29)-1</f>
        <v>0.43283582089552231</v>
      </c>
      <c r="Y30">
        <f>Y29+1</f>
        <v>3</v>
      </c>
      <c r="Z30" s="3">
        <f>(Y30/Y29)-1</f>
        <v>0.5</v>
      </c>
      <c r="AB30">
        <f>AB29+93</f>
        <v>373</v>
      </c>
      <c r="AC30" s="8">
        <f>AB30-AB29</f>
        <v>93</v>
      </c>
      <c r="AD30">
        <f>AD29+39</f>
        <v>176</v>
      </c>
      <c r="AE30" s="3">
        <f>(AD30/AD29)-1</f>
        <v>0.28467153284671531</v>
      </c>
      <c r="AF30">
        <f>AF29+0</f>
        <v>6</v>
      </c>
      <c r="AG30" s="3">
        <f>(AF30/AF29)-1</f>
        <v>0</v>
      </c>
      <c r="AI30">
        <f>AI29+200</f>
        <v>1445</v>
      </c>
      <c r="AJ30" s="8">
        <f>AI30-AI29</f>
        <v>200</v>
      </c>
      <c r="AK30">
        <f>AK29+41</f>
        <v>230</v>
      </c>
      <c r="AL30" s="3">
        <f>(AK30/AK29)-1</f>
        <v>0.21693121693121697</v>
      </c>
      <c r="AM30">
        <f>AM29+0</f>
        <v>21</v>
      </c>
      <c r="AN30" s="3">
        <f>(AM30/AM29)-1</f>
        <v>0</v>
      </c>
      <c r="AP30">
        <f>AP29+12</f>
        <v>50</v>
      </c>
      <c r="AQ30" s="8">
        <f>AP30-AP29</f>
        <v>12</v>
      </c>
      <c r="AR30">
        <f>AR29+0</f>
        <v>1</v>
      </c>
      <c r="AS30" s="3">
        <f>(AR30/AR29)-1</f>
        <v>0</v>
      </c>
      <c r="AT30">
        <f>AT29+0</f>
        <v>1</v>
      </c>
      <c r="AU30" s="3">
        <f>(AT30/AT29)-1</f>
        <v>0</v>
      </c>
      <c r="AW30">
        <f>AW29+10</f>
        <v>50</v>
      </c>
      <c r="AX30" s="8">
        <f>AW30-AW29</f>
        <v>10</v>
      </c>
      <c r="AY30">
        <f>AY29+2</f>
        <v>2</v>
      </c>
      <c r="AZ30" s="3" t="e">
        <f>(AY30/AY29)-1</f>
        <v>#DIV/0!</v>
      </c>
      <c r="BA30">
        <f>BA29+0</f>
        <v>4</v>
      </c>
      <c r="BB30" s="3">
        <f>(BA30/BA29)-1</f>
        <v>0</v>
      </c>
      <c r="BD30">
        <f>BD29+3</f>
        <v>10</v>
      </c>
      <c r="BE30" s="8">
        <f>BD30-BD29</f>
        <v>3</v>
      </c>
      <c r="BF30">
        <f>BF29-1</f>
        <v>0</v>
      </c>
      <c r="BG30" s="3">
        <f>(BF30/BF29)-1</f>
        <v>-1</v>
      </c>
      <c r="BH30">
        <f>BH29+0</f>
        <v>0</v>
      </c>
      <c r="BK30">
        <f>BK29+4</f>
        <v>24</v>
      </c>
      <c r="BL30" s="8">
        <f>BK30-BK29</f>
        <v>4</v>
      </c>
      <c r="BM30">
        <f>BM29+1</f>
        <v>5</v>
      </c>
      <c r="BN30" s="3">
        <f>(BM30/BM29)-1</f>
        <v>0.25</v>
      </c>
      <c r="BO30">
        <f>BO29+0</f>
        <v>0</v>
      </c>
      <c r="BR30">
        <f>BR29+176</f>
        <v>176</v>
      </c>
      <c r="BS30" s="8">
        <f>BR30-BR29</f>
        <v>176</v>
      </c>
      <c r="BV30">
        <f>BV29+0</f>
        <v>0</v>
      </c>
      <c r="BY30">
        <f>N30+U30+AB30+AI30+AP30+AW30+BD30+BK30+BR30</f>
        <v>2571</v>
      </c>
      <c r="BZ30" s="8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F30" s="7">
        <v>43872</v>
      </c>
      <c r="CG30">
        <v>12</v>
      </c>
      <c r="CH30">
        <f>(CG30/CG29)-1</f>
        <v>0.090909090909090828</v>
      </c>
    </row>
    <row r="31" spans="1:97" ht="19.5">
      <c r="C31">
        <f>H30*D31</f>
        <v>556.99999999574084</v>
      </c>
      <c r="D31">
        <f>0.21664721898100001</f>
        <v>0.21664721898100001</v>
      </c>
      <c r="E31" t="s">
        <v>13</v>
      </c>
      <c r="F31" s="7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8">
        <f>N31-N30</f>
        <v>8</v>
      </c>
      <c r="P31">
        <f>P30+0</f>
        <v>7</v>
      </c>
      <c r="Q31" s="3">
        <f>(P31/P30)-1</f>
        <v>0</v>
      </c>
      <c r="R31">
        <f>R30+0</f>
        <v>1</v>
      </c>
      <c r="S31" s="3">
        <f>(R31/R30)-1</f>
        <v>0</v>
      </c>
      <c r="U31">
        <f>U30+63</f>
        <v>393</v>
      </c>
      <c r="V31" s="8">
        <f>U31-U30</f>
        <v>63</v>
      </c>
      <c r="W31">
        <f>W30+14</f>
        <v>110</v>
      </c>
      <c r="X31" s="3">
        <f>(W31/W30)-1</f>
        <v>0.14583333333333326</v>
      </c>
      <c r="Y31">
        <f>Y30+4</f>
        <v>7</v>
      </c>
      <c r="Z31" s="3">
        <f>(Y31/Y30)-1</f>
        <v>1.3333333333333335</v>
      </c>
      <c r="AB31">
        <f>AB30+144</f>
        <v>517</v>
      </c>
      <c r="AC31" s="8">
        <f>AB31-AB30</f>
        <v>144</v>
      </c>
      <c r="AD31">
        <f>AD30+26</f>
        <v>202</v>
      </c>
      <c r="AE31" s="3">
        <f>(AD31/AD30)-1</f>
        <v>0.14772727272727271</v>
      </c>
      <c r="AF31">
        <f>AF30+6</f>
        <v>12</v>
      </c>
      <c r="AG31" s="3">
        <f>(AF31/AF30)-1</f>
        <v>1</v>
      </c>
      <c r="AI31">
        <f>AI30+425</f>
        <v>1870</v>
      </c>
      <c r="AJ31" s="8">
        <f>AI31-AI30</f>
        <v>425</v>
      </c>
      <c r="AK31">
        <f>AK30+45</f>
        <v>275</v>
      </c>
      <c r="AL31" s="3">
        <f>(AK31/AK30)-1</f>
        <v>0.19565217391304346</v>
      </c>
      <c r="AM31">
        <f>AM30+17</f>
        <v>38</v>
      </c>
      <c r="AN31" s="3">
        <f>(AM31/AM30)-1</f>
        <v>0.80952380952380953</v>
      </c>
      <c r="AP31">
        <f>AP30+6</f>
        <v>56</v>
      </c>
      <c r="AQ31" s="8">
        <f>AP31-AP30</f>
        <v>6</v>
      </c>
      <c r="AR31">
        <f>AR30+4</f>
        <v>5</v>
      </c>
      <c r="AS31" s="3">
        <f>(AR31/AR30)-1</f>
        <v>4</v>
      </c>
      <c r="AT31">
        <f>AT30+0</f>
        <v>1</v>
      </c>
      <c r="AU31" s="3">
        <f>(AT31/AT30)-1</f>
        <v>0</v>
      </c>
      <c r="AW31">
        <f>AW30+6</f>
        <v>56</v>
      </c>
      <c r="AX31" s="8">
        <f>AW31-AW30</f>
        <v>6</v>
      </c>
      <c r="AY31">
        <f>AY30+-1</f>
        <v>1</v>
      </c>
      <c r="AZ31" s="3">
        <f>(AY31/AY30)-1</f>
        <v>-0.5</v>
      </c>
      <c r="BA31">
        <f>BA30+3</f>
        <v>7</v>
      </c>
      <c r="BB31" s="3">
        <f>(BA31/BA30)-1</f>
        <v>0.75</v>
      </c>
      <c r="BD31">
        <f>BD30+1</f>
        <v>11</v>
      </c>
      <c r="BE31" s="8">
        <f>BD31-BD30</f>
        <v>1</v>
      </c>
      <c r="BF31">
        <f>BF30+0</f>
        <v>0</v>
      </c>
      <c r="BG31" s="3"/>
      <c r="BH31">
        <f>BH30+0</f>
        <v>0</v>
      </c>
      <c r="BK31">
        <f>BK30+3</f>
        <v>27</v>
      </c>
      <c r="BL31" s="8">
        <f>BK31-BK30</f>
        <v>3</v>
      </c>
      <c r="BM31">
        <f>BM30+3</f>
        <v>8</v>
      </c>
      <c r="BN31" s="3">
        <f>(BM31/BM30)-1</f>
        <v>0.60000000000000009</v>
      </c>
      <c r="BO31">
        <f>BO30+1</f>
        <v>1</v>
      </c>
      <c r="BR31">
        <f>BR30-99</f>
        <v>77</v>
      </c>
      <c r="BS31" s="8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8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F31" s="7">
        <v>43873</v>
      </c>
      <c r="CG31">
        <v>12</v>
      </c>
      <c r="CH31">
        <f>(CG31/CG30)-1</f>
        <v>0</v>
      </c>
    </row>
    <row r="32" spans="1:97" ht="19.5">
      <c r="C32">
        <f>H31*D32</f>
        <v>429.00000000942401</v>
      </c>
      <c r="D32">
        <v>0.1371483376</v>
      </c>
      <c r="E32" t="s">
        <v>14</v>
      </c>
      <c r="F32" s="7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8">
        <f>N32-N31</f>
        <v>10</v>
      </c>
      <c r="P32">
        <f>P31+4</f>
        <v>11</v>
      </c>
      <c r="Q32" s="3">
        <f>(P32/P31)-1</f>
        <v>0.5714285714285714</v>
      </c>
      <c r="R32">
        <f>R31+0</f>
        <v>1</v>
      </c>
      <c r="S32" s="3">
        <f>(R32/R31)-1</f>
        <v>0</v>
      </c>
      <c r="U32">
        <f>U31+76</f>
        <v>469</v>
      </c>
      <c r="V32" s="8">
        <f>U32-U31</f>
        <v>76</v>
      </c>
      <c r="W32">
        <f>W31+16</f>
        <v>126</v>
      </c>
      <c r="X32" s="3">
        <f>(W32/W31)-1</f>
        <v>0.1454545454545455</v>
      </c>
      <c r="Y32">
        <f>Y31+4</f>
        <v>11</v>
      </c>
      <c r="Z32" s="3">
        <f>(Y32/Y31)-1</f>
        <v>0.5714285714285714</v>
      </c>
      <c r="AB32">
        <f>AB31+94</f>
        <v>611</v>
      </c>
      <c r="AC32" s="8">
        <f>AB32-AB31</f>
        <v>94</v>
      </c>
      <c r="AD32">
        <f>AD31+49</f>
        <v>251</v>
      </c>
      <c r="AE32" s="3">
        <f>(AD32/AD31)-1</f>
        <v>0.24257425742574257</v>
      </c>
      <c r="AF32">
        <f>AF31+3</f>
        <v>15</v>
      </c>
      <c r="AG32" s="3">
        <f>(AF32/AF31)-1</f>
        <v>0.25</v>
      </c>
      <c r="AI32">
        <f>AI31+116</f>
        <v>1986</v>
      </c>
      <c r="AJ32" s="8">
        <f>AI32-AI31</f>
        <v>116</v>
      </c>
      <c r="AK32">
        <f>AK31+84</f>
        <v>359</v>
      </c>
      <c r="AL32" s="3">
        <f>(AK32/AK31)-1</f>
        <v>0.30545454545454542</v>
      </c>
      <c r="AM32">
        <f>AM31+8</f>
        <v>46</v>
      </c>
      <c r="AN32" s="3">
        <f>(AM32/AM31)-1</f>
        <v>0.21052631578947367</v>
      </c>
      <c r="AP32">
        <f>AP31+10</f>
        <v>66</v>
      </c>
      <c r="AQ32" s="8">
        <f>AP32-AP31</f>
        <v>10</v>
      </c>
      <c r="AR32">
        <f>AR31+3</f>
        <v>8</v>
      </c>
      <c r="AS32" s="3">
        <f>(AR32/AR31)-1</f>
        <v>0.60000000000000009</v>
      </c>
      <c r="AT32">
        <f>AT31+1</f>
        <v>2</v>
      </c>
      <c r="AU32" s="3">
        <f>(AT32/AT31)-1</f>
        <v>1</v>
      </c>
      <c r="AW32">
        <f>AW31+5</f>
        <v>61</v>
      </c>
      <c r="AX32" s="8">
        <f>AW32-AW31</f>
        <v>5</v>
      </c>
      <c r="AY32">
        <f>AY31+0</f>
        <v>1</v>
      </c>
      <c r="AZ32" s="3">
        <f>(AY32/AY31)-1</f>
        <v>0</v>
      </c>
      <c r="BA32">
        <f>BA31+0</f>
        <v>7</v>
      </c>
      <c r="BB32" s="3">
        <f>(BA32/BA31)-1</f>
        <v>0</v>
      </c>
      <c r="BD32">
        <f>BD31+8</f>
        <v>19</v>
      </c>
      <c r="BE32" s="8">
        <f>BD32-BD31</f>
        <v>8</v>
      </c>
      <c r="BF32">
        <f>BF31+0</f>
        <v>0</v>
      </c>
      <c r="BG32" s="3"/>
      <c r="BH32">
        <f>BH31+0</f>
        <v>0</v>
      </c>
      <c r="BK32">
        <f>BK31+2</f>
        <v>29</v>
      </c>
      <c r="BL32" s="8">
        <f>BK32-BK31</f>
        <v>2</v>
      </c>
      <c r="BM32">
        <f>BM31+2</f>
        <v>10</v>
      </c>
      <c r="BN32" s="3">
        <f>(BM32/BM31)-1</f>
        <v>0.25</v>
      </c>
      <c r="BO32">
        <f>BO31+0</f>
        <v>1</v>
      </c>
      <c r="BP32" s="3">
        <f>(BO32/BO31)-1</f>
        <v>0</v>
      </c>
      <c r="BR32">
        <f>BR31+108</f>
        <v>185</v>
      </c>
      <c r="BS32" s="8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8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F32" s="7">
        <v>43874</v>
      </c>
      <c r="CG32">
        <v>13</v>
      </c>
      <c r="CH32">
        <f>(CG32/CG31)-1</f>
        <v>0.083333333333333259</v>
      </c>
    </row>
    <row r="33" spans="1:97" ht="19.5">
      <c r="C33">
        <f>H32*D33</f>
        <v>266.99999999874649</v>
      </c>
      <c r="D33">
        <v>0.075063255552399996</v>
      </c>
      <c r="E33" t="s">
        <v>15</v>
      </c>
      <c r="F33" s="7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8">
        <f>N33-N32</f>
        <v>10</v>
      </c>
      <c r="P33">
        <f>P32+0</f>
        <v>11</v>
      </c>
      <c r="Q33" s="3">
        <f>(P33/P32)-1</f>
        <v>0</v>
      </c>
      <c r="R33">
        <f>R32+1</f>
        <v>2</v>
      </c>
      <c r="S33" s="3">
        <f>(R33/R32)-1</f>
        <v>1</v>
      </c>
      <c r="U33">
        <f>U32+70</f>
        <v>539</v>
      </c>
      <c r="V33" s="8">
        <f>U33-U32</f>
        <v>70</v>
      </c>
      <c r="W33">
        <f>W32+10</f>
        <v>136</v>
      </c>
      <c r="X33" s="3">
        <f>(W33/W32)-1</f>
        <v>0.079365079365079305</v>
      </c>
      <c r="Y33">
        <f>Y32+2</f>
        <v>13</v>
      </c>
      <c r="Z33" s="3">
        <f>(Y33/Y32)-1</f>
        <v>0.18181818181818188</v>
      </c>
      <c r="AB33">
        <f>AB32+36</f>
        <v>647</v>
      </c>
      <c r="AC33" s="8">
        <f>AB33-AB32</f>
        <v>36</v>
      </c>
      <c r="AD33">
        <f>AD32+23</f>
        <v>274</v>
      </c>
      <c r="AE33" s="3">
        <f>(AD33/AD32)-1</f>
        <v>0.091633466135458086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8">
        <f>AI33-AI32</f>
        <v>146</v>
      </c>
      <c r="AK33">
        <f>AK32+22</f>
        <v>381</v>
      </c>
      <c r="AL33" s="3">
        <f>(AK33/AK32)-1</f>
        <v>0.061281337047353723</v>
      </c>
      <c r="AM33">
        <f>AM32+19</f>
        <v>65</v>
      </c>
      <c r="AN33" s="3">
        <f>(AM33/AM32)-1</f>
        <v>0.41304347826086962</v>
      </c>
      <c r="AP33">
        <f>AP32+8</f>
        <v>74</v>
      </c>
      <c r="AQ33" s="8">
        <f>AP33-AP32</f>
        <v>8</v>
      </c>
      <c r="AR33">
        <f>AR32+3</f>
        <v>11</v>
      </c>
      <c r="AS33" s="3">
        <f>(AR33/AR32)-1</f>
        <v>0.375</v>
      </c>
      <c r="AT33">
        <f>AT32+1</f>
        <v>3</v>
      </c>
      <c r="AU33" s="3">
        <f>(AT33/AT32)-1</f>
        <v>0.5</v>
      </c>
      <c r="AW33">
        <f>AW32+6</f>
        <v>67</v>
      </c>
      <c r="AX33" s="8">
        <f>AW33-AW32</f>
        <v>6</v>
      </c>
      <c r="AY33">
        <f>AY32+1</f>
        <v>2</v>
      </c>
      <c r="AZ33" s="3">
        <f>(AY33/AY32)-1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8">
        <f>BD33-BD32</f>
        <v>2</v>
      </c>
      <c r="BF33">
        <f>BF32+3</f>
        <v>3</v>
      </c>
      <c r="BH33">
        <f>BH32+0</f>
        <v>0</v>
      </c>
      <c r="BK33">
        <f>BK32+0</f>
        <v>29</v>
      </c>
      <c r="BL33" s="8">
        <f>BK33-BK32</f>
        <v>0</v>
      </c>
      <c r="BM33">
        <f>BM32+-1</f>
        <v>9</v>
      </c>
      <c r="BN33" s="3">
        <f>(BM33/BM32)-1</f>
        <v>-0.099999999999999978</v>
      </c>
      <c r="BO33">
        <f>BO32+0</f>
        <v>1</v>
      </c>
      <c r="BP33" s="3">
        <f>(BO33/BO32)-1</f>
        <v>0</v>
      </c>
      <c r="BR33">
        <f>BR32+-11</f>
        <v>174</v>
      </c>
      <c r="BS33" s="8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8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F33" s="7">
        <v>43875</v>
      </c>
      <c r="CG33">
        <v>13</v>
      </c>
      <c r="CH33">
        <f>(CG33/CG32)-1</f>
        <v>0</v>
      </c>
    </row>
    <row r="34" spans="1:97" ht="19.5">
      <c r="C34">
        <f>H33*D34</f>
        <v>1089.9999999793126</v>
      </c>
      <c r="D34">
        <v>0.28504184100000002</v>
      </c>
      <c r="E34" t="s">
        <v>16</v>
      </c>
      <c r="F34" s="7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8">
        <f>N34-N33</f>
        <v>32</v>
      </c>
      <c r="P34">
        <f>P33+3</f>
        <v>14</v>
      </c>
      <c r="Q34" s="3">
        <f>(P34/P33)-1</f>
        <v>0.27272727272727271</v>
      </c>
      <c r="R34">
        <f>R33+2</f>
        <v>4</v>
      </c>
      <c r="S34" s="3">
        <f>(R34/R33)-1</f>
        <v>1</v>
      </c>
      <c r="U34">
        <f>U33+140</f>
        <v>679</v>
      </c>
      <c r="V34" s="8">
        <f>U34-U33</f>
        <v>140</v>
      </c>
      <c r="W34">
        <f>W33+30</f>
        <v>166</v>
      </c>
      <c r="X34" s="3">
        <f>(W34/W33)-1</f>
        <v>0.22058823529411775</v>
      </c>
      <c r="Y34">
        <f>Y33+5</f>
        <v>18</v>
      </c>
      <c r="Z34" s="3">
        <f>(Y34/Y33)-1</f>
        <v>0.38461538461538458</v>
      </c>
      <c r="AB34">
        <f>AB33+244</f>
        <v>891</v>
      </c>
      <c r="AC34" s="8">
        <f>AB34-AB33</f>
        <v>244</v>
      </c>
      <c r="AD34">
        <f>AD33+19</f>
        <v>293</v>
      </c>
      <c r="AE34" s="3">
        <f>(AD34/AD33)-1</f>
        <v>0.069343065693430628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8">
        <f>AI34-AI33</f>
        <v>584</v>
      </c>
      <c r="AK34">
        <f>AK33+28</f>
        <v>409</v>
      </c>
      <c r="AL34" s="3">
        <f>(AK34/AK33)-1</f>
        <v>0.073490813648293907</v>
      </c>
      <c r="AM34">
        <f>AM33+10</f>
        <v>75</v>
      </c>
      <c r="AN34" s="3">
        <f>(AM34/AM33)-1</f>
        <v>0.15384615384615374</v>
      </c>
      <c r="AP34">
        <f>AP33+17</f>
        <v>91</v>
      </c>
      <c r="AQ34" s="8">
        <f>AP34-AP33</f>
        <v>17</v>
      </c>
      <c r="AR34">
        <f>AR33+1</f>
        <v>12</v>
      </c>
      <c r="AS34" s="3">
        <f>(AR34/AR33)-1</f>
        <v>0.090909090909090828</v>
      </c>
      <c r="AT34">
        <f>AT33+-1</f>
        <v>2</v>
      </c>
      <c r="AU34" s="3">
        <f>(AT34/AT33)-1</f>
        <v>-0.33333333333333337</v>
      </c>
      <c r="AW34">
        <f>AW33+12</f>
        <v>79</v>
      </c>
      <c r="AX34" s="8">
        <f>AW34-AW33</f>
        <v>12</v>
      </c>
      <c r="AY34">
        <f>AY33+1</f>
        <v>3</v>
      </c>
      <c r="AZ34" s="3">
        <f>(AY34/AY33)-1</f>
        <v>0.5</v>
      </c>
      <c r="BA34">
        <f>BA33+0</f>
        <v>10</v>
      </c>
      <c r="BB34" s="3">
        <f>(BA34/BA33)-1</f>
        <v>0</v>
      </c>
      <c r="BD34">
        <f>BD33+6</f>
        <v>27</v>
      </c>
      <c r="BE34" s="8">
        <f>BD34-BD33</f>
        <v>6</v>
      </c>
      <c r="BF34">
        <f>BF33+0</f>
        <v>3</v>
      </c>
      <c r="BG34" s="3">
        <f>(BF34/BF33)-1</f>
        <v>0</v>
      </c>
      <c r="BH34">
        <f>BH33+0</f>
        <v>0</v>
      </c>
      <c r="BK34">
        <f>BK33+11</f>
        <v>40</v>
      </c>
      <c r="BL34" s="8">
        <f>BK34-BK33</f>
        <v>11</v>
      </c>
      <c r="BM34">
        <f>BM33+0</f>
        <v>9</v>
      </c>
      <c r="BN34" s="3">
        <f>(BM34/BM33)-1</f>
        <v>0</v>
      </c>
      <c r="BO34">
        <f>BO33+2</f>
        <v>3</v>
      </c>
      <c r="BP34" s="3">
        <f>(BO34/BO33)-1</f>
        <v>2</v>
      </c>
      <c r="BR34">
        <f>BR33+44</f>
        <v>218</v>
      </c>
      <c r="BS34" s="8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8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F34" s="7">
        <v>43876</v>
      </c>
      <c r="CG34">
        <v>13</v>
      </c>
      <c r="CH34">
        <f>(CG34/CG33)-1</f>
        <v>0</v>
      </c>
    </row>
    <row r="35" spans="1:97" ht="19.5">
      <c r="C35">
        <f>H34*D35</f>
        <v>361.99999999739401</v>
      </c>
      <c r="D35">
        <v>0.0736670736671</v>
      </c>
      <c r="E35" t="s">
        <v>17</v>
      </c>
      <c r="F35" s="7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8">
        <f>N35-N34</f>
        <v>9</v>
      </c>
      <c r="P35">
        <f>P34+1</f>
        <v>15</v>
      </c>
      <c r="Q35" s="3">
        <f>(P35/P34)-1</f>
        <v>0.071428571428571397</v>
      </c>
      <c r="R35">
        <f>R34+1</f>
        <v>5</v>
      </c>
      <c r="S35" s="3">
        <f>(R35/R34)-1</f>
        <v>0.25</v>
      </c>
      <c r="U35">
        <f>U34+47</f>
        <v>726</v>
      </c>
      <c r="V35" s="8">
        <f>U35-U34</f>
        <v>47</v>
      </c>
      <c r="W35">
        <f>W34+18</f>
        <v>184</v>
      </c>
      <c r="X35" s="3">
        <f>(W35/W34)-1</f>
        <v>0.10843373493975905</v>
      </c>
      <c r="Y35">
        <f>Y34+8</f>
        <v>26</v>
      </c>
      <c r="Z35" s="3">
        <f>(Y35/Y34)-1</f>
        <v>0.44444444444444442</v>
      </c>
      <c r="AB35">
        <f>AB34+133</f>
        <v>1024</v>
      </c>
      <c r="AC35" s="8">
        <f>AB35-AB34</f>
        <v>133</v>
      </c>
      <c r="AD35">
        <f>AD34+31</f>
        <v>324</v>
      </c>
      <c r="AE35" s="3">
        <f>(AD35/AD34)-1</f>
        <v>0.10580204778156999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8">
        <f>AI35-AI34</f>
        <v>108</v>
      </c>
      <c r="AK35">
        <f>AK34+66</f>
        <v>475</v>
      </c>
      <c r="AL35" s="3">
        <f>(AK35/AK34)-1</f>
        <v>0.1613691931540342</v>
      </c>
      <c r="AM35">
        <f>AM34+11</f>
        <v>86</v>
      </c>
      <c r="AN35" s="3">
        <f>(AM35/AM34)-1</f>
        <v>0.14666666666666672</v>
      </c>
      <c r="AP35">
        <f>AP34+9</f>
        <v>100</v>
      </c>
      <c r="AQ35" s="8">
        <f>AP35-AP34</f>
        <v>9</v>
      </c>
      <c r="AR35">
        <f>AR34+7</f>
        <v>19</v>
      </c>
      <c r="AS35" s="3">
        <f>(AR35/AR34)-1</f>
        <v>0.58333333333333326</v>
      </c>
      <c r="AT35">
        <f>AT34+2</f>
        <v>4</v>
      </c>
      <c r="AU35" s="3">
        <f>(AT35/AT34)-1</f>
        <v>1</v>
      </c>
      <c r="AW35">
        <f>AW34+12</f>
        <v>91</v>
      </c>
      <c r="AX35" s="8">
        <f>AW35-AW34</f>
        <v>12</v>
      </c>
      <c r="AY35">
        <f>AY34+0</f>
        <v>3</v>
      </c>
      <c r="AZ35" s="3">
        <f>(AY35/AY34)-1</f>
        <v>0</v>
      </c>
      <c r="BA35">
        <f>BA34+0</f>
        <v>10</v>
      </c>
      <c r="BB35" s="3">
        <f>(BA35/BA34)-1</f>
        <v>0</v>
      </c>
      <c r="BD35">
        <f>BD34+4</f>
        <v>31</v>
      </c>
      <c r="BE35" s="8">
        <f>BD35-BD34</f>
        <v>4</v>
      </c>
      <c r="BF35">
        <f>BF34+0</f>
        <v>3</v>
      </c>
      <c r="BG35" s="3">
        <f>(BF35/BF34)-1</f>
        <v>0</v>
      </c>
      <c r="BH35">
        <f>BH34+1</f>
        <v>1</v>
      </c>
      <c r="BK35">
        <f>BK34+17</f>
        <v>57</v>
      </c>
      <c r="BL35" s="8">
        <f>BK35-BK34</f>
        <v>17</v>
      </c>
      <c r="BM35">
        <f>BM34+1</f>
        <v>10</v>
      </c>
      <c r="BN35" s="3">
        <f>(BM35/BM34)-1</f>
        <v>0.11111111111111116</v>
      </c>
      <c r="BO35">
        <f>BO34+0</f>
        <v>3</v>
      </c>
      <c r="BP35" s="3">
        <f>(BO35/BO34)-1</f>
        <v>0</v>
      </c>
      <c r="BR35">
        <f>BR34+23</f>
        <v>241</v>
      </c>
      <c r="BS35" s="8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8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F35" s="7">
        <v>43877</v>
      </c>
      <c r="CG35">
        <v>13</v>
      </c>
      <c r="CH35">
        <f>(CG35/CG34)-1</f>
        <v>0</v>
      </c>
    </row>
    <row r="36" spans="1:97" ht="19.5">
      <c r="C36">
        <f>H35*D36</f>
        <v>398.99999999688362</v>
      </c>
      <c r="D36">
        <v>0.075625473843800001</v>
      </c>
      <c r="E36" t="s">
        <v>11</v>
      </c>
      <c r="F36" s="7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8">
        <f>N36-N35</f>
        <v>15</v>
      </c>
      <c r="P36">
        <f>P35+0</f>
        <v>15</v>
      </c>
      <c r="Q36" s="3">
        <f>(P36/P35)-1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8">
        <f>U36-U35</f>
        <v>25</v>
      </c>
      <c r="W36">
        <f>W35+5</f>
        <v>189</v>
      </c>
      <c r="X36" s="3">
        <f>(W36/W35)-1</f>
        <v>0.027173913043478271</v>
      </c>
      <c r="Y36">
        <f>Y35+3</f>
        <v>29</v>
      </c>
      <c r="Z36" s="3">
        <f>(Y36/Y35)-1</f>
        <v>0.11538461538461542</v>
      </c>
      <c r="AB36">
        <f>AB35+138</f>
        <v>1162</v>
      </c>
      <c r="AC36" s="8">
        <f>AB36-AB35</f>
        <v>138</v>
      </c>
      <c r="AD36">
        <f>AD35+48</f>
        <v>372</v>
      </c>
      <c r="AE36" s="3">
        <f>(AD36/AD35)-1</f>
        <v>0.14814814814814814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8">
        <f>AI36-AI35</f>
        <v>226</v>
      </c>
      <c r="AK36">
        <f>AK35+56</f>
        <v>531</v>
      </c>
      <c r="AL36" s="3">
        <f>(AK36/AK35)-1</f>
        <v>0.11789473684210527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8">
        <f>AP36-AP35</f>
        <v>10</v>
      </c>
      <c r="AR36">
        <f>AR35+0</f>
        <v>19</v>
      </c>
      <c r="AS36" s="3">
        <f>(AR36/AR35)-1</f>
        <v>0</v>
      </c>
      <c r="AT36">
        <f>AT35+1</f>
        <v>5</v>
      </c>
      <c r="AU36" s="3">
        <f>(AT36/AT35)-1</f>
        <v>0.25</v>
      </c>
      <c r="AW36">
        <f>AW35+3</f>
        <v>94</v>
      </c>
      <c r="AX36" s="8">
        <f>AW36-AW35</f>
        <v>3</v>
      </c>
      <c r="AY36">
        <f>AY35+0</f>
        <v>3</v>
      </c>
      <c r="AZ36" s="3">
        <f>(AY36/AY35)-1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8">
        <f>BD36-BD35</f>
        <v>1</v>
      </c>
      <c r="BF36">
        <f>BF35+0</f>
        <v>3</v>
      </c>
      <c r="BG36" s="3">
        <f>(BF36/BF35)-1</f>
        <v>0</v>
      </c>
      <c r="BH36">
        <f>BH35+0</f>
        <v>1</v>
      </c>
      <c r="BI36" s="3">
        <f>(BH36/BH35)-1</f>
        <v>0</v>
      </c>
      <c r="BK36">
        <f>BK35+0</f>
        <v>57</v>
      </c>
      <c r="BL36" s="8">
        <f>BK36-BK35</f>
        <v>0</v>
      </c>
      <c r="BM36">
        <f>BM35+0</f>
        <v>10</v>
      </c>
      <c r="BN36" s="3">
        <f>(BM36/BM35)-1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8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8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F36" s="7">
        <v>43878</v>
      </c>
      <c r="CG36">
        <v>13</v>
      </c>
      <c r="CH36">
        <f>(CG36/CG35)-1</f>
        <v>0</v>
      </c>
    </row>
    <row r="37" spans="1:97" ht="19.5">
      <c r="C37">
        <f>H36*D37</f>
        <v>1230.9999999880292</v>
      </c>
      <c r="D37">
        <v>0.21691629955899999</v>
      </c>
      <c r="E37" t="s">
        <v>12</v>
      </c>
      <c r="F37" s="7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8">
        <f>N37-N36</f>
        <v>33</v>
      </c>
      <c r="P37">
        <f>P36+0</f>
        <v>15</v>
      </c>
      <c r="Q37" s="3">
        <f>(P37/P36)-1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8">
        <f>U37-U36</f>
        <v>131</v>
      </c>
      <c r="W37">
        <f>W36+24</f>
        <v>213</v>
      </c>
      <c r="X37" s="3">
        <f>(W37/W36)-1</f>
        <v>0.12698412698412698</v>
      </c>
      <c r="Y37">
        <f>Y36+2</f>
        <v>31</v>
      </c>
      <c r="Z37" s="3">
        <f>(Y37/Y36)-1</f>
        <v>0.068965517241379226</v>
      </c>
      <c r="AB37">
        <f>AB36+306</f>
        <v>1468</v>
      </c>
      <c r="AC37" s="8">
        <f>AB37-AB36</f>
        <v>306</v>
      </c>
      <c r="AD37">
        <f>AD36+12</f>
        <v>384</v>
      </c>
      <c r="AE37" s="3">
        <f>(AD37/AD36)-1</f>
        <v>0.032258064516129004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8">
        <f>AI37-AI36</f>
        <v>669</v>
      </c>
      <c r="AK37">
        <f>AK36+41</f>
        <v>572</v>
      </c>
      <c r="AL37" s="3">
        <f>(AK37/AK36)-1</f>
        <v>0.077212806026365266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8">
        <f>AP37-AP36</f>
        <v>25</v>
      </c>
      <c r="AR37">
        <f>AR36+3</f>
        <v>22</v>
      </c>
      <c r="AS37" s="3">
        <f>(AR37/AR36)-1</f>
        <v>0.15789473684210531</v>
      </c>
      <c r="AT37">
        <f>AT36+2</f>
        <v>7</v>
      </c>
      <c r="AU37" s="3">
        <f>(AT37/AT36)-1</f>
        <v>0.39999999999999991</v>
      </c>
      <c r="AW37">
        <f>AW36+9</f>
        <v>103</v>
      </c>
      <c r="AX37" s="8">
        <f>AW37-AW36</f>
        <v>9</v>
      </c>
      <c r="AY37">
        <f>AY36+0</f>
        <v>3</v>
      </c>
      <c r="AZ37" s="3">
        <f>(AY37/AY36)-1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8">
        <f>BD37-BD36</f>
        <v>8</v>
      </c>
      <c r="BF37">
        <f>BF36+-1</f>
        <v>2</v>
      </c>
      <c r="BG37" s="3">
        <f>(BF37/BF36)-1</f>
        <v>-0.33333333333333337</v>
      </c>
      <c r="BH37">
        <f>BH36+0</f>
        <v>1</v>
      </c>
      <c r="BI37" s="3">
        <f>(BH37/BH36)-1</f>
        <v>0</v>
      </c>
      <c r="BK37">
        <f>BK36+8</f>
        <v>65</v>
      </c>
      <c r="BL37" s="8">
        <f>BK37-BK36</f>
        <v>8</v>
      </c>
      <c r="BM37">
        <f>BM36+0</f>
        <v>10</v>
      </c>
      <c r="BN37" s="3">
        <f>(BM37/BM36)-1</f>
        <v>0</v>
      </c>
      <c r="BO37">
        <f>BO36+0</f>
        <v>4</v>
      </c>
      <c r="BP37" s="3">
        <f>(BO37/BO36)-1</f>
        <v>0</v>
      </c>
      <c r="BR37">
        <f>BR36+42</f>
        <v>264</v>
      </c>
      <c r="BS37" s="8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8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F37" s="7">
        <v>43879</v>
      </c>
      <c r="CG37">
        <v>13</v>
      </c>
      <c r="CH37">
        <f>(CG37/CG36)-1</f>
        <v>0</v>
      </c>
    </row>
    <row r="38" spans="1:97" ht="19.5">
      <c r="C38">
        <f>H37*D38</f>
        <v>874.99999999378963</v>
      </c>
      <c r="D38">
        <v>0.12670141905599999</v>
      </c>
      <c r="E38" t="s">
        <v>13</v>
      </c>
      <c r="F38" s="7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8">
        <f>N38-N37</f>
        <v>25</v>
      </c>
      <c r="P38">
        <f>P37+2</f>
        <v>17</v>
      </c>
      <c r="Q38" s="3">
        <f>(P38/P37)-1</f>
        <v>0.1333333333333333</v>
      </c>
      <c r="R38">
        <f>R37+1</f>
        <v>9</v>
      </c>
      <c r="S38" s="3">
        <f>(R38/R37)-1</f>
        <v>0.125</v>
      </c>
      <c r="U38">
        <f>U37+163</f>
        <v>1045</v>
      </c>
      <c r="V38" s="8">
        <f>U38-U37</f>
        <v>163</v>
      </c>
      <c r="W38">
        <f>W37+30</f>
        <v>243</v>
      </c>
      <c r="X38" s="3">
        <f>(W38/W37)-1</f>
        <v>0.14084507042253525</v>
      </c>
      <c r="Y38">
        <f>Y37+17</f>
        <v>48</v>
      </c>
      <c r="Z38" s="3">
        <f>(Y38/Y37)-1</f>
        <v>0.54838709677419351</v>
      </c>
      <c r="AB38">
        <f>AB37+196</f>
        <v>1664</v>
      </c>
      <c r="AC38" s="8">
        <f>AB38-AB37</f>
        <v>196</v>
      </c>
      <c r="AD38">
        <f>AD37+6</f>
        <v>390</v>
      </c>
      <c r="AE38" s="3">
        <f>(AD38/AD37)-1</f>
        <v>0.015625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8">
        <f>AI38-AI37</f>
        <v>417</v>
      </c>
      <c r="AK38">
        <f>AK37+41</f>
        <v>613</v>
      </c>
      <c r="AL38" s="3">
        <f>(AK38/AK37)-1</f>
        <v>0.071678321678321666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8">
        <f>AP38-AP37</f>
        <v>15</v>
      </c>
      <c r="AR38">
        <f>AR37+4</f>
        <v>26</v>
      </c>
      <c r="AS38" s="3">
        <f>(AR38/AR37)-1</f>
        <v>0.18181818181818188</v>
      </c>
      <c r="AT38">
        <f>AT37+0</f>
        <v>7</v>
      </c>
      <c r="AU38" s="3">
        <f>(AT38/AT37)-1</f>
        <v>0</v>
      </c>
      <c r="AW38">
        <f>AW37+8</f>
        <v>111</v>
      </c>
      <c r="AX38" s="8">
        <f>AW38-AW37</f>
        <v>8</v>
      </c>
      <c r="AY38">
        <f>AY37+1</f>
        <v>4</v>
      </c>
      <c r="AZ38" s="3">
        <f>(AY38/AY37)-1</f>
        <v>0.33333333333333326</v>
      </c>
      <c r="BA38">
        <f>BA37+0</f>
        <v>13</v>
      </c>
      <c r="BB38" s="3">
        <f>(BA38/BA37)-1</f>
        <v>0</v>
      </c>
      <c r="BD38">
        <f>BD37+3</f>
        <v>43</v>
      </c>
      <c r="BE38" s="8">
        <f>BD38-BD37</f>
        <v>3</v>
      </c>
      <c r="BF38">
        <f>BF37+1</f>
        <v>3</v>
      </c>
      <c r="BG38" s="3">
        <f>(BF38/BF37)-1</f>
        <v>0.5</v>
      </c>
      <c r="BH38">
        <f>BH37+0</f>
        <v>1</v>
      </c>
      <c r="BI38" s="3">
        <f>(BH38/BH37)-1</f>
        <v>0</v>
      </c>
      <c r="BK38">
        <f>BK37+20</f>
        <v>85</v>
      </c>
      <c r="BL38" s="8">
        <f>BK38-BK37</f>
        <v>20</v>
      </c>
      <c r="BM38">
        <f>BM37+2</f>
        <v>12</v>
      </c>
      <c r="BN38" s="3">
        <f>(BM38/BM37)-1</f>
        <v>0.19999999999999996</v>
      </c>
      <c r="BO38">
        <f>BO37+0</f>
        <v>4</v>
      </c>
      <c r="BP38" s="3">
        <f>(BO38/BO37)-1</f>
        <v>0</v>
      </c>
      <c r="BR38">
        <f>BR37+28</f>
        <v>292</v>
      </c>
      <c r="BS38" s="8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8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F38" s="7">
        <v>43880</v>
      </c>
      <c r="CG38">
        <v>13</v>
      </c>
      <c r="CH38">
        <f>(CG38/CG37)-1</f>
        <v>0</v>
      </c>
    </row>
    <row r="39" spans="1:97" ht="19.5">
      <c r="C39">
        <f>H38*D39</f>
        <v>999.99999999041893</v>
      </c>
      <c r="D39">
        <v>0.12851818532299999</v>
      </c>
      <c r="E39" t="s">
        <v>14</v>
      </c>
      <c r="F39" s="7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8">
        <f>N39-N38</f>
        <v>37</v>
      </c>
      <c r="P39">
        <f>P38+3</f>
        <v>20</v>
      </c>
      <c r="Q39" s="3">
        <f>(P39/P38)-1</f>
        <v>0.17647058823529416</v>
      </c>
      <c r="R39">
        <f>R38+3</f>
        <v>12</v>
      </c>
      <c r="S39" s="3">
        <f>(R39/R38)-1</f>
        <v>0.33333333333333326</v>
      </c>
      <c r="U39">
        <f>U38+245</f>
        <v>1290</v>
      </c>
      <c r="V39" s="8">
        <f>U39-U38</f>
        <v>245</v>
      </c>
      <c r="W39">
        <f>W38+8</f>
        <v>251</v>
      </c>
      <c r="X39" s="3">
        <f>(W39/W38)-1</f>
        <v>0.03292181069958855</v>
      </c>
      <c r="Y39">
        <f>Y38+20</f>
        <v>68</v>
      </c>
      <c r="Z39" s="3">
        <f>(Y39/Y38)-1</f>
        <v>0.41666666666666674</v>
      </c>
      <c r="AB39">
        <f>AB38+281</f>
        <v>1945</v>
      </c>
      <c r="AC39" s="8">
        <f>AB39-AB38</f>
        <v>281</v>
      </c>
      <c r="AD39">
        <f>AD38+38</f>
        <v>428</v>
      </c>
      <c r="AE39" s="3">
        <f>(AD39/AD38)-1</f>
        <v>0.097435897435897534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8">
        <f>AI39-AI38</f>
        <v>281</v>
      </c>
      <c r="AK39">
        <f>AK38+52</f>
        <v>665</v>
      </c>
      <c r="AL39" s="3">
        <f>(AK39/AK38)-1</f>
        <v>0.084828711256117462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8">
        <f>AP39-AP38</f>
        <v>24</v>
      </c>
      <c r="AR39">
        <f>AR38+2</f>
        <v>28</v>
      </c>
      <c r="AS39" s="3">
        <f>(AR39/AR38)-1</f>
        <v>0.076923076923076872</v>
      </c>
      <c r="AT39">
        <f>AT38+2</f>
        <v>9</v>
      </c>
      <c r="AU39" s="3">
        <f>(AT39/AT38)-1</f>
        <v>0.28571428571428581</v>
      </c>
      <c r="AW39">
        <f>AW38+17</f>
        <v>128</v>
      </c>
      <c r="AX39" s="8">
        <f>AW39-AW38</f>
        <v>17</v>
      </c>
      <c r="AY39">
        <f>AY38+3</f>
        <v>7</v>
      </c>
      <c r="AZ39" s="3">
        <f>(AY39/AY38)-1</f>
        <v>0.75</v>
      </c>
      <c r="BA39">
        <f>BA38+0</f>
        <v>13</v>
      </c>
      <c r="BB39" s="3">
        <f>(BA39/BA38)-1</f>
        <v>0</v>
      </c>
      <c r="BD39">
        <f>BD38+6</f>
        <v>49</v>
      </c>
      <c r="BE39" s="8">
        <f>BD39-BD38</f>
        <v>6</v>
      </c>
      <c r="BF39">
        <f>BF38+0</f>
        <v>3</v>
      </c>
      <c r="BG39" s="3">
        <f>(BF39/BF38)-1</f>
        <v>0</v>
      </c>
      <c r="BH39">
        <f>BH38+0</f>
        <v>1</v>
      </c>
      <c r="BI39" s="3">
        <f>(BH39/BH38)-1</f>
        <v>0</v>
      </c>
      <c r="BK39">
        <f>BK38+35</f>
        <v>120</v>
      </c>
      <c r="BL39" s="8">
        <f>BK39-BK38</f>
        <v>35</v>
      </c>
      <c r="BM39">
        <f>BM38+4</f>
        <v>16</v>
      </c>
      <c r="BN39" s="3">
        <f>(BM39/BM38)-1</f>
        <v>0.33333333333333326</v>
      </c>
      <c r="BO39">
        <f>BO38+1</f>
        <v>5</v>
      </c>
      <c r="BP39" s="3">
        <f>(BO39/BO38)-1</f>
        <v>0.25</v>
      </c>
      <c r="BR39">
        <f>BR38+74</f>
        <v>366</v>
      </c>
      <c r="BS39" s="8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8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F39" s="7">
        <v>43881</v>
      </c>
      <c r="CG39">
        <v>13</v>
      </c>
      <c r="CH39">
        <f>(CG39/CG38)-1</f>
        <v>0</v>
      </c>
    </row>
    <row r="40" spans="1:97" ht="19.5">
      <c r="C40">
        <f>H39*D40</f>
        <v>1003.000000034434</v>
      </c>
      <c r="D40">
        <v>0.11422389249999999</v>
      </c>
      <c r="E40" t="s">
        <v>15</v>
      </c>
      <c r="F40" s="7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8">
        <f>N40-N39</f>
        <v>23</v>
      </c>
      <c r="P40">
        <f>P39+5</f>
        <v>25</v>
      </c>
      <c r="Q40" s="3">
        <f>(P40/P39)-1</f>
        <v>0.25</v>
      </c>
      <c r="R40">
        <f>R39+1</f>
        <v>13</v>
      </c>
      <c r="S40" s="3">
        <f>(R40/R39)-1</f>
        <v>0.083333333333333259</v>
      </c>
      <c r="U40">
        <f>U39+181</f>
        <v>1471</v>
      </c>
      <c r="V40" s="8">
        <f>U40-U39</f>
        <v>181</v>
      </c>
      <c r="W40">
        <f>W39+25</f>
        <v>276</v>
      </c>
      <c r="X40" s="3">
        <f>(W40/W39)-1</f>
        <v>0.09960159362549792</v>
      </c>
      <c r="Y40">
        <f>Y39+7</f>
        <v>75</v>
      </c>
      <c r="Z40" s="3">
        <f>(Y40/Y39)-1</f>
        <v>0.10294117647058831</v>
      </c>
      <c r="AB40">
        <f>AB39+238</f>
        <v>2183</v>
      </c>
      <c r="AC40" s="8">
        <f>AB40-AB39</f>
        <v>238</v>
      </c>
      <c r="AD40">
        <f>AD39+19</f>
        <v>447</v>
      </c>
      <c r="AE40" s="3">
        <f>(AD40/AD39)-1</f>
        <v>0.044392523364485958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8">
        <f>AI40-AI39</f>
        <v>465</v>
      </c>
      <c r="AK40">
        <f>AK39+-1</f>
        <v>664</v>
      </c>
      <c r="AL40" s="3">
        <f>(AK40/AK39)-1</f>
        <v>-0.0015037593984962294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8">
        <f>AP40-AP39</f>
        <v>31</v>
      </c>
      <c r="AR40">
        <f>AR39+-2</f>
        <v>26</v>
      </c>
      <c r="AS40" s="3">
        <f>(AR40/AR39)-1</f>
        <v>-0.071428571428571397</v>
      </c>
      <c r="AT40">
        <f>AT39+5</f>
        <v>14</v>
      </c>
      <c r="AU40" s="3">
        <f>(AT40/AT39)-1</f>
        <v>0.55555555555555558</v>
      </c>
      <c r="AW40">
        <f>AW39+17</f>
        <v>145</v>
      </c>
      <c r="AX40" s="8">
        <f>AW40-AW39</f>
        <v>17</v>
      </c>
      <c r="AY40">
        <f>AY39+0</f>
        <v>7</v>
      </c>
      <c r="AZ40" s="3">
        <f>(AY40/AY39)-1</f>
        <v>0</v>
      </c>
      <c r="BA40">
        <f>BA39+0</f>
        <v>13</v>
      </c>
      <c r="BB40" s="3">
        <f>(BA40/BA39)-1</f>
        <v>0</v>
      </c>
      <c r="BD40">
        <f>BD39+3</f>
        <v>52</v>
      </c>
      <c r="BE40" s="8">
        <f>BD40-BD39</f>
        <v>3</v>
      </c>
      <c r="BF40">
        <f>BF39+1</f>
        <v>4</v>
      </c>
      <c r="BG40" s="3">
        <f>(BF40/BF39)-1</f>
        <v>0.33333333333333326</v>
      </c>
      <c r="BH40">
        <f>BH39+0</f>
        <v>1</v>
      </c>
      <c r="BI40" s="3">
        <f>(BH40/BH39)-1</f>
        <v>0</v>
      </c>
      <c r="BK40">
        <f>BK39+19</f>
        <v>139</v>
      </c>
      <c r="BL40" s="8">
        <f>BK40-BK39</f>
        <v>19</v>
      </c>
      <c r="BM40">
        <f>BM39+-1</f>
        <v>15</v>
      </c>
      <c r="BN40" s="3">
        <f>(BM40/BM39)-1</f>
        <v>-0.0625</v>
      </c>
      <c r="BO40">
        <f>BO39+1</f>
        <v>6</v>
      </c>
      <c r="BP40" s="3">
        <f>(BO40/BO39)-1</f>
        <v>0.19999999999999996</v>
      </c>
      <c r="BR40">
        <f>BR39+26</f>
        <v>392</v>
      </c>
      <c r="BS40" s="8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8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F40" s="7">
        <v>43882</v>
      </c>
      <c r="CG40">
        <v>15</v>
      </c>
      <c r="CH40">
        <f>(CG40/CG39)-1</f>
        <v>0.15384615384615374</v>
      </c>
    </row>
    <row r="41" spans="1:97" ht="19.5">
      <c r="C41">
        <f>H40*D41</f>
        <v>753.99999999757006</v>
      </c>
      <c r="D41">
        <v>0.077064595257599997</v>
      </c>
      <c r="E41" t="s">
        <v>16</v>
      </c>
      <c r="F41" s="7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8">
        <f>N41-N40</f>
        <v>31</v>
      </c>
      <c r="P41">
        <f>P40+7</f>
        <v>32</v>
      </c>
      <c r="Q41" s="3">
        <f>(P41/P40)-1</f>
        <v>0.28000000000000003</v>
      </c>
      <c r="R41">
        <f>R40+3</f>
        <v>16</v>
      </c>
      <c r="S41" s="3">
        <f>(R41/R40)-1</f>
        <v>0.23076923076923084</v>
      </c>
      <c r="U41">
        <f>U40+144</f>
        <v>1615</v>
      </c>
      <c r="V41" s="8">
        <f>U41-U40</f>
        <v>144</v>
      </c>
      <c r="W41">
        <f>W40+20</f>
        <v>296</v>
      </c>
      <c r="X41" s="3">
        <f>(W41/W40)-1</f>
        <v>0.072463768115942129</v>
      </c>
      <c r="Y41">
        <f>Y40+13</f>
        <v>88</v>
      </c>
      <c r="Z41" s="3">
        <f>(Y41/Y40)-1</f>
        <v>0.17333333333333334</v>
      </c>
      <c r="AB41">
        <f>AB40+200</f>
        <v>2383</v>
      </c>
      <c r="AC41" s="8">
        <f>AB41-AB40</f>
        <v>200</v>
      </c>
      <c r="AD41">
        <f>AD40+46</f>
        <v>493</v>
      </c>
      <c r="AE41" s="3">
        <f>(AD41/AD40)-1</f>
        <v>0.1029082774049217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8">
        <f>AI41-AI40</f>
        <v>298</v>
      </c>
      <c r="AK41">
        <f>AK40+21</f>
        <v>685</v>
      </c>
      <c r="AL41" s="3">
        <f>(AK41/AK40)-1</f>
        <v>0.031626506024096335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8">
        <f>AP41-AP40</f>
        <v>35</v>
      </c>
      <c r="AR41">
        <f>AR40+2</f>
        <v>28</v>
      </c>
      <c r="AS41" s="3">
        <f>(AR41/AR40)-1</f>
        <v>0.076923076923076872</v>
      </c>
      <c r="AT41">
        <f>AT40+3</f>
        <v>17</v>
      </c>
      <c r="AU41" s="3">
        <f>(AT41/AT40)-1</f>
        <v>0.21428571428571419</v>
      </c>
      <c r="AW41">
        <f>AW40+7</f>
        <v>152</v>
      </c>
      <c r="AX41" s="8">
        <f>AW41-AW40</f>
        <v>7</v>
      </c>
      <c r="AY41">
        <f>AY40+-1</f>
        <v>6</v>
      </c>
      <c r="AZ41" s="3">
        <f>(AY41/AY40)-1</f>
        <v>-0.1428571428571429</v>
      </c>
      <c r="BA41">
        <f>BA40+1</f>
        <v>14</v>
      </c>
      <c r="BB41" s="3">
        <f>(BA41/BA40)-1</f>
        <v>0.076923076923076872</v>
      </c>
      <c r="BD41">
        <f>BD40+7</f>
        <v>59</v>
      </c>
      <c r="BE41" s="8">
        <f>BD41-BD40</f>
        <v>7</v>
      </c>
      <c r="BF41">
        <f>BF40+1</f>
        <v>5</v>
      </c>
      <c r="BG41" s="3">
        <f>(BF41/BF40)-1</f>
        <v>0.25</v>
      </c>
      <c r="BH41">
        <f>BH40+0</f>
        <v>1</v>
      </c>
      <c r="BI41" s="3">
        <f>(BH41/BH40)-1</f>
        <v>0</v>
      </c>
      <c r="BK41">
        <f>BK40+17</f>
        <v>156</v>
      </c>
      <c r="BL41" s="8">
        <f>BK41-BK40</f>
        <v>17</v>
      </c>
      <c r="BM41">
        <f>BM40+2</f>
        <v>17</v>
      </c>
      <c r="BN41" s="3">
        <f>(BM41/BM40)-1</f>
        <v>0.1333333333333333</v>
      </c>
      <c r="BO41">
        <f>BO40+1</f>
        <v>7</v>
      </c>
      <c r="BP41" s="3">
        <f>(BO41/BO40)-1</f>
        <v>0.16666666666666674</v>
      </c>
      <c r="BR41">
        <f>BR40+15</f>
        <v>407</v>
      </c>
      <c r="BS41" s="8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8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F41" s="7">
        <v>43883</v>
      </c>
      <c r="CG41">
        <v>15</v>
      </c>
      <c r="CH41">
        <f>(CG41/CG40)-1</f>
        <v>0</v>
      </c>
    </row>
    <row r="42" spans="1:97" ht="19.5">
      <c r="C42">
        <f>H41*D42</f>
        <v>971.99999999678664</v>
      </c>
      <c r="D42">
        <f>0.092237616246000007</f>
        <v>0.092237616246000007</v>
      </c>
      <c r="E42" t="s">
        <v>17</v>
      </c>
      <c r="F42" s="7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8">
        <f>N42-N41</f>
        <v>42</v>
      </c>
      <c r="P42">
        <f>P41+6</f>
        <v>38</v>
      </c>
      <c r="Q42" s="3">
        <f>(P42/P41)-1</f>
        <v>0.1875</v>
      </c>
      <c r="R42">
        <f>R41+4</f>
        <v>20</v>
      </c>
      <c r="S42" s="3">
        <f>(R42/R41)-1</f>
        <v>0.25</v>
      </c>
      <c r="U42">
        <f>U41+217</f>
        <v>1832</v>
      </c>
      <c r="V42" s="8">
        <f>U42-U41</f>
        <v>217</v>
      </c>
      <c r="W42">
        <f>W41+15</f>
        <v>311</v>
      </c>
      <c r="X42" s="3">
        <f>(W42/W41)-1</f>
        <v>0.050675675675675658</v>
      </c>
      <c r="Y42">
        <f>Y41+13</f>
        <v>101</v>
      </c>
      <c r="Z42" s="3">
        <f>(Y42/Y41)-1</f>
        <v>0.14772727272727271</v>
      </c>
      <c r="AB42">
        <f>AB41+332</f>
        <v>2715</v>
      </c>
      <c r="AC42" s="8">
        <f>AB42-AB41</f>
        <v>332</v>
      </c>
      <c r="AD42">
        <f>AD41+21</f>
        <v>514</v>
      </c>
      <c r="AE42" s="3">
        <f>(AD42/AD41)-1</f>
        <v>0.042596348884381241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8">
        <f>AI42-AI41</f>
        <v>227</v>
      </c>
      <c r="AK42">
        <f>AK41+-9</f>
        <v>676</v>
      </c>
      <c r="AL42" s="3">
        <f>(AK42/AK41)-1</f>
        <v>-0.013138686131386912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8">
        <f>AP42-AP41</f>
        <v>50</v>
      </c>
      <c r="AR42">
        <f>AR41+-1</f>
        <v>27</v>
      </c>
      <c r="AS42" s="3">
        <f>(AR42/AR41)-1</f>
        <v>-0.035714285714285698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8">
        <f>AW42-AW41</f>
        <v>19</v>
      </c>
      <c r="AY42">
        <f>AY41+1</f>
        <v>7</v>
      </c>
      <c r="AZ42" s="3">
        <f>(AY42/AY41)-1</f>
        <v>0.16666666666666674</v>
      </c>
      <c r="BA42">
        <f>BA41+1</f>
        <v>15</v>
      </c>
      <c r="BB42" s="3">
        <f>(BA42/BA41)-1</f>
        <v>0.071428571428571397</v>
      </c>
      <c r="BD42">
        <f>BD41+7</f>
        <v>66</v>
      </c>
      <c r="BE42" s="8">
        <f>BD42-BD41</f>
        <v>7</v>
      </c>
      <c r="BF42">
        <f>BF41+-1</f>
        <v>4</v>
      </c>
      <c r="BG42" s="3">
        <f>(BF42/BF41)-1</f>
        <v>-0.19999999999999996</v>
      </c>
      <c r="BH42">
        <f>BH41+0</f>
        <v>1</v>
      </c>
      <c r="BI42" s="3">
        <f>(BH42/BH41)-1</f>
        <v>0</v>
      </c>
      <c r="BK42">
        <f>BK41+29</f>
        <v>185</v>
      </c>
      <c r="BL42" s="8">
        <f>BK42-BK41</f>
        <v>29</v>
      </c>
      <c r="BM42">
        <f>BM41+-1</f>
        <v>16</v>
      </c>
      <c r="BN42" s="3">
        <f>(BM42/BM41)-1</f>
        <v>-0.058823529411764719</v>
      </c>
      <c r="BO42">
        <f>BO41+0</f>
        <v>7</v>
      </c>
      <c r="BP42" s="3">
        <f>(BO42/BO41)-1</f>
        <v>0</v>
      </c>
      <c r="BR42">
        <f>BR41+49</f>
        <v>456</v>
      </c>
      <c r="BS42" s="8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8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F42" s="7">
        <v>43884</v>
      </c>
      <c r="CG42">
        <v>15</v>
      </c>
      <c r="CH42">
        <f>(CG42/CG41)-1</f>
        <v>0</v>
      </c>
    </row>
    <row r="43" spans="1:97" ht="19.5">
      <c r="C43">
        <f>H42*D43</f>
        <v>524.99999999669217</v>
      </c>
      <c r="D43">
        <f>0.045612510859999997</f>
        <v>0.045612510859999997</v>
      </c>
      <c r="E43" t="s">
        <v>11</v>
      </c>
      <c r="F43" s="7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8">
        <f>N43-N42</f>
        <v>15</v>
      </c>
      <c r="P43">
        <f>P42+1</f>
        <v>39</v>
      </c>
      <c r="Q43" s="3">
        <f>(P43/P42)-1</f>
        <v>0.026315789473684292</v>
      </c>
      <c r="R43">
        <f>R42+4</f>
        <v>24</v>
      </c>
      <c r="S43" s="3">
        <f>(R43/R42)-1</f>
        <v>0.19999999999999996</v>
      </c>
      <c r="U43">
        <f>U42+82</f>
        <v>1914</v>
      </c>
      <c r="V43" s="8">
        <f>U43-U42</f>
        <v>82</v>
      </c>
      <c r="W43">
        <f>W42+22</f>
        <v>333</v>
      </c>
      <c r="X43" s="3">
        <f>(W43/W42)-1</f>
        <v>0.070739549839228255</v>
      </c>
      <c r="Y43">
        <f>Y42+15</f>
        <v>116</v>
      </c>
      <c r="Z43" s="3">
        <f>(Y43/Y42)-1</f>
        <v>0.14851485148514842</v>
      </c>
      <c r="AB43">
        <f>AB42+231</f>
        <v>2946</v>
      </c>
      <c r="AC43" s="8">
        <f>AB43-AB42</f>
        <v>231</v>
      </c>
      <c r="AD43">
        <f>AD42+21</f>
        <v>535</v>
      </c>
      <c r="AE43" s="3">
        <f>(AD43/AD42)-1</f>
        <v>0.040856031128404746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8">
        <f>AI43-AI42</f>
        <v>127</v>
      </c>
      <c r="AK43">
        <f>AK42+12</f>
        <v>688</v>
      </c>
      <c r="AL43" s="3">
        <f>(AK43/AK42)-1</f>
        <v>0.017751479289940919</v>
      </c>
      <c r="AM43">
        <f>AM42+28</f>
        <v>248</v>
      </c>
      <c r="AN43" s="3">
        <f>(AM43/AM42)-1</f>
        <v>0.1272727272727272</v>
      </c>
      <c r="AP43">
        <f>AP42+9</f>
        <v>299</v>
      </c>
      <c r="AQ43" s="8">
        <f>AP43-AP42</f>
        <v>9</v>
      </c>
      <c r="AR43">
        <f>AR42+5</f>
        <v>32</v>
      </c>
      <c r="AS43" s="3">
        <f>(AR43/AR42)-1</f>
        <v>0.18518518518518512</v>
      </c>
      <c r="AT43">
        <f>AT42+0</f>
        <v>18</v>
      </c>
      <c r="AU43" s="3">
        <f>(AT43/AT42)-1</f>
        <v>0</v>
      </c>
      <c r="AW43">
        <f>AW42+11</f>
        <v>182</v>
      </c>
      <c r="AX43" s="8">
        <f>AW43-AW42</f>
        <v>11</v>
      </c>
      <c r="AY43">
        <f>AY42+0</f>
        <v>7</v>
      </c>
      <c r="AZ43" s="3">
        <f>(AY43/AY42)-1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8">
        <f>BD43-BD42</f>
        <v>0</v>
      </c>
      <c r="BF43">
        <f>BF42+0</f>
        <v>4</v>
      </c>
      <c r="BG43" s="3">
        <f>(BF43/BF42)-1</f>
        <v>0</v>
      </c>
      <c r="BH43">
        <f>BH42+0</f>
        <v>1</v>
      </c>
      <c r="BI43" s="3">
        <f>(BH43/BH42)-1</f>
        <v>0</v>
      </c>
      <c r="BK43">
        <f>BK42+5</f>
        <v>190</v>
      </c>
      <c r="BL43" s="8">
        <f>BK43-BK42</f>
        <v>5</v>
      </c>
      <c r="BM43">
        <f>BM42+0</f>
        <v>16</v>
      </c>
      <c r="BN43" s="3">
        <f>(BM43/BM42)-1</f>
        <v>0</v>
      </c>
      <c r="BO43">
        <f>BO42+0</f>
        <v>7</v>
      </c>
      <c r="BP43" s="3">
        <f>(BO43/BO42)-1</f>
        <v>0</v>
      </c>
      <c r="BR43">
        <f>BR42+45</f>
        <v>501</v>
      </c>
      <c r="BS43" s="8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8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F43" s="7">
        <v>43885</v>
      </c>
      <c r="CG43">
        <v>51</v>
      </c>
      <c r="CH43">
        <f>(CG43/CG42)-1</f>
        <v>2.3999999999999999</v>
      </c>
    </row>
    <row r="44" spans="1:97" ht="19.5">
      <c r="C44">
        <f>H43*D44</f>
        <v>1346.0000000008024</v>
      </c>
      <c r="D44">
        <f>0.11184046531</f>
        <v>0.11184046531</v>
      </c>
      <c r="E44" t="s">
        <v>12</v>
      </c>
      <c r="F44" s="7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8">
        <f>N44-N43</f>
        <v>43</v>
      </c>
      <c r="P44">
        <f>P43+-2</f>
        <v>37</v>
      </c>
      <c r="Q44" s="3">
        <f>(P44/P43)-1</f>
        <v>-0.051282051282051322</v>
      </c>
      <c r="R44">
        <f>R43+0</f>
        <v>24</v>
      </c>
      <c r="S44" s="3">
        <f>(R44/R43)-1</f>
        <v>0</v>
      </c>
      <c r="U44">
        <f>U43+329</f>
        <v>2243</v>
      </c>
      <c r="V44" s="8">
        <f>U44-U43</f>
        <v>329</v>
      </c>
      <c r="W44">
        <f>W43+28</f>
        <v>361</v>
      </c>
      <c r="X44" s="3">
        <f>(W44/W43)-1</f>
        <v>0.084084084084084187</v>
      </c>
      <c r="Y44">
        <f>Y43+17</f>
        <v>133</v>
      </c>
      <c r="Z44" s="3">
        <f>(Y44/Y43)-1</f>
        <v>0.14655172413793105</v>
      </c>
      <c r="AB44">
        <f>AB43+412</f>
        <v>3358</v>
      </c>
      <c r="AC44" s="8">
        <f>AB44-AB43</f>
        <v>412</v>
      </c>
      <c r="AD44">
        <f>AD43+45</f>
        <v>580</v>
      </c>
      <c r="AE44" s="3">
        <f>(AD44/AD43)-1</f>
        <v>0.084112149532710179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8">
        <f>AI44-AI43</f>
        <v>470</v>
      </c>
      <c r="AK44">
        <f>AK43+22</f>
        <v>710</v>
      </c>
      <c r="AL44" s="3">
        <f>(AK44/AK43)-1</f>
        <v>0.031976744186046568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8">
        <f>AP44-AP43</f>
        <v>40</v>
      </c>
      <c r="AR44">
        <f>AR43+3</f>
        <v>35</v>
      </c>
      <c r="AS44" s="3">
        <f>(AR44/AR43)-1</f>
        <v>0.09375</v>
      </c>
      <c r="AT44">
        <f>AT43+1</f>
        <v>19</v>
      </c>
      <c r="AU44" s="3">
        <f>(AT44/AT43)-1</f>
        <v>0.05555555555555558</v>
      </c>
      <c r="AW44">
        <f>AW43+13</f>
        <v>195</v>
      </c>
      <c r="AX44" s="8">
        <f>AW44-AW43</f>
        <v>13</v>
      </c>
      <c r="AY44">
        <f>AY43+6</f>
        <v>13</v>
      </c>
      <c r="AZ44" s="3">
        <f>(AY44/AY43)-1</f>
        <v>0.85714285714285721</v>
      </c>
      <c r="BA44">
        <f>BA43+0</f>
        <v>17</v>
      </c>
      <c r="BB44" s="3">
        <f>(BA44/BA43)-1</f>
        <v>0</v>
      </c>
      <c r="BD44">
        <f>BD43+17</f>
        <v>83</v>
      </c>
      <c r="BE44" s="8">
        <f>BD44-BD43</f>
        <v>17</v>
      </c>
      <c r="BF44">
        <f>BF43+0</f>
        <v>4</v>
      </c>
      <c r="BG44" s="3">
        <f>(BF44/BF43)-1</f>
        <v>0</v>
      </c>
      <c r="BH44">
        <f>BH43+0</f>
        <v>1</v>
      </c>
      <c r="BI44" s="3">
        <f>(BH44/BH43)-1</f>
        <v>0</v>
      </c>
      <c r="BK44">
        <f>BK43+32</f>
        <v>222</v>
      </c>
      <c r="BL44" s="8">
        <f>BK44-BK43</f>
        <v>32</v>
      </c>
      <c r="BM44">
        <f>BM43+4</f>
        <v>20</v>
      </c>
      <c r="BN44" s="3">
        <f>(BM44/BM43)-1</f>
        <v>0.25</v>
      </c>
      <c r="BO44">
        <f>BO43+0</f>
        <v>7</v>
      </c>
      <c r="BP44" s="3">
        <f>(BO44/BO43)-1</f>
        <v>0</v>
      </c>
      <c r="BR44">
        <f>BR43+-10</f>
        <v>491</v>
      </c>
      <c r="BS44" s="8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8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F44" s="7">
        <v>43886</v>
      </c>
      <c r="CG44">
        <v>51</v>
      </c>
      <c r="CH44">
        <f>(CG44/CG43)-1</f>
        <v>0</v>
      </c>
    </row>
    <row r="45" spans="1:97" ht="19.5">
      <c r="C45">
        <f>H44*D45</f>
        <v>607.99999999230567</v>
      </c>
      <c r="D45">
        <f>0.045437560719999999</f>
        <v>0.045437560719999999</v>
      </c>
      <c r="E45" t="s">
        <v>13</v>
      </c>
      <c r="F45" s="7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8">
        <f>N45-N44</f>
        <v>14</v>
      </c>
      <c r="P45">
        <f>P44+-2</f>
        <v>35</v>
      </c>
      <c r="Q45" s="3">
        <f>(P45/P44)-1</f>
        <v>-0.054054054054054057</v>
      </c>
      <c r="R45">
        <f>R44+5</f>
        <v>29</v>
      </c>
      <c r="S45" s="3">
        <f>(R45/R44)-1</f>
        <v>0.20833333333333326</v>
      </c>
      <c r="U45">
        <f>U44+127</f>
        <v>2370</v>
      </c>
      <c r="V45" s="8">
        <f>U45-U44</f>
        <v>127</v>
      </c>
      <c r="W45">
        <f>W44+8</f>
        <v>369</v>
      </c>
      <c r="X45" s="3">
        <f>(W45/W44)-1</f>
        <v>0.022160664819944609</v>
      </c>
      <c r="Y45">
        <f>Y44+20</f>
        <v>153</v>
      </c>
      <c r="Z45" s="3">
        <f>(Y45/Y44)-1</f>
        <v>0.15037593984962405</v>
      </c>
      <c r="AB45">
        <f>AB44+185</f>
        <v>3543</v>
      </c>
      <c r="AC45" s="8">
        <f>AB45-AB44</f>
        <v>185</v>
      </c>
      <c r="AD45">
        <f>AD44+-8</f>
        <v>572</v>
      </c>
      <c r="AE45" s="3">
        <f>(AD45/AD44)-1</f>
        <v>-0.01379310344827589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8">
        <f>AI45-AI44</f>
        <v>209</v>
      </c>
      <c r="AK45">
        <f>AK44+21</f>
        <v>731</v>
      </c>
      <c r="AL45" s="3">
        <f>(AK45/AK44)-1</f>
        <v>0.029577464788732355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8">
        <f>AP45-AP44</f>
        <v>16</v>
      </c>
      <c r="AR45">
        <f>AR44+3</f>
        <v>38</v>
      </c>
      <c r="AS45" s="3">
        <f>(AR45/AR44)-1</f>
        <v>0.085714285714285632</v>
      </c>
      <c r="AT45">
        <f>AT44+2</f>
        <v>21</v>
      </c>
      <c r="AU45" s="3">
        <f>(AT45/AT44)-1</f>
        <v>0.10526315789473695</v>
      </c>
      <c r="AW45">
        <f>AW44+6</f>
        <v>201</v>
      </c>
      <c r="AX45" s="8">
        <f>AW45-AW44</f>
        <v>6</v>
      </c>
      <c r="AY45">
        <f>AY44+-1</f>
        <v>12</v>
      </c>
      <c r="AZ45" s="3">
        <f>(AY45/AY44)-1</f>
        <v>-0.076923076923076872</v>
      </c>
      <c r="BA45">
        <f>BA44+1</f>
        <v>18</v>
      </c>
      <c r="BB45" s="3">
        <f>(BA45/BA44)-1</f>
        <v>0.058823529411764719</v>
      </c>
      <c r="BD45">
        <f>BD44+4</f>
        <v>87</v>
      </c>
      <c r="BE45" s="8">
        <f>BD45-BD44</f>
        <v>4</v>
      </c>
      <c r="BF45">
        <f>BF44+1</f>
        <v>5</v>
      </c>
      <c r="BG45" s="3">
        <f>(BF45/BF44)-1</f>
        <v>0.25</v>
      </c>
      <c r="BH45">
        <f>BH44+0</f>
        <v>1</v>
      </c>
      <c r="BI45" s="3">
        <f>(BH45/BH44)-1</f>
        <v>0</v>
      </c>
      <c r="BK45">
        <f>BK44+5</f>
        <v>227</v>
      </c>
      <c r="BL45" s="8">
        <f>BK45-BK44</f>
        <v>5</v>
      </c>
      <c r="BM45">
        <f>BM44+-3</f>
        <v>17</v>
      </c>
      <c r="BN45" s="3">
        <f>(BM45/BM44)-1</f>
        <v>-0.15000000000000002</v>
      </c>
      <c r="BO45">
        <f>BO44+0</f>
        <v>7</v>
      </c>
      <c r="BP45" s="3">
        <f>(BO45/BO44)-1</f>
        <v>0</v>
      </c>
      <c r="BR45">
        <f>BR44+42</f>
        <v>533</v>
      </c>
      <c r="BS45" s="8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8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F45" s="7">
        <v>43887</v>
      </c>
      <c r="CG45">
        <v>57</v>
      </c>
      <c r="CH45">
        <f>(CG45/CG44)-1</f>
        <v>0.11764705882352944</v>
      </c>
    </row>
    <row r="46" spans="1:97" ht="19.5">
      <c r="C46">
        <f>H45*D46</f>
        <v>765.99999999069723</v>
      </c>
      <c r="D46">
        <f>0.054757309313999997</f>
        <v>0.054757309313999997</v>
      </c>
      <c r="E46" t="s">
        <v>14</v>
      </c>
      <c r="F46" s="7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8">
        <f>N46-N45</f>
        <v>30</v>
      </c>
      <c r="P46">
        <f>P45+-3</f>
        <v>32</v>
      </c>
      <c r="Q46" s="3">
        <f>(P46/P45)-1</f>
        <v>-0.085714285714285743</v>
      </c>
      <c r="R46">
        <f>R45+6</f>
        <v>35</v>
      </c>
      <c r="S46" s="3">
        <f>(R46/R45)-1</f>
        <v>0.2068965517241379</v>
      </c>
      <c r="U46">
        <f>U45+200</f>
        <v>2570</v>
      </c>
      <c r="V46" s="8">
        <f>U46-U45</f>
        <v>200</v>
      </c>
      <c r="W46">
        <f>W45+33</f>
        <v>402</v>
      </c>
      <c r="X46" s="3">
        <f>(W46/W45)-1</f>
        <v>0.089430894308943021</v>
      </c>
      <c r="Y46">
        <f>Y45+60</f>
        <v>213</v>
      </c>
      <c r="Z46" s="3">
        <f>(Y46/Y45)-1</f>
        <v>0.39215686274509798</v>
      </c>
      <c r="AB46">
        <f>AB45+215</f>
        <v>3758</v>
      </c>
      <c r="AC46" s="8">
        <f>AB46-AB45</f>
        <v>215</v>
      </c>
      <c r="AD46">
        <f>AD45+40</f>
        <v>612</v>
      </c>
      <c r="AE46" s="3">
        <f>(AD46/AD45)-1</f>
        <v>0.069930069930070005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8">
        <f>AI46-AI45</f>
        <v>267</v>
      </c>
      <c r="AK46">
        <f>AK45+53</f>
        <v>784</v>
      </c>
      <c r="AL46" s="3">
        <f>(AK46/AK45)-1</f>
        <v>0.072503419972640204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8">
        <f>AP46-AP45</f>
        <v>24</v>
      </c>
      <c r="AR46">
        <f>AR45+2</f>
        <v>40</v>
      </c>
      <c r="AS46" s="3">
        <f>(AR46/AR45)-1</f>
        <v>0.052631578947368363</v>
      </c>
      <c r="AT46">
        <f>AT45+7</f>
        <v>28</v>
      </c>
      <c r="AU46" s="3">
        <f>(AT46/AT45)-1</f>
        <v>0.33333333333333326</v>
      </c>
      <c r="AW46">
        <f>AW45+15</f>
        <v>216</v>
      </c>
      <c r="AX46" s="8">
        <f>AW46-AW45</f>
        <v>15</v>
      </c>
      <c r="AY46">
        <f>AY45+-1</f>
        <v>11</v>
      </c>
      <c r="AZ46" s="3">
        <f>(AY46/AY45)-1</f>
        <v>-0.08333333333333337</v>
      </c>
      <c r="BA46">
        <f>BA45+4</f>
        <v>22</v>
      </c>
      <c r="BB46" s="3">
        <f>(BA46/BA45)-1</f>
        <v>0.22222222222222232</v>
      </c>
      <c r="BD46">
        <f>BD45+2</f>
        <v>89</v>
      </c>
      <c r="BE46" s="8">
        <f>BD46-BD45</f>
        <v>2</v>
      </c>
      <c r="BF46">
        <f>BF45+1</f>
        <v>6</v>
      </c>
      <c r="BG46" s="3">
        <f>(BF46/BF45)-1</f>
        <v>0.19999999999999996</v>
      </c>
      <c r="BH46">
        <f>BH45+0</f>
        <v>1</v>
      </c>
      <c r="BI46" s="3">
        <f>(BH46/BH45)-1</f>
        <v>0</v>
      </c>
      <c r="BK46">
        <f>BK45+9</f>
        <v>236</v>
      </c>
      <c r="BL46" s="8">
        <f>BK46-BK45</f>
        <v>9</v>
      </c>
      <c r="BM46">
        <f>BM45+4</f>
        <v>21</v>
      </c>
      <c r="BN46" s="3">
        <f>(BM46/BM45)-1</f>
        <v>0.23529411764705888</v>
      </c>
      <c r="BO46">
        <f>BO45+0</f>
        <v>7</v>
      </c>
      <c r="BP46" s="3">
        <f>(BO46/BO45)-1</f>
        <v>0</v>
      </c>
      <c r="BR46">
        <f>BR45+4</f>
        <v>537</v>
      </c>
      <c r="BS46" s="8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8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F46" s="7">
        <v>43888</v>
      </c>
      <c r="CG46">
        <v>58</v>
      </c>
      <c r="CH46">
        <f>(CG46/CG45)-1</f>
        <v>0.017543859649122862</v>
      </c>
    </row>
    <row r="47" spans="1:97" ht="19.5">
      <c r="C47">
        <f>H46*D47</f>
        <v>1128.9999999990926</v>
      </c>
      <c r="D47">
        <f>0.076516435107</f>
        <v>0.076516435107</v>
      </c>
      <c r="E47" t="s">
        <v>15</v>
      </c>
      <c r="F47" s="7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8">
        <f>N47-N46</f>
        <v>45</v>
      </c>
      <c r="P47">
        <f>P46+-5</f>
        <v>27</v>
      </c>
      <c r="Q47" s="3">
        <f>(P47/P46)-1</f>
        <v>-0.15625</v>
      </c>
      <c r="R47">
        <f>R46+9</f>
        <v>44</v>
      </c>
      <c r="S47" s="3">
        <f>(R47/R46)-1</f>
        <v>0.25714285714285712</v>
      </c>
      <c r="U47">
        <f>U46+289</f>
        <v>2859</v>
      </c>
      <c r="V47" s="8">
        <f>U47-U46</f>
        <v>289</v>
      </c>
      <c r="W47">
        <f>W46+18</f>
        <v>420</v>
      </c>
      <c r="X47" s="3">
        <f>(W47/W46)-1</f>
        <v>0.044776119402984982</v>
      </c>
      <c r="Y47">
        <f>Y46+30</f>
        <v>243</v>
      </c>
      <c r="Z47" s="3">
        <f>(Y47/Y46)-1</f>
        <v>0.14084507042253525</v>
      </c>
      <c r="AB47">
        <f>AB46+405</f>
        <v>4163</v>
      </c>
      <c r="AC47" s="8">
        <f>AB47-AB46</f>
        <v>405</v>
      </c>
      <c r="AD47">
        <f>AD46+1</f>
        <v>613</v>
      </c>
      <c r="AE47" s="3">
        <f>(AD47/AD46)-1</f>
        <v>0.0016339869281045694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8">
        <f>AI47-AI46</f>
        <v>336</v>
      </c>
      <c r="AK47">
        <f>AK46+3</f>
        <v>787</v>
      </c>
      <c r="AL47" s="3">
        <f>(AK47/AK46)-1</f>
        <v>0.0038265306122449161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8">
        <f>AP47-AP46</f>
        <v>15</v>
      </c>
      <c r="AR47">
        <f>AR46+-1</f>
        <v>39</v>
      </c>
      <c r="AS47" s="3">
        <f>(AR47/AR46)-1</f>
        <v>-0.025000000000000022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8">
        <f>AW47-AW46</f>
        <v>25</v>
      </c>
      <c r="AY47">
        <f>AY46+0</f>
        <v>11</v>
      </c>
      <c r="AZ47" s="3">
        <f>(AY47/AY46)-1</f>
        <v>0</v>
      </c>
      <c r="BA47">
        <f>BA46+0</f>
        <v>22</v>
      </c>
      <c r="BB47" s="3">
        <f>(BA47/BA46)-1</f>
        <v>0</v>
      </c>
      <c r="BD47">
        <f>BD46+-2</f>
        <v>87</v>
      </c>
      <c r="BE47" s="8">
        <f>BD47-BD46</f>
        <v>-2</v>
      </c>
      <c r="BF47">
        <f>BF46+0</f>
        <v>6</v>
      </c>
      <c r="BG47" s="3">
        <f>(BF47/BF46)-1</f>
        <v>0</v>
      </c>
      <c r="BH47">
        <f>BH46+0</f>
        <v>1</v>
      </c>
      <c r="BI47" s="3">
        <f>(BH47/BH46)-1</f>
        <v>0</v>
      </c>
      <c r="BK47">
        <f>BK46+19</f>
        <v>255</v>
      </c>
      <c r="BL47" s="8">
        <f>BK47-BK46</f>
        <v>19</v>
      </c>
      <c r="BM47">
        <f>BM46+2</f>
        <v>23</v>
      </c>
      <c r="BN47" s="3">
        <f>(BM47/BM46)-1</f>
        <v>0.095238095238095344</v>
      </c>
      <c r="BO47">
        <f>BO46+2</f>
        <v>9</v>
      </c>
      <c r="BP47" s="3">
        <f>(BO47/BO46)-1</f>
        <v>0.28571428571428581</v>
      </c>
      <c r="BR47">
        <f>BR46+-3</f>
        <v>534</v>
      </c>
      <c r="BS47" s="8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8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F47" s="7">
        <v>43889</v>
      </c>
      <c r="CG47">
        <v>60</v>
      </c>
      <c r="CH47">
        <f>(CG47/CG46)-1</f>
        <v>0.034482758620689724</v>
      </c>
    </row>
    <row r="48" spans="1:97" ht="19.5">
      <c r="C48">
        <f>H47*D48</f>
        <v>925.00000005193579</v>
      </c>
      <c r="D48">
        <f>0.05823470159</f>
        <v>0.05823470159</v>
      </c>
      <c r="E48" t="s">
        <v>16</v>
      </c>
      <c r="F48" s="7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8">
        <f>N48-N47</f>
        <v>34</v>
      </c>
      <c r="P48">
        <f>P47+1</f>
        <v>28</v>
      </c>
      <c r="Q48" s="3">
        <f>(P48/P47)-1</f>
        <v>0.037037037037036979</v>
      </c>
      <c r="R48">
        <f>R47+2</f>
        <v>46</v>
      </c>
      <c r="S48" s="3">
        <f>(R48/R47)-1</f>
        <v>0.045454545454545414</v>
      </c>
      <c r="U48">
        <f>U47+156</f>
        <v>3015</v>
      </c>
      <c r="V48" s="8">
        <f>U48-U47</f>
        <v>156</v>
      </c>
      <c r="W48">
        <f>W47+-10</f>
        <v>410</v>
      </c>
      <c r="X48" s="3">
        <f>(W48/W47)-1</f>
        <v>-0.023809523809523836</v>
      </c>
      <c r="Y48">
        <f>Y47+23</f>
        <v>266</v>
      </c>
      <c r="Z48" s="3">
        <f>(Y48/Y47)-1</f>
        <v>0.094650205761316775</v>
      </c>
      <c r="AB48">
        <f>AB47+357</f>
        <v>4520</v>
      </c>
      <c r="AC48" s="8">
        <f>AB48-AB47</f>
        <v>357</v>
      </c>
      <c r="AD48">
        <f>AD47+20</f>
        <v>633</v>
      </c>
      <c r="AE48" s="3">
        <f>(AD48/AD47)-1</f>
        <v>0.032626427406198921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8">
        <f>AI48-AI47</f>
        <v>330</v>
      </c>
      <c r="AK48">
        <f>AK47+10</f>
        <v>797</v>
      </c>
      <c r="AL48" s="3">
        <f>(AK48/AK47)-1</f>
        <v>0.01270648030495547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8">
        <f>AP48-AP47</f>
        <v>28</v>
      </c>
      <c r="AR48">
        <f>AR47+-2</f>
        <v>37</v>
      </c>
      <c r="AS48" s="3">
        <f>(AR48/AR47)-1</f>
        <v>-0.051282051282051322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8">
        <f>AW48-AW47</f>
        <v>17</v>
      </c>
      <c r="AY48">
        <f>AY47+1</f>
        <v>12</v>
      </c>
      <c r="AZ48" s="3">
        <f>(AY48/AY47)-1</f>
        <v>0.090909090909090828</v>
      </c>
      <c r="BA48">
        <f>BA47+2</f>
        <v>24</v>
      </c>
      <c r="BB48" s="3">
        <f>(BA48/BA47)-1</f>
        <v>0.090909090909090828</v>
      </c>
      <c r="BD48">
        <f>BD47+5</f>
        <v>92</v>
      </c>
      <c r="BE48" s="8">
        <f>BD48-BD47</f>
        <v>5</v>
      </c>
      <c r="BF48">
        <f>BF47+1</f>
        <v>7</v>
      </c>
      <c r="BG48" s="3">
        <f>(BF48/BF47)-1</f>
        <v>0.16666666666666674</v>
      </c>
      <c r="BH48">
        <f>BH47+1</f>
        <v>2</v>
      </c>
      <c r="BI48" s="3">
        <f>(BH48/BH47)-1</f>
        <v>1</v>
      </c>
      <c r="BK48">
        <f>BK47+37</f>
        <v>292</v>
      </c>
      <c r="BL48" s="8">
        <f>BK48-BK47</f>
        <v>37</v>
      </c>
      <c r="BM48">
        <f>BM47+-1</f>
        <v>22</v>
      </c>
      <c r="BN48" s="3">
        <f>(BM48/BM47)-1</f>
        <v>-0.043478260869565188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8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8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F48" s="7">
        <v>43890</v>
      </c>
      <c r="CG48">
        <v>68</v>
      </c>
      <c r="CH48">
        <f>(CG48/CG47)-1</f>
        <v>0.1333333333333333</v>
      </c>
    </row>
    <row r="49" spans="1:97" ht="19.5">
      <c r="C49">
        <f>H48*D49</f>
        <v>740.99999999728402</v>
      </c>
      <c r="D49">
        <f>0.044083526682000003</f>
        <v>0.044083526682000003</v>
      </c>
      <c r="E49" t="s">
        <v>17</v>
      </c>
      <c r="F49" s="7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8">
        <f>N49-N48</f>
        <v>24</v>
      </c>
      <c r="P49">
        <f>P48+2</f>
        <v>30</v>
      </c>
      <c r="Q49" s="3">
        <f>(P49/P48)-1</f>
        <v>0.071428571428571397</v>
      </c>
      <c r="R49">
        <f>R48+2</f>
        <v>48</v>
      </c>
      <c r="S49" s="3">
        <f>(R49/R48)-1</f>
        <v>0.043478260869565188</v>
      </c>
      <c r="U49">
        <f>U48+181</f>
        <v>3196</v>
      </c>
      <c r="V49" s="8">
        <f>U49-U48</f>
        <v>181</v>
      </c>
      <c r="W49">
        <f>W48+7</f>
        <v>417</v>
      </c>
      <c r="X49" s="3">
        <f>(W49/W48)-1</f>
        <v>0.017073170731707332</v>
      </c>
      <c r="Y49">
        <f>Y48+23</f>
        <v>289</v>
      </c>
      <c r="Z49" s="3">
        <f>(Y49/Y48)-1</f>
        <v>0.086466165413533913</v>
      </c>
      <c r="AB49">
        <f>AB48+223</f>
        <v>4743</v>
      </c>
      <c r="AC49" s="8">
        <f>AB49-AB48</f>
        <v>223</v>
      </c>
      <c r="AD49">
        <f>AD48+5</f>
        <v>638</v>
      </c>
      <c r="AE49" s="3">
        <f>(AD49/AD48)-1</f>
        <v>0.00789889415481837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8">
        <f>AI49-AI48</f>
        <v>217</v>
      </c>
      <c r="AK49">
        <f>AK48+-21</f>
        <v>776</v>
      </c>
      <c r="AL49" s="3">
        <f>(AK49/AK48)-1</f>
        <v>-0.026348808030112969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8">
        <f>AP49-AP48</f>
        <v>26</v>
      </c>
      <c r="AR49">
        <f>AR48+-1</f>
        <v>36</v>
      </c>
      <c r="AS49" s="3">
        <f>(AR49/AR48)-1</f>
        <v>-0.027027027027026973</v>
      </c>
      <c r="AT49">
        <f>AT48+5</f>
        <v>37</v>
      </c>
      <c r="AU49" s="3">
        <f>(AT49/AT48)-1</f>
        <v>0.15625</v>
      </c>
      <c r="AW49">
        <f>AW48+12</f>
        <v>270</v>
      </c>
      <c r="AX49" s="8">
        <f>AW49-AW48</f>
        <v>12</v>
      </c>
      <c r="AY49">
        <f>AY48+2</f>
        <v>14</v>
      </c>
      <c r="AZ49" s="3">
        <f>(AY49/AY48)-1</f>
        <v>0.16666666666666674</v>
      </c>
      <c r="BA49">
        <f>BA48+0</f>
        <v>24</v>
      </c>
      <c r="BB49" s="3">
        <f>(BA49/BA48)-1</f>
        <v>0</v>
      </c>
      <c r="BD49">
        <f>BD48+5</f>
        <v>97</v>
      </c>
      <c r="BE49" s="8">
        <f>BD49-BD48</f>
        <v>5</v>
      </c>
      <c r="BF49">
        <f>BF48+-3</f>
        <v>4</v>
      </c>
      <c r="BG49" s="3">
        <f>(BF49/BF48)-1</f>
        <v>-0.4285714285714286</v>
      </c>
      <c r="BH49">
        <f>BH48+0</f>
        <v>2</v>
      </c>
      <c r="BI49" s="3">
        <f>(BH49/BH48)-1</f>
        <v>0</v>
      </c>
      <c r="BK49">
        <f>BK48+23</f>
        <v>315</v>
      </c>
      <c r="BL49" s="8">
        <f>BK49-BK48</f>
        <v>23</v>
      </c>
      <c r="BM49">
        <f>BM48+1</f>
        <v>23</v>
      </c>
      <c r="BN49" s="3">
        <f>(BM49/BM48)-1</f>
        <v>0.045454545454545414</v>
      </c>
      <c r="BO49">
        <f>BO48+0</f>
        <v>10</v>
      </c>
      <c r="BP49" s="3">
        <f>(BO49/BO48)-1</f>
        <v>0</v>
      </c>
      <c r="BR49">
        <f>BR48+30</f>
        <v>525</v>
      </c>
      <c r="BS49" s="8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8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F49" s="7">
        <v>43891</v>
      </c>
      <c r="CG49">
        <v>74</v>
      </c>
      <c r="CH49">
        <f>(CG49/CG48)-1</f>
        <v>0.088235294117646967</v>
      </c>
    </row>
    <row r="50" spans="1:97" ht="19.5">
      <c r="C50">
        <f>H49*D50</f>
        <v>412.00000000349445</v>
      </c>
      <c r="D50">
        <f>0.023475783476</f>
        <v>0.023475783476</v>
      </c>
      <c r="E50" t="s">
        <v>11</v>
      </c>
      <c r="F50" s="7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8">
        <f>N50-N49</f>
        <v>7</v>
      </c>
      <c r="P50">
        <f>P49+-3</f>
        <v>27</v>
      </c>
      <c r="Q50" s="3">
        <f>(P50/P49)-1</f>
        <v>-0.099999999999999978</v>
      </c>
      <c r="R50">
        <f>R49+0</f>
        <v>48</v>
      </c>
      <c r="S50" s="3">
        <f>(R50/R49)-1</f>
        <v>0</v>
      </c>
      <c r="U50">
        <f>U49+155</f>
        <v>3351</v>
      </c>
      <c r="V50" s="8">
        <f>U50-U49</f>
        <v>155</v>
      </c>
      <c r="W50">
        <f>W49+3</f>
        <v>420</v>
      </c>
      <c r="X50" s="3">
        <f>(W50/W49)-1</f>
        <v>0.007194244604316502</v>
      </c>
      <c r="Y50">
        <f>Y49+6</f>
        <v>295</v>
      </c>
      <c r="Z50" s="3">
        <f>(Y50/Y49)-1</f>
        <v>0.02076124567474058</v>
      </c>
      <c r="AB50">
        <f>AB49+128</f>
        <v>4871</v>
      </c>
      <c r="AC50" s="8">
        <f>AB50-AB49</f>
        <v>128</v>
      </c>
      <c r="AD50">
        <f>AD49+-5</f>
        <v>633</v>
      </c>
      <c r="AE50" s="3">
        <f>(AD50/AD49)-1</f>
        <v>-0.0078369905956112706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8">
        <f>AI50-AI49</f>
        <v>71</v>
      </c>
      <c r="AK50">
        <f>AK49+-30</f>
        <v>746</v>
      </c>
      <c r="AL50" s="3">
        <f>(AK50/AK49)-1</f>
        <v>-0.038659793814432963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8">
        <f>AP50-AP49</f>
        <v>14</v>
      </c>
      <c r="AR50">
        <f>AR49+-3</f>
        <v>33</v>
      </c>
      <c r="AS50" s="3">
        <f>(AR50/AR49)-1</f>
        <v>-0.08333333333333337</v>
      </c>
      <c r="AT50">
        <f>AT49+3</f>
        <v>40</v>
      </c>
      <c r="AU50" s="3">
        <f>(AT50/AT49)-1</f>
        <v>0.081081081081081141</v>
      </c>
      <c r="AW50">
        <f>AW49+6</f>
        <v>276</v>
      </c>
      <c r="AX50" s="8">
        <f>AW50-AW49</f>
        <v>6</v>
      </c>
      <c r="AY50">
        <f>AY49+-2</f>
        <v>12</v>
      </c>
      <c r="AZ50" s="3">
        <f>(AY50/AY49)-1</f>
        <v>-0.1428571428571429</v>
      </c>
      <c r="BA50">
        <f>BA49+0</f>
        <v>24</v>
      </c>
      <c r="BB50" s="3">
        <f>(BA50/BA49)-1</f>
        <v>0</v>
      </c>
      <c r="BD50">
        <f>BD49+3</f>
        <v>100</v>
      </c>
      <c r="BE50" s="8">
        <f>BD50-BD49</f>
        <v>3</v>
      </c>
      <c r="BF50">
        <f>BF49+0</f>
        <v>4</v>
      </c>
      <c r="BG50" s="3">
        <f>(BF50/BF49)-1</f>
        <v>0</v>
      </c>
      <c r="BH50">
        <f>BH49+0</f>
        <v>2</v>
      </c>
      <c r="BI50" s="3">
        <f>(BH50/BH49)-1</f>
        <v>0</v>
      </c>
      <c r="BK50">
        <f>BK49+24</f>
        <v>339</v>
      </c>
      <c r="BL50" s="8">
        <f>BK50-BK49</f>
        <v>24</v>
      </c>
      <c r="BM50">
        <f>BM49+3</f>
        <v>26</v>
      </c>
      <c r="BN50" s="3">
        <f>(BM50/BM49)-1</f>
        <v>0.13043478260869557</v>
      </c>
      <c r="BO50">
        <f>BO49+0</f>
        <v>10</v>
      </c>
      <c r="BP50" s="3">
        <f>(BO50/BO49)-1</f>
        <v>0</v>
      </c>
      <c r="BR50">
        <f>BR49+4</f>
        <v>529</v>
      </c>
      <c r="BS50" s="8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8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F50" s="7">
        <v>43892</v>
      </c>
      <c r="CG50">
        <v>98</v>
      </c>
      <c r="CH50">
        <f>(CG50/CG49)-1</f>
        <v>0.32432432432432434</v>
      </c>
    </row>
    <row r="51" spans="1:97" ht="19.5">
      <c r="C51">
        <f>H50*D51</f>
        <v>1852.9999999926918</v>
      </c>
      <c r="D51">
        <f>0.10316223137699999</f>
        <v>0.10316223137699999</v>
      </c>
      <c r="E51" t="s">
        <v>12</v>
      </c>
      <c r="F51" s="7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8">
        <f>N51-N50</f>
        <v>39</v>
      </c>
      <c r="P51">
        <f>P50+-4</f>
        <v>23</v>
      </c>
      <c r="Q51" s="3">
        <f>(P51/P50)-1</f>
        <v>-0.14814814814814814</v>
      </c>
      <c r="R51">
        <f>R50+10</f>
        <v>58</v>
      </c>
      <c r="S51" s="3">
        <f>(R51/R50)-1</f>
        <v>0.20833333333333326</v>
      </c>
      <c r="U51">
        <f>U50+472</f>
        <v>3823</v>
      </c>
      <c r="V51" s="8">
        <f>U51-U50</f>
        <v>472</v>
      </c>
      <c r="W51">
        <f>W50+35</f>
        <v>455</v>
      </c>
      <c r="X51" s="3">
        <f>(W51/W50)-1</f>
        <v>0.083333333333333259</v>
      </c>
      <c r="Y51">
        <f>Y50+74</f>
        <v>369</v>
      </c>
      <c r="Z51" s="3">
        <f>(Y51/Y50)-1</f>
        <v>0.25084745762711869</v>
      </c>
      <c r="AB51">
        <f>AB50+401</f>
        <v>5272</v>
      </c>
      <c r="AC51" s="8">
        <f>AB51-AB50</f>
        <v>401</v>
      </c>
      <c r="AD51">
        <f>AD50+-7</f>
        <v>626</v>
      </c>
      <c r="AE51" s="3">
        <f>(AD51/AD50)-1</f>
        <v>-0.011058451816745696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8">
        <f>AI51-AI50</f>
        <v>886</v>
      </c>
      <c r="AK51">
        <f>AK50+-13</f>
        <v>733</v>
      </c>
      <c r="AL51" s="3">
        <f>(AK51/AK50)-1</f>
        <v>-0.017426273458445052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8">
        <f>AP51-AP50</f>
        <v>22</v>
      </c>
      <c r="AR51">
        <f>AR50+3</f>
        <v>36</v>
      </c>
      <c r="AS51" s="3">
        <f>(AR51/AR50)-1</f>
        <v>0.090909090909090828</v>
      </c>
      <c r="AT51">
        <f>AT50+5</f>
        <v>45</v>
      </c>
      <c r="AU51" s="3">
        <f>(AT51/AT50)-1</f>
        <v>0.125</v>
      </c>
      <c r="AW51">
        <f>AW50+23</f>
        <v>299</v>
      </c>
      <c r="AX51" s="8">
        <f>AW51-AW50</f>
        <v>23</v>
      </c>
      <c r="AY51">
        <f>AY50+1</f>
        <v>13</v>
      </c>
      <c r="AZ51" s="3">
        <f>(AY51/AY50)-1</f>
        <v>0.083333333333333259</v>
      </c>
      <c r="BA51">
        <f>BA50+3</f>
        <v>27</v>
      </c>
      <c r="BB51" s="3">
        <f>(BA51/BA50)-1</f>
        <v>0.125</v>
      </c>
      <c r="BD51">
        <f>BD50+8</f>
        <v>108</v>
      </c>
      <c r="BE51" s="8">
        <f>BD51-BD50</f>
        <v>8</v>
      </c>
      <c r="BF51">
        <f>BF50+0</f>
        <v>4</v>
      </c>
      <c r="BG51" s="3">
        <f>(BF51/BF50)-1</f>
        <v>0</v>
      </c>
      <c r="BH51">
        <f>BH50+0</f>
        <v>2</v>
      </c>
      <c r="BI51" s="3">
        <f>(BH51/BH50)-1</f>
        <v>0</v>
      </c>
      <c r="BK51">
        <f>BK50+17</f>
        <v>356</v>
      </c>
      <c r="BL51" s="8">
        <f>BK51-BK50</f>
        <v>17</v>
      </c>
      <c r="BM51">
        <f>BM50+3</f>
        <v>29</v>
      </c>
      <c r="BN51" s="3">
        <f>(BM51/BM50)-1</f>
        <v>0.11538461538461542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8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8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F51" s="7">
        <v>43893</v>
      </c>
      <c r="CG51">
        <v>118</v>
      </c>
      <c r="CH51">
        <f>(CG51/CG50)-1</f>
        <v>0.20408163265306123</v>
      </c>
    </row>
    <row r="52" spans="1:97" ht="19.5">
      <c r="C52">
        <f>H51*D52</f>
        <v>544.9999999999161</v>
      </c>
      <c r="D52">
        <f>0.027504415846599999</f>
        <v>0.027504415846599999</v>
      </c>
      <c r="E52" t="s">
        <v>13</v>
      </c>
      <c r="F52" s="7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8">
        <f>N52-N51</f>
        <v>4</v>
      </c>
      <c r="P52">
        <f>P51+0</f>
        <v>23</v>
      </c>
      <c r="Q52" s="8">
        <f>P52-P51</f>
        <v>0</v>
      </c>
      <c r="R52">
        <f>R51+1</f>
        <v>59</v>
      </c>
      <c r="S52" s="8">
        <f>R52-R51</f>
        <v>1</v>
      </c>
      <c r="U52">
        <f>U51+128</f>
        <v>3951</v>
      </c>
      <c r="V52" s="8">
        <f>U52-U51</f>
        <v>128</v>
      </c>
      <c r="W52">
        <f>W51+18</f>
        <v>473</v>
      </c>
      <c r="X52" s="8">
        <f>W52-W51</f>
        <v>18</v>
      </c>
      <c r="Y52">
        <f>Y51+33</f>
        <v>402</v>
      </c>
      <c r="Z52" s="8">
        <f>Y52-Y51</f>
        <v>33</v>
      </c>
      <c r="AB52">
        <f>AB51+221</f>
        <v>5493</v>
      </c>
      <c r="AC52" s="8">
        <f>AB52-AB51</f>
        <v>221</v>
      </c>
      <c r="AD52">
        <f>AD51+-1</f>
        <v>625</v>
      </c>
      <c r="AE52" s="8">
        <f>AD52-AD51</f>
        <v>-1</v>
      </c>
      <c r="AF52">
        <f>AF51+21</f>
        <v>322</v>
      </c>
      <c r="AG52" s="8">
        <f>AF52-AF51</f>
        <v>21</v>
      </c>
      <c r="AI52">
        <f>AI51+152</f>
        <v>8472</v>
      </c>
      <c r="AJ52" s="8">
        <f>AI52-AI51</f>
        <v>152</v>
      </c>
      <c r="AK52">
        <f>AK51+2</f>
        <v>735</v>
      </c>
      <c r="AL52" s="8">
        <f>AK52-AK51</f>
        <v>2</v>
      </c>
      <c r="AM52">
        <f>AM51+32</f>
        <v>544</v>
      </c>
      <c r="AN52" s="8">
        <f>AM52-AM51</f>
        <v>32</v>
      </c>
      <c r="AP52">
        <f>AP51+28</f>
        <v>512</v>
      </c>
      <c r="AQ52" s="8">
        <f>AP52-AP51</f>
        <v>28</v>
      </c>
      <c r="AR52">
        <f>AR51+4</f>
        <v>40</v>
      </c>
      <c r="AS52" s="8">
        <f>AR52-AR51</f>
        <v>4</v>
      </c>
      <c r="AT52">
        <f>AT51+2</f>
        <v>47</v>
      </c>
      <c r="AU52" s="8">
        <f>AT52-AT51</f>
        <v>2</v>
      </c>
      <c r="AW52">
        <f>AW51+6</f>
        <v>305</v>
      </c>
      <c r="AX52" s="8">
        <f>AW52-AW51</f>
        <v>6</v>
      </c>
      <c r="AY52">
        <f>AY51+0</f>
        <v>13</v>
      </c>
      <c r="AZ52" s="8">
        <f>AY52-AY51</f>
        <v>0</v>
      </c>
      <c r="BA52">
        <f>BA51+3</f>
        <v>30</v>
      </c>
      <c r="BB52" s="8">
        <f>BA52-BA51</f>
        <v>3</v>
      </c>
      <c r="BD52">
        <f>BD51+4</f>
        <v>112</v>
      </c>
      <c r="BE52" s="8">
        <f>BD52-BD51</f>
        <v>4</v>
      </c>
      <c r="BF52">
        <f>BF51+1</f>
        <v>5</v>
      </c>
      <c r="BG52" s="8">
        <f>BF52-BF51</f>
        <v>1</v>
      </c>
      <c r="BH52">
        <f>BH51+0</f>
        <v>2</v>
      </c>
      <c r="BI52" s="8">
        <f>BH52-BH51</f>
        <v>0</v>
      </c>
      <c r="BK52">
        <f>BK51+13</f>
        <v>369</v>
      </c>
      <c r="BL52" s="8">
        <f>BK52-BK51</f>
        <v>13</v>
      </c>
      <c r="BM52">
        <f>BM51+6</f>
        <v>35</v>
      </c>
      <c r="BN52" s="8">
        <f>BM52-BM51</f>
        <v>6</v>
      </c>
      <c r="BO52">
        <f>BO51+0</f>
        <v>13</v>
      </c>
      <c r="BP52" s="8">
        <f>BO52-BO51</f>
        <v>0</v>
      </c>
      <c r="BR52">
        <f>BR51+-11</f>
        <v>503</v>
      </c>
      <c r="BS52" s="8">
        <f>BR52-BR51</f>
        <v>-11</v>
      </c>
      <c r="BU52" s="8"/>
      <c r="BV52">
        <f>BV51+0</f>
        <v>4</v>
      </c>
      <c r="BW52" s="8">
        <f>BV52-BV51</f>
        <v>0</v>
      </c>
      <c r="BY52">
        <f>N52+U52+AB52+AI52+AP52+AW52+BD52+BK52+BR52</f>
        <v>20360</v>
      </c>
      <c r="BZ52" s="8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F52" s="7">
        <v>43894</v>
      </c>
      <c r="CG52">
        <v>149</v>
      </c>
      <c r="CH52">
        <f>(CG52/CG51)-1</f>
        <v>0.26271186440677963</v>
      </c>
    </row>
    <row r="53" spans="1:97" ht="19.5">
      <c r="C53">
        <f>H52*D53</f>
        <v>2109.000000006648</v>
      </c>
      <c r="D53">
        <f>0.10358546169000001</f>
        <v>0.10358546169000001</v>
      </c>
      <c r="E53" t="s">
        <v>14</v>
      </c>
      <c r="F53" s="7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8">
        <f>N53-N52</f>
        <v>79</v>
      </c>
      <c r="P53">
        <f>P52+-3</f>
        <v>20</v>
      </c>
      <c r="Q53" s="8">
        <f>P53-P52</f>
        <v>-3</v>
      </c>
      <c r="R53">
        <f>R52+4</f>
        <v>63</v>
      </c>
      <c r="S53" s="8">
        <f>R53-R52</f>
        <v>4</v>
      </c>
      <c r="U53">
        <f>U52+177</f>
        <v>4128</v>
      </c>
      <c r="V53" s="8">
        <f>U53-U52</f>
        <v>177</v>
      </c>
      <c r="W53">
        <f>W52+22</f>
        <v>495</v>
      </c>
      <c r="X53" s="8">
        <f>W53-W52</f>
        <v>22</v>
      </c>
      <c r="Y53">
        <f>Y52+40</f>
        <v>442</v>
      </c>
      <c r="Z53" s="8">
        <f>Y53-Y52</f>
        <v>40</v>
      </c>
      <c r="AB53">
        <f>AB52+318</f>
        <v>5811</v>
      </c>
      <c r="AC53" s="8">
        <f>AB53-AB52</f>
        <v>318</v>
      </c>
      <c r="AD53">
        <f>AD52+-5</f>
        <v>620</v>
      </c>
      <c r="AE53" s="8">
        <f>AD53-AD52</f>
        <v>-5</v>
      </c>
      <c r="AF53">
        <f>AF52+23</f>
        <v>345</v>
      </c>
      <c r="AG53" s="8">
        <f>AF53-AF52</f>
        <v>23</v>
      </c>
      <c r="AI53">
        <f>AI52+1411</f>
        <v>9883</v>
      </c>
      <c r="AJ53" s="8">
        <f>AI53-AI52</f>
        <v>1411</v>
      </c>
      <c r="AK53">
        <f>AK52+14</f>
        <v>749</v>
      </c>
      <c r="AL53" s="8">
        <f>AK53-AK52</f>
        <v>14</v>
      </c>
      <c r="AM53">
        <f>AM52+40</f>
        <v>584</v>
      </c>
      <c r="AN53" s="8">
        <f>AM53-AM52</f>
        <v>40</v>
      </c>
      <c r="AP53">
        <f>AP52+13</f>
        <v>525</v>
      </c>
      <c r="AQ53" s="8">
        <f>AP53-AP52</f>
        <v>13</v>
      </c>
      <c r="AR53">
        <f>AR52+2</f>
        <v>42</v>
      </c>
      <c r="AS53" s="8">
        <f>AR53-AR52</f>
        <v>2</v>
      </c>
      <c r="AT53">
        <f>AT52+6</f>
        <v>53</v>
      </c>
      <c r="AU53" s="8">
        <f>AT53-AT52</f>
        <v>6</v>
      </c>
      <c r="AW53">
        <f>AW52+26</f>
        <v>331</v>
      </c>
      <c r="AX53" s="8">
        <f>AW53-AW52</f>
        <v>26</v>
      </c>
      <c r="AY53">
        <f>AY52+-2</f>
        <v>11</v>
      </c>
      <c r="AZ53" s="8">
        <f>AY53-AY52</f>
        <v>-2</v>
      </c>
      <c r="BA53">
        <f>BA52+2</f>
        <v>32</v>
      </c>
      <c r="BB53" s="8">
        <f>BA53-BA52</f>
        <v>2</v>
      </c>
      <c r="BD53">
        <f>BD52+10</f>
        <v>122</v>
      </c>
      <c r="BE53" s="8">
        <f>BD53-BD52</f>
        <v>10</v>
      </c>
      <c r="BF53">
        <f>BF52+-2</f>
        <v>3</v>
      </c>
      <c r="BG53" s="8">
        <f>BF53-BF52</f>
        <v>-2</v>
      </c>
      <c r="BH53">
        <f>BH52+2</f>
        <v>4</v>
      </c>
      <c r="BI53" s="8">
        <f>BH53-BH52</f>
        <v>2</v>
      </c>
      <c r="BK53">
        <f>BK52+28</f>
        <v>397</v>
      </c>
      <c r="BL53" s="8">
        <f>BK53-BK52</f>
        <v>28</v>
      </c>
      <c r="BM53">
        <f>BM52+-3</f>
        <v>32</v>
      </c>
      <c r="BN53" s="8">
        <f>BM53-BM52</f>
        <v>-3</v>
      </c>
      <c r="BO53">
        <f>BO52+1</f>
        <v>14</v>
      </c>
      <c r="BP53" s="8">
        <f>BO53-BO52</f>
        <v>1</v>
      </c>
      <c r="BR53">
        <f>BR52+47</f>
        <v>550</v>
      </c>
      <c r="BS53" s="8">
        <f>BR53-BR52</f>
        <v>47</v>
      </c>
      <c r="BU53" s="8"/>
      <c r="BV53">
        <f>BV52+3</f>
        <v>7</v>
      </c>
      <c r="BW53" s="8">
        <f>BV53-BV52</f>
        <v>3</v>
      </c>
      <c r="BY53">
        <f>N53+U53+AB53+AI53+AP53+AW53+BD53+BK53+BR53</f>
        <v>22469</v>
      </c>
      <c r="BZ53" s="8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F53" s="7">
        <v>43895</v>
      </c>
      <c r="CG53">
        <v>217</v>
      </c>
      <c r="CH53">
        <f>(CG53/CG52)-1</f>
        <v>0.4563758389261745</v>
      </c>
    </row>
    <row r="54" spans="1:97" ht="19.5">
      <c r="C54">
        <f>H53*D54</f>
        <v>630.99999999945953</v>
      </c>
      <c r="D54">
        <v>0.028083136766200001</v>
      </c>
      <c r="E54" t="s">
        <v>15</v>
      </c>
      <c r="F54" s="7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8">
        <f>N54-N53</f>
        <v>29</v>
      </c>
      <c r="P54">
        <f>P53+2</f>
        <v>22</v>
      </c>
      <c r="Q54" s="8">
        <f>P54-P53</f>
        <v>2</v>
      </c>
      <c r="R54">
        <f>R53+3</f>
        <v>66</v>
      </c>
      <c r="S54" s="8">
        <f>R54-R53</f>
        <v>3</v>
      </c>
      <c r="U54">
        <f>U53+175</f>
        <v>4303</v>
      </c>
      <c r="V54" s="8">
        <f>U54-U53</f>
        <v>175</v>
      </c>
      <c r="W54">
        <f>W53+-5</f>
        <v>490</v>
      </c>
      <c r="X54" s="8">
        <f>W54-W53</f>
        <v>-5</v>
      </c>
      <c r="Y54">
        <f>Y53+27</f>
        <v>469</v>
      </c>
      <c r="Z54" s="8">
        <f>Y54-Y53</f>
        <v>27</v>
      </c>
      <c r="AB54">
        <f>AB53+253</f>
        <v>6064</v>
      </c>
      <c r="AC54" s="8">
        <f>AB54-AB53</f>
        <v>253</v>
      </c>
      <c r="AD54">
        <f>AD53+6</f>
        <v>626</v>
      </c>
      <c r="AE54" s="8">
        <f>AD54-AD53</f>
        <v>6</v>
      </c>
      <c r="AF54">
        <f>AF53+27</f>
        <v>372</v>
      </c>
      <c r="AG54" s="8">
        <f>AF54-AF53</f>
        <v>27</v>
      </c>
      <c r="AI54">
        <f>AI53+125</f>
        <v>10008</v>
      </c>
      <c r="AJ54" s="8">
        <f>AI54-AI53</f>
        <v>125</v>
      </c>
      <c r="AK54">
        <f>AK53+-19</f>
        <v>730</v>
      </c>
      <c r="AL54" s="8">
        <f>AK54-AK53</f>
        <v>-19</v>
      </c>
      <c r="AM54">
        <f>AM53+31</f>
        <v>615</v>
      </c>
      <c r="AN54" s="8">
        <f>AM54-AM53</f>
        <v>31</v>
      </c>
      <c r="AP54">
        <f>AP53+20</f>
        <v>545</v>
      </c>
      <c r="AQ54" s="8">
        <f>AP54-AP53</f>
        <v>20</v>
      </c>
      <c r="AR54">
        <f>AR53+-4</f>
        <v>38</v>
      </c>
      <c r="AS54" s="8">
        <f>AR54-AR53</f>
        <v>-4</v>
      </c>
      <c r="AT54">
        <f>AT53+4</f>
        <v>57</v>
      </c>
      <c r="AU54" s="8">
        <f>AT54-AT53</f>
        <v>4</v>
      </c>
      <c r="AW54">
        <f>AW53+28</f>
        <v>359</v>
      </c>
      <c r="AX54" s="8">
        <f>AW54-AW53</f>
        <v>28</v>
      </c>
      <c r="AY54">
        <f>AY53+-5</f>
        <v>6</v>
      </c>
      <c r="AZ54" s="8">
        <f>AY54-AY53</f>
        <v>-5</v>
      </c>
      <c r="BA54">
        <f>BA53+1</f>
        <v>33</v>
      </c>
      <c r="BB54" s="8">
        <f>BA54-BA53</f>
        <v>1</v>
      </c>
      <c r="BD54">
        <f>BD53+7</f>
        <v>129</v>
      </c>
      <c r="BE54" s="8">
        <f>BD54-BD53</f>
        <v>7</v>
      </c>
      <c r="BF54">
        <f>BF53+1</f>
        <v>4</v>
      </c>
      <c r="BG54" s="8">
        <f>BF54-BF53</f>
        <v>1</v>
      </c>
      <c r="BH54">
        <f>BH53+0</f>
        <v>4</v>
      </c>
      <c r="BI54" s="8">
        <f>BH54-BH53</f>
        <v>0</v>
      </c>
      <c r="BK54">
        <f>BK53+22</f>
        <v>419</v>
      </c>
      <c r="BL54" s="8">
        <f>BK54-BK53</f>
        <v>22</v>
      </c>
      <c r="BM54">
        <f>BM53+-1</f>
        <v>31</v>
      </c>
      <c r="BN54" s="8">
        <f>BM54-BM53</f>
        <v>-1</v>
      </c>
      <c r="BO54">
        <f>BO53+3</f>
        <v>17</v>
      </c>
      <c r="BP54" s="8">
        <f>BO54-BO53</f>
        <v>3</v>
      </c>
      <c r="BR54">
        <f>BR53+-28</f>
        <v>522</v>
      </c>
      <c r="BS54" s="8">
        <f>BR54-BR53</f>
        <v>-28</v>
      </c>
      <c r="BU54" s="8"/>
      <c r="BV54">
        <f>BV53+-1</f>
        <v>6</v>
      </c>
      <c r="BW54" s="8">
        <f>BV54-BV53</f>
        <v>-1</v>
      </c>
      <c r="BY54">
        <f>N54+U54+AB54+AI54+AP54+AW54+BD54+BK54+BR54</f>
        <v>23100</v>
      </c>
      <c r="BZ54" s="8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F54" s="7">
        <v>43896</v>
      </c>
      <c r="CG54">
        <v>262</v>
      </c>
      <c r="CH54">
        <f>(CG54/CG53)-1</f>
        <v>0.20737327188940102</v>
      </c>
    </row>
    <row r="55" spans="1:97" ht="19.5">
      <c r="C55">
        <f>H54*D55</f>
        <v>820.99999999671593</v>
      </c>
      <c r="D55">
        <f>0.035541125541000002</f>
        <v>0.035541125541000002</v>
      </c>
      <c r="E55" t="s">
        <v>16</v>
      </c>
      <c r="F55" s="7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8">
        <f>N55-N54</f>
        <v>57</v>
      </c>
      <c r="P55">
        <f>P54+0</f>
        <v>22</v>
      </c>
      <c r="Q55" s="8">
        <f>P55-P54</f>
        <v>0</v>
      </c>
      <c r="R55">
        <f>R54+3</f>
        <v>69</v>
      </c>
      <c r="S55" s="8">
        <f>R55-R54</f>
        <v>3</v>
      </c>
      <c r="U55">
        <f>U54+267</f>
        <v>4570</v>
      </c>
      <c r="V55" s="8">
        <f>U55-U54</f>
        <v>267</v>
      </c>
      <c r="W55">
        <f>W54+-28</f>
        <v>462</v>
      </c>
      <c r="X55" s="8">
        <f>W55-W54</f>
        <v>-28</v>
      </c>
      <c r="Y55">
        <f>Y54+42</f>
        <v>511</v>
      </c>
      <c r="Z55" s="8">
        <f>Y55-Y54</f>
        <v>42</v>
      </c>
      <c r="AB55">
        <f>AB54+222</f>
        <v>6286</v>
      </c>
      <c r="AC55" s="8">
        <f>AB55-AB54</f>
        <v>222</v>
      </c>
      <c r="AD55">
        <f>AD54+-9</f>
        <v>617</v>
      </c>
      <c r="AE55" s="8">
        <f>AD55-AD54</f>
        <v>-9</v>
      </c>
      <c r="AF55">
        <f>AF54+24</f>
        <v>396</v>
      </c>
      <c r="AG55" s="8">
        <f>AF55-AF54</f>
        <v>24</v>
      </c>
      <c r="AI55">
        <f>AI54+219</f>
        <v>10227</v>
      </c>
      <c r="AJ55" s="8">
        <f>AI55-AI54</f>
        <v>219</v>
      </c>
      <c r="AK55">
        <f>AK54+-36</f>
        <v>694</v>
      </c>
      <c r="AL55" s="8">
        <f>AK55-AK54</f>
        <v>-36</v>
      </c>
      <c r="AM55">
        <f>AM54+47</f>
        <v>662</v>
      </c>
      <c r="AN55" s="8">
        <f>AM55-AM54</f>
        <v>47</v>
      </c>
      <c r="AP55">
        <f>AP54+16</f>
        <v>561</v>
      </c>
      <c r="AQ55" s="8">
        <f>AP55-AP54</f>
        <v>16</v>
      </c>
      <c r="AR55">
        <f>AR54+1</f>
        <v>39</v>
      </c>
      <c r="AS55" s="8">
        <f>AR55-AR54</f>
        <v>1</v>
      </c>
      <c r="AT55">
        <f>AT54+6</f>
        <v>63</v>
      </c>
      <c r="AU55" s="8">
        <f>AT55-AT54</f>
        <v>6</v>
      </c>
      <c r="AW55">
        <f>AW54+16</f>
        <v>375</v>
      </c>
      <c r="AX55" s="8">
        <f>AW55-AW54</f>
        <v>16</v>
      </c>
      <c r="AY55">
        <f>AY54+-2</f>
        <v>4</v>
      </c>
      <c r="AZ55" s="8">
        <f>AY55-AY54</f>
        <v>-2</v>
      </c>
      <c r="BA55">
        <f>BA54+1</f>
        <v>34</v>
      </c>
      <c r="BB55" s="8">
        <f>BA55-BA54</f>
        <v>1</v>
      </c>
      <c r="BD55">
        <f>BD54+10</f>
        <v>139</v>
      </c>
      <c r="BE55" s="8">
        <f>BD55-BD54</f>
        <v>10</v>
      </c>
      <c r="BF55">
        <f>BF54+2</f>
        <v>6</v>
      </c>
      <c r="BG55" s="8">
        <f>BF55-BF54</f>
        <v>2</v>
      </c>
      <c r="BH55">
        <f>BH54+-1</f>
        <v>3</v>
      </c>
      <c r="BI55" s="8">
        <f>BH55-BH54</f>
        <v>-1</v>
      </c>
      <c r="BK55">
        <f>BK54+29</f>
        <v>448</v>
      </c>
      <c r="BL55" s="8">
        <f>BK55-BK54</f>
        <v>29</v>
      </c>
      <c r="BM55">
        <f>BM54+2</f>
        <v>33</v>
      </c>
      <c r="BN55" s="8">
        <f>BM55-BM54</f>
        <v>2</v>
      </c>
      <c r="BO55">
        <f>BO54+6</f>
        <v>23</v>
      </c>
      <c r="BP55" s="8">
        <f>BO55-BO54</f>
        <v>6</v>
      </c>
      <c r="BR55">
        <f>BR54+-15</f>
        <v>507</v>
      </c>
      <c r="BS55" s="8">
        <f>BR55-BR54</f>
        <v>-15</v>
      </c>
      <c r="BU55" s="8"/>
      <c r="BV55">
        <f>BV54+-3</f>
        <v>3</v>
      </c>
      <c r="BW55" s="8">
        <f>BV55-BV54</f>
        <v>-3</v>
      </c>
      <c r="BY55">
        <f>N55+U55+AB55+AI55+AP55+AW55+BD55+BK55+BR55</f>
        <v>23921</v>
      </c>
      <c r="BZ55" s="8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F55" s="7">
        <v>43897</v>
      </c>
      <c r="CG55">
        <v>402</v>
      </c>
      <c r="CH55">
        <f>(CG55/CG54)-1</f>
        <v>0.53435114503816794</v>
      </c>
    </row>
    <row r="56" spans="1:97" ht="19.5">
      <c r="C56">
        <f>H55*D56</f>
        <v>660.99999999534452</v>
      </c>
      <c r="D56">
        <f>0.027632624054</f>
        <v>0.027632624054</v>
      </c>
      <c r="E56" t="s">
        <v>17</v>
      </c>
      <c r="F56" s="7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8">
        <f>N56-N55</f>
        <v>26</v>
      </c>
      <c r="P56">
        <f>P55+0</f>
        <v>22</v>
      </c>
      <c r="Q56" s="8">
        <f>P56-P55</f>
        <v>0</v>
      </c>
      <c r="R56">
        <f>R55+4</f>
        <v>73</v>
      </c>
      <c r="S56" s="8">
        <f>R56-R55</f>
        <v>4</v>
      </c>
      <c r="U56">
        <f>U55+191</f>
        <v>4761</v>
      </c>
      <c r="V56" s="8">
        <f>U56-U55</f>
        <v>191</v>
      </c>
      <c r="W56">
        <f>W55+-19</f>
        <v>443</v>
      </c>
      <c r="X56" s="8">
        <f>W56-W55</f>
        <v>-19</v>
      </c>
      <c r="Y56">
        <f>Y55+42</f>
        <v>553</v>
      </c>
      <c r="Z56" s="8">
        <f>Y56-Y55</f>
        <v>42</v>
      </c>
      <c r="AA56" t="inlineStr">
        <is>
          <t>UPDATED - finished this line's entry and won't require further update.</t>
        </is>
      </c>
      <c r="AB56">
        <f>AB55+223</f>
        <v>6509</v>
      </c>
      <c r="AC56" s="8">
        <f>AB56-AB55</f>
        <v>223</v>
      </c>
      <c r="AD56">
        <f>AD55+-7</f>
        <v>610</v>
      </c>
      <c r="AE56" s="8">
        <f>AD56-AD55</f>
        <v>-7</v>
      </c>
      <c r="AF56">
        <f>AF55+20</f>
        <v>416</v>
      </c>
      <c r="AG56" s="8">
        <f>AF56-AF55</f>
        <v>20</v>
      </c>
      <c r="AI56">
        <f>AI55+146</f>
        <v>10373</v>
      </c>
      <c r="AJ56" s="8">
        <f>AI56-AI55</f>
        <v>146</v>
      </c>
      <c r="AK56">
        <f>AK55+-45</f>
        <v>649</v>
      </c>
      <c r="AL56" s="8">
        <f>AK56-AK55</f>
        <v>-45</v>
      </c>
      <c r="AM56">
        <f>AM55+27</f>
        <v>689</v>
      </c>
      <c r="AN56" s="8">
        <f>AM56-AM55</f>
        <v>27</v>
      </c>
      <c r="AP56">
        <f>AP55+15</f>
        <v>576</v>
      </c>
      <c r="AQ56" s="8">
        <f>AP56-AP55</f>
        <v>15</v>
      </c>
      <c r="AR56">
        <f>AR55+2</f>
        <v>41</v>
      </c>
      <c r="AS56" s="8">
        <f>AR56-AR55</f>
        <v>2</v>
      </c>
      <c r="AT56">
        <f>AT55+-1</f>
        <v>62</v>
      </c>
      <c r="AU56" s="8">
        <f>AT56-AT55</f>
        <v>-1</v>
      </c>
      <c r="AW56">
        <f>AW55+9</f>
        <v>384</v>
      </c>
      <c r="AX56" s="8">
        <f>AW56-AW55</f>
        <v>9</v>
      </c>
      <c r="AY56">
        <f>AY55+2</f>
        <v>6</v>
      </c>
      <c r="AZ56" s="8">
        <f>AY56-AY55</f>
        <v>2</v>
      </c>
      <c r="BA56">
        <f>BA55+1</f>
        <v>35</v>
      </c>
      <c r="BB56" s="8">
        <f>BA56-BA55</f>
        <v>1</v>
      </c>
      <c r="BD56">
        <f>BD55+12</f>
        <v>151</v>
      </c>
      <c r="BE56" s="8">
        <f>BD56-BD55</f>
        <v>12</v>
      </c>
      <c r="BF56">
        <f>BF55+0</f>
        <v>6</v>
      </c>
      <c r="BG56" s="8">
        <f>BF56-BF55</f>
        <v>0</v>
      </c>
      <c r="BH56">
        <f>BH55+0</f>
        <v>3</v>
      </c>
      <c r="BI56" s="8">
        <f>BH56-BH55</f>
        <v>0</v>
      </c>
      <c r="BK56">
        <f>BK55+25</f>
        <v>473</v>
      </c>
      <c r="BL56" s="8">
        <f>BK56-BK55</f>
        <v>25</v>
      </c>
      <c r="BM56">
        <f>BM55+0</f>
        <v>33</v>
      </c>
      <c r="BN56" s="8">
        <f>BM56-BM55</f>
        <v>0</v>
      </c>
      <c r="BO56">
        <f>BO55+5</f>
        <v>28</v>
      </c>
      <c r="BP56" s="8">
        <f>BO56-BO55</f>
        <v>5</v>
      </c>
      <c r="BR56">
        <f>BR55+14</f>
        <v>521</v>
      </c>
      <c r="BS56" s="8">
        <f>BR56-BR55</f>
        <v>14</v>
      </c>
      <c r="BU56" s="8"/>
      <c r="BV56">
        <f>BV55+0</f>
        <v>3</v>
      </c>
      <c r="BW56" s="8">
        <f>BV56-BV55</f>
        <v>0</v>
      </c>
      <c r="BY56">
        <f>N56+U56+AB56+AI56+AP56+AW56+BD56+BK56+BR56</f>
        <v>24582</v>
      </c>
      <c r="BZ56" s="8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t="inlineStr">
        <is>
          <t>CORRECT - no errors seen.  Ready for permanent record.</t>
        </is>
      </c>
      <c r="CF56" s="7">
        <v>43898</v>
      </c>
      <c r="CG56">
        <v>518</v>
      </c>
      <c r="CH56">
        <f>(CG56/CG55)-1</f>
        <v>0.28855721393034828</v>
      </c>
    </row>
    <row r="57" spans="1:97" ht="19.5">
      <c r="C57">
        <f>H56*D57</f>
        <v>687.00000000043894</v>
      </c>
      <c r="D57">
        <f>0.0279472784965</f>
        <v>0.0279472784965</v>
      </c>
      <c r="E57" t="s">
        <v>11</v>
      </c>
      <c r="F57" s="7">
        <v>43947</v>
      </c>
      <c r="G57" s="2">
        <f>H57*15</f>
        <v>379034.99999972538</v>
      </c>
      <c r="H57">
        <f>H56+C57</f>
        <v>25268.99999998169</v>
      </c>
      <c r="I57">
        <v>25269</v>
      </c>
      <c r="J57" s="1"/>
      <c r="K57">
        <f>N57+U57+AB57+AI57+AP57+AW57+BD57+BK57+BR57</f>
        <v>25269</v>
      </c>
      <c r="L57" s="3">
        <f>(K57/K56)-1</f>
        <v>0.027947278496460726</v>
      </c>
      <c r="M57" t="inlineStr">
        <is>
          <t>NEW:</t>
        </is>
      </c>
      <c r="N57">
        <f>N56+30</f>
        <v>864</v>
      </c>
      <c r="O57" s="8">
        <f>N57-N56</f>
        <v>30</v>
      </c>
      <c r="P57">
        <f>P56+0</f>
        <v>22</v>
      </c>
      <c r="Q57" s="8">
        <f>P57-P56</f>
        <v>0</v>
      </c>
      <c r="R57">
        <f>R56+1</f>
        <v>74</v>
      </c>
      <c r="S57" s="8">
        <f>R57-R56</f>
        <v>1</v>
      </c>
      <c r="U57">
        <f>U56+228</f>
        <v>4989</v>
      </c>
      <c r="V57" s="8">
        <f>U57-U56</f>
        <v>228</v>
      </c>
      <c r="W57">
        <f>W56+-17</f>
        <v>426</v>
      </c>
      <c r="X57" s="8">
        <f>W57-W56</f>
        <v>-17</v>
      </c>
      <c r="Y57">
        <f>Y56+26</f>
        <v>579</v>
      </c>
      <c r="Z57" s="8">
        <f>Y57-Y56</f>
        <v>26</v>
      </c>
      <c r="AA57" t="inlineStr">
        <is>
          <t>PROPOSED - open to proposal now - subject to revision.</t>
        </is>
      </c>
      <c r="AB57">
        <f>AB56+206</f>
        <v>6715</v>
      </c>
      <c r="AC57" s="8">
        <f>AB57-AB56</f>
        <v>206</v>
      </c>
      <c r="AD57">
        <f>AD56+-5</f>
        <v>605</v>
      </c>
      <c r="AE57" s="8">
        <f>AD57-AD56</f>
        <v>-5</v>
      </c>
      <c r="AF57">
        <f>AF56+13</f>
        <v>429</v>
      </c>
      <c r="AG57" s="8">
        <f>AF57-AF56</f>
        <v>13</v>
      </c>
      <c r="AI57">
        <f>AI56+156</f>
        <v>10529</v>
      </c>
      <c r="AJ57" s="8">
        <f>AI57-AI56</f>
        <v>156</v>
      </c>
      <c r="AK57">
        <f>AK56+-14</f>
        <v>635</v>
      </c>
      <c r="AL57" s="8">
        <f>AK57-AK56</f>
        <v>-14</v>
      </c>
      <c r="AM57">
        <f>AM56+18</f>
        <v>707</v>
      </c>
      <c r="AN57" s="8">
        <f>AM57-AM56</f>
        <v>18</v>
      </c>
      <c r="AP57">
        <f>AP56+12</f>
        <v>588</v>
      </c>
      <c r="AQ57" s="8">
        <f>AP57-AP56</f>
        <v>12</v>
      </c>
      <c r="AR57">
        <f>AR56+-4</f>
        <v>37</v>
      </c>
      <c r="AS57" s="8">
        <f>AR57-AR56</f>
        <v>-4</v>
      </c>
      <c r="AT57">
        <f>AT56+4</f>
        <v>66</v>
      </c>
      <c r="AU57" s="8">
        <f>AT57-AT56</f>
        <v>4</v>
      </c>
      <c r="AW57">
        <f>AW56+23</f>
        <v>407</v>
      </c>
      <c r="AX57" s="8">
        <f>AW57-AW56</f>
        <v>23</v>
      </c>
      <c r="AY57">
        <f>AY56+-1</f>
        <v>5</v>
      </c>
      <c r="AZ57" s="8">
        <f>AY57-AY56</f>
        <v>-1</v>
      </c>
      <c r="BA57">
        <f>BA56+0</f>
        <v>35</v>
      </c>
      <c r="BB57" s="8">
        <f>BA57-BA56</f>
        <v>0</v>
      </c>
      <c r="BD57">
        <f>BD56+6</f>
        <v>157</v>
      </c>
      <c r="BE57" s="8">
        <f>BD57-BD56</f>
        <v>6</v>
      </c>
      <c r="BF57">
        <f>BF56+-1</f>
        <v>5</v>
      </c>
      <c r="BG57" s="8">
        <f>BF57-BF56</f>
        <v>-1</v>
      </c>
      <c r="BH57">
        <f>BH56+0</f>
        <v>3</v>
      </c>
      <c r="BI57" s="8">
        <f>BH57-BH56</f>
        <v>0</v>
      </c>
      <c r="BK57">
        <f>BK56+25</f>
        <v>498</v>
      </c>
      <c r="BL57" s="8">
        <f>BK57-BK56</f>
        <v>25</v>
      </c>
      <c r="BM57">
        <f>BM56+-2</f>
        <v>31</v>
      </c>
      <c r="BN57" s="8">
        <f>BM57-BM56</f>
        <v>-2</v>
      </c>
      <c r="BO57">
        <f>BO56+3</f>
        <v>31</v>
      </c>
      <c r="BP57" s="8">
        <f>BO57-BO56</f>
        <v>3</v>
      </c>
      <c r="BR57">
        <f>BR56+1</f>
        <v>522</v>
      </c>
      <c r="BS57" s="8">
        <f>BR57-BR56</f>
        <v>1</v>
      </c>
      <c r="BU57" s="8"/>
      <c r="BV57">
        <f>BV56+-3</f>
        <v>0</v>
      </c>
      <c r="BW57" s="8">
        <f>BV57-BV56</f>
        <v>-3</v>
      </c>
      <c r="BY57">
        <f>N57+U57+AB57+AI57+AP57+AW57+BD57+BK57+BR57</f>
        <v>25269</v>
      </c>
      <c r="BZ57" s="8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F57" s="7">
        <v>43899</v>
      </c>
      <c r="CG57">
        <v>583</v>
      </c>
      <c r="CH57">
        <f>(CG57/CG56)-1</f>
        <v>0.12548262548262556</v>
      </c>
    </row>
    <row r="58" spans="1:97" ht="19.5">
      <c r="C58">
        <f>H57*D58</f>
        <v>706.19978032754682</v>
      </c>
      <c r="D58">
        <f>D57</f>
        <v>0.0279472784965</v>
      </c>
      <c r="E58" t="s">
        <v>12</v>
      </c>
      <c r="F58" t="inlineStr">
        <is>
          <t>day two</t>
        </is>
      </c>
      <c r="G58" s="2">
        <f>H58*15</f>
        <v>389627.99670463859</v>
      </c>
      <c r="H58">
        <f>H57+C58</f>
        <v>25975.199780309238</v>
      </c>
      <c r="J58" s="1"/>
      <c r="K58" s="1"/>
      <c r="L58" s="1"/>
      <c r="N58" s="1"/>
      <c r="O58" s="1"/>
      <c r="P58" s="1"/>
      <c r="Q58" s="1"/>
      <c r="R58" s="1"/>
      <c r="S58" s="1"/>
      <c r="U58" s="1"/>
      <c r="V58" s="1"/>
      <c r="W58" s="1"/>
      <c r="X58" s="1"/>
      <c r="Y58" s="1"/>
      <c r="Z58" s="1"/>
      <c r="AB58" s="1"/>
      <c r="AC58" s="1"/>
      <c r="AD58" s="1"/>
      <c r="AE58" s="1"/>
      <c r="AF58" s="1"/>
      <c r="AG58" s="1"/>
      <c r="AI58" s="1"/>
      <c r="AJ58" s="1"/>
      <c r="AK58" s="1"/>
      <c r="AL58" s="1"/>
      <c r="AM58" s="1"/>
      <c r="AN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D58" s="1"/>
      <c r="BE58" s="1"/>
      <c r="BF58" s="1"/>
      <c r="BG58" s="1"/>
      <c r="BH58" s="1"/>
      <c r="BI58" s="1"/>
      <c r="BK58" s="1"/>
      <c r="BL58" s="1"/>
      <c r="BM58" s="1"/>
      <c r="BN58" s="1"/>
      <c r="BO58" s="1"/>
      <c r="BP58" s="1"/>
      <c r="BR58" s="1"/>
      <c r="BS58" s="1"/>
      <c r="BT58" s="1"/>
      <c r="BU58" s="1"/>
      <c r="BV58" s="1"/>
      <c r="BW58" s="1"/>
      <c r="BY58" s="1"/>
      <c r="BZ58" s="1"/>
      <c r="CA58" s="1"/>
      <c r="CB58" s="1"/>
      <c r="CC58" s="1"/>
      <c r="CD58" s="1"/>
      <c r="CF58" s="7">
        <v>43900</v>
      </c>
      <c r="CG58">
        <v>959</v>
      </c>
      <c r="CH58">
        <f>(CG58/CG57)-1</f>
        <v>0.64493996569468259</v>
      </c>
    </row>
    <row r="59" spans="1:97" ht="19.5">
      <c r="C59">
        <f>H58*D59</f>
        <v>725.93614226252794</v>
      </c>
      <c r="D59">
        <f>D58</f>
        <v>0.0279472784965</v>
      </c>
      <c r="E59" t="s">
        <v>13</v>
      </c>
      <c r="F59" t="inlineStr">
        <is>
          <t>day three</t>
        </is>
      </c>
      <c r="G59" s="2">
        <f>H59*15</f>
        <v>400517.03883857653</v>
      </c>
      <c r="H59">
        <f>H58+C59</f>
        <v>26701.135922571768</v>
      </c>
      <c r="J59" t="inlineStr">
        <is>
          <t>*preliminary*</t>
        </is>
      </c>
      <c r="K59" s="1"/>
      <c r="L59" s="1"/>
      <c r="M59" t="inlineStr">
        <is>
          <t>total (entry):</t>
        </is>
      </c>
      <c r="N59">
        <v>864</v>
      </c>
      <c r="P59">
        <v>22</v>
      </c>
      <c r="R59">
        <v>74</v>
      </c>
      <c r="U59">
        <v>4989</v>
      </c>
      <c r="V59" s="3"/>
      <c r="W59">
        <v>426</v>
      </c>
      <c r="Y59">
        <v>579</v>
      </c>
      <c r="AB59">
        <v>6715</v>
      </c>
      <c r="AC59" s="3"/>
      <c r="AD59">
        <v>605</v>
      </c>
      <c r="AF59">
        <v>429</v>
      </c>
      <c r="AI59">
        <v>10529</v>
      </c>
      <c r="AJ59" s="3"/>
      <c r="AK59">
        <v>635</v>
      </c>
      <c r="AM59">
        <v>707</v>
      </c>
      <c r="AP59">
        <v>588</v>
      </c>
      <c r="AQ59" s="3"/>
      <c r="AR59">
        <v>37</v>
      </c>
      <c r="AT59">
        <v>66</v>
      </c>
      <c r="AW59">
        <v>407</v>
      </c>
      <c r="AX59" s="3"/>
      <c r="AY59">
        <v>5</v>
      </c>
      <c r="BA59">
        <v>35</v>
      </c>
      <c r="BD59">
        <v>157</v>
      </c>
      <c r="BE59" s="3"/>
      <c r="BF59">
        <v>5</v>
      </c>
      <c r="BH59">
        <v>3</v>
      </c>
      <c r="BK59">
        <v>498</v>
      </c>
      <c r="BL59" s="3"/>
      <c r="BM59">
        <v>31</v>
      </c>
      <c r="BO59">
        <v>31</v>
      </c>
      <c r="BR59">
        <v>522</v>
      </c>
      <c r="BS59" s="3"/>
      <c r="BV59">
        <v>0</v>
      </c>
      <c r="BY59">
        <v>25269</v>
      </c>
      <c r="BZ59" s="3"/>
      <c r="CA59">
        <v>1766</v>
      </c>
      <c r="CC59">
        <v>1924</v>
      </c>
      <c r="CF59" s="7">
        <v>43901</v>
      </c>
      <c r="CG59">
        <v>1281</v>
      </c>
      <c r="CH59">
        <f>(CG59/CG58)-1</f>
        <v>0.33576642335766427</v>
      </c>
    </row>
    <row r="60" spans="1:97" ht="19.5">
      <c r="C60">
        <f>H59*D60</f>
        <v>746.22408180101365</v>
      </c>
      <c r="D60">
        <f>D59</f>
        <v>0.0279472784965</v>
      </c>
      <c r="E60" t="s">
        <v>14</v>
      </c>
      <c r="F60" t="inlineStr">
        <is>
          <t>day four</t>
        </is>
      </c>
      <c r="G60" s="2">
        <f>H60*15</f>
        <v>411710.40006559173</v>
      </c>
      <c r="H60">
        <f>H59+C60</f>
        <v>27447.360004372782</v>
      </c>
      <c r="J60" s="1"/>
      <c r="K60" s="1"/>
      <c r="L60" s="1"/>
      <c r="M60" t="inlineStr">
        <is>
          <t>ext. Difference:</t>
        </is>
      </c>
      <c r="N60">
        <f>N59-N56</f>
        <v>30</v>
      </c>
      <c r="P60">
        <f>P59-P56</f>
        <v>0</v>
      </c>
      <c r="R60">
        <f>R59-R56</f>
        <v>1</v>
      </c>
      <c r="U60">
        <f>U59-U56</f>
        <v>228</v>
      </c>
      <c r="V60" s="3"/>
      <c r="W60">
        <f>W59-W56</f>
        <v>-17</v>
      </c>
      <c r="Y60">
        <f>Y59-Y56</f>
        <v>26</v>
      </c>
      <c r="AB60">
        <f>AB59-AB56</f>
        <v>206</v>
      </c>
      <c r="AC60" s="3"/>
      <c r="AD60">
        <f>AD59-AD56</f>
        <v>-5</v>
      </c>
      <c r="AF60">
        <f>AF59-AF56</f>
        <v>13</v>
      </c>
      <c r="AI60">
        <f>AI59-AI56</f>
        <v>156</v>
      </c>
      <c r="AJ60" s="3"/>
      <c r="AK60">
        <f>AK59-AK56</f>
        <v>-14</v>
      </c>
      <c r="AM60">
        <f>AM59-AM56</f>
        <v>18</v>
      </c>
      <c r="AP60">
        <f>AP59-AP56</f>
        <v>12</v>
      </c>
      <c r="AQ60" s="3"/>
      <c r="AR60">
        <f>AR59-AR56</f>
        <v>-4</v>
      </c>
      <c r="AT60">
        <f>AT59-AT56</f>
        <v>4</v>
      </c>
      <c r="AW60">
        <f>AW59-AW56</f>
        <v>23</v>
      </c>
      <c r="AX60" s="3"/>
      <c r="AY60">
        <f>AY59-AY56</f>
        <v>-1</v>
      </c>
      <c r="BA60">
        <f>BA59-BA56</f>
        <v>0</v>
      </c>
      <c r="BD60">
        <f>BD59-BD56</f>
        <v>6</v>
      </c>
      <c r="BE60" s="3"/>
      <c r="BF60">
        <f>BF59-BF56</f>
        <v>-1</v>
      </c>
      <c r="BH60">
        <f>BH59-BH56</f>
        <v>0</v>
      </c>
      <c r="BK60">
        <f>BK59-BK56</f>
        <v>25</v>
      </c>
      <c r="BL60" s="3"/>
      <c r="BM60">
        <f>BM59-BM56</f>
        <v>-2</v>
      </c>
      <c r="BO60">
        <f>BO59-BO56</f>
        <v>3</v>
      </c>
      <c r="BR60">
        <f>BR59-BR56</f>
        <v>1</v>
      </c>
      <c r="BS60" s="3"/>
      <c r="BV60">
        <f>BV59-BV56</f>
        <v>-3</v>
      </c>
      <c r="BY60">
        <f>BY59-BY56</f>
        <v>687</v>
      </c>
      <c r="BZ60" s="3"/>
      <c r="CA60">
        <f>CA59-CA56</f>
        <v>-44</v>
      </c>
      <c r="CC60">
        <f>CC59-CC56</f>
        <v>62</v>
      </c>
      <c r="CF60" s="7">
        <v>43902</v>
      </c>
      <c r="CG60">
        <v>1663</v>
      </c>
      <c r="CH60">
        <f>(CG60/CG59)-1</f>
        <v>0.29820452771272454</v>
      </c>
    </row>
    <row r="61" spans="1:97" ht="19.5">
      <c r="C61">
        <f>H60*D61</f>
        <v>767.07901403590154</v>
      </c>
      <c r="D61">
        <f>D60</f>
        <v>0.0279472784965</v>
      </c>
      <c r="E61" t="s">
        <v>15</v>
      </c>
      <c r="F61" t="inlineStr">
        <is>
          <t>day five</t>
        </is>
      </c>
      <c r="G61" s="2">
        <f>H61*15</f>
        <v>423216.58527613024</v>
      </c>
      <c r="H61">
        <f>H60+C61</f>
        <v>28214.439018408684</v>
      </c>
      <c r="K61" s="1"/>
      <c r="L61" s="1"/>
      <c r="M61" t="inlineStr">
        <is>
          <t>int. Difference:</t>
        </is>
      </c>
      <c r="N61">
        <f>N57-N56</f>
        <v>30</v>
      </c>
      <c r="P61">
        <f>P57-P56</f>
        <v>0</v>
      </c>
      <c r="R61">
        <f>R57-R56</f>
        <v>1</v>
      </c>
      <c r="U61">
        <f>U57-U56</f>
        <v>228</v>
      </c>
      <c r="V61" s="3"/>
      <c r="W61">
        <f>W57-W56</f>
        <v>-17</v>
      </c>
      <c r="Y61">
        <f>Y57-Y56</f>
        <v>26</v>
      </c>
      <c r="AB61">
        <f>AB57-AB56</f>
        <v>206</v>
      </c>
      <c r="AC61" s="3"/>
      <c r="AD61">
        <f>AD57-AD56</f>
        <v>-5</v>
      </c>
      <c r="AF61">
        <f>AF57-AF56</f>
        <v>13</v>
      </c>
      <c r="AI61">
        <f>AI57-AI56</f>
        <v>156</v>
      </c>
      <c r="AJ61" s="3"/>
      <c r="AK61">
        <f>AK57-AK56</f>
        <v>-14</v>
      </c>
      <c r="AM61">
        <f>AM57-AM56</f>
        <v>18</v>
      </c>
      <c r="AP61">
        <f>AP57-AP56</f>
        <v>12</v>
      </c>
      <c r="AQ61" s="3"/>
      <c r="AR61">
        <f>AR57-AR56</f>
        <v>-4</v>
      </c>
      <c r="AT61">
        <f>AT57-AT56</f>
        <v>4</v>
      </c>
      <c r="AW61">
        <f>AW57-AW56</f>
        <v>23</v>
      </c>
      <c r="AX61" s="3"/>
      <c r="AY61">
        <f>AY57-AY56</f>
        <v>-1</v>
      </c>
      <c r="BA61">
        <f>BA57-BA56</f>
        <v>0</v>
      </c>
      <c r="BD61">
        <f>BD57-BD56</f>
        <v>6</v>
      </c>
      <c r="BE61" s="3"/>
      <c r="BF61">
        <f>BF57-BF56</f>
        <v>-1</v>
      </c>
      <c r="BH61">
        <f>BH57-BH56</f>
        <v>0</v>
      </c>
      <c r="BK61">
        <f>BK57-BK56</f>
        <v>25</v>
      </c>
      <c r="BL61" s="3"/>
      <c r="BM61">
        <f>BM57-BM56</f>
        <v>-2</v>
      </c>
      <c r="BO61">
        <f>BO57-BO56</f>
        <v>3</v>
      </c>
      <c r="BR61">
        <f>BR57-BR56</f>
        <v>1</v>
      </c>
      <c r="BS61" s="3"/>
      <c r="BV61">
        <f>BV57-BV56</f>
        <v>-3</v>
      </c>
      <c r="BY61">
        <f>BY57-BY56</f>
        <v>687</v>
      </c>
      <c r="BZ61" s="3"/>
      <c r="CA61">
        <f>CA57-CA56</f>
        <v>-44</v>
      </c>
      <c r="CC61">
        <f>CC57-CC56</f>
        <v>62</v>
      </c>
      <c r="CF61" s="7">
        <v>43903</v>
      </c>
      <c r="CG61">
        <v>2179</v>
      </c>
      <c r="CH61">
        <f>(CG61/CG60)-1</f>
        <v>0.31028262176788934</v>
      </c>
    </row>
    <row r="62" spans="1:97" ht="19.5">
      <c r="C62">
        <f>H61*D62</f>
        <v>788.51678486998355</v>
      </c>
      <c r="D62">
        <f>D61</f>
        <v>0.0279472784965</v>
      </c>
      <c r="E62" t="s">
        <v>16</v>
      </c>
      <c r="F62" t="inlineStr">
        <is>
          <t>above: moving target</t>
        </is>
      </c>
      <c r="G62" s="2">
        <f>H62*15</f>
        <v>435044.33704918</v>
      </c>
      <c r="H62">
        <f>H61+C62</f>
        <v>29002.955803278666</v>
      </c>
      <c r="K62" s="1"/>
      <c r="L62" s="1"/>
      <c r="V62" s="3"/>
      <c r="AC62" s="3"/>
      <c r="AJ62" s="3"/>
      <c r="AQ62" s="3"/>
      <c r="AX62" s="3"/>
      <c r="BE62" s="3"/>
      <c r="BL62" s="3"/>
      <c r="BS62" s="3"/>
      <c r="BZ62" s="3"/>
      <c r="CF62" s="7">
        <v>43904</v>
      </c>
      <c r="CG62">
        <v>2727</v>
      </c>
      <c r="CH62">
        <f>(CG62/CG61)-1</f>
        <v>0.25149150986691149</v>
      </c>
    </row>
    <row r="63" spans="1:97" ht="19.5">
      <c r="C63">
        <f>H62*D63</f>
        <v>810.5536830559098</v>
      </c>
      <c r="D63">
        <f>D62</f>
        <v>0.0279472784965</v>
      </c>
      <c r="E63" t="s">
        <v>17</v>
      </c>
      <c r="F63" s="7">
        <v>43953</v>
      </c>
      <c r="G63" s="2">
        <f>H63*15</f>
        <v>447202.64229501865</v>
      </c>
      <c r="H63">
        <f>H62+C63</f>
        <v>29813.509486334577</v>
      </c>
      <c r="V63" s="3"/>
      <c r="AC63" s="3"/>
      <c r="AJ63" s="3"/>
      <c r="AQ63" s="3"/>
      <c r="AX63" s="3"/>
      <c r="BE63" s="3"/>
      <c r="BL63" s="3"/>
      <c r="BS63" s="3"/>
      <c r="BZ63" s="3"/>
      <c r="CF63" s="7">
        <v>43905</v>
      </c>
      <c r="CG63">
        <v>3499</v>
      </c>
      <c r="CH63">
        <f>(CG63/CG62)-1</f>
        <v>0.28309497616428314</v>
      </c>
    </row>
    <row r="64" spans="1:97" ht="19.5">
      <c r="C64">
        <f>H63*D64</f>
        <v>833.20645257263709</v>
      </c>
      <c r="D64">
        <f>D63</f>
        <v>0.0279472784965</v>
      </c>
      <c r="E64" t="s">
        <v>11</v>
      </c>
      <c r="F64" s="7">
        <v>43954</v>
      </c>
      <c r="G64" s="2">
        <f>H64*15</f>
        <v>459700.7390836082</v>
      </c>
      <c r="H64">
        <f>H63+C64</f>
        <v>30646.715938907215</v>
      </c>
      <c r="J64" s="1"/>
      <c r="K64" t="inlineStr">
        <is>
          <t>TODAY:</t>
        </is>
      </c>
      <c r="N64" s="3">
        <f>(N57/N56)-1</f>
        <v>0.035971223021582732</v>
      </c>
      <c r="P64" s="3">
        <f>(P57/P56)-1</f>
        <v>0</v>
      </c>
      <c r="Q64" s="3"/>
      <c r="R64" s="3">
        <f>(R57/R56)-1</f>
        <v>0.013698630136986356</v>
      </c>
      <c r="S64" s="3"/>
      <c r="T64" s="3"/>
      <c r="U64" s="3">
        <f>(U57/U56)-1</f>
        <v>0.047889098928796558</v>
      </c>
      <c r="V64" s="3"/>
      <c r="W64" s="3">
        <f>(W57/W56)-1</f>
        <v>-0.038374717832957095</v>
      </c>
      <c r="X64" s="3"/>
      <c r="Y64" s="3">
        <f>(Y57/Y56)-1</f>
        <v>0.047016274864376095</v>
      </c>
      <c r="Z64" s="3"/>
      <c r="AA64" s="3"/>
      <c r="AB64" s="3">
        <f>(AB57/AB56)-1</f>
        <v>0.031648486710708301</v>
      </c>
      <c r="AC64" s="3"/>
      <c r="AD64" s="3">
        <f>(AD57/AD56)-1</f>
        <v>-0.0081967213114754189</v>
      </c>
      <c r="AE64" s="3"/>
      <c r="AF64" s="3">
        <f>(AF57/AF56)-1</f>
        <v>0.03125</v>
      </c>
      <c r="AG64" s="3"/>
      <c r="AH64" s="3"/>
      <c r="AI64" s="3">
        <f>(AI57/AI56)-1</f>
        <v>0.01503904367106923</v>
      </c>
      <c r="AJ64" s="3"/>
      <c r="AK64" s="3">
        <f>(AK57/AK56)-1</f>
        <v>-0.021571648690292711</v>
      </c>
      <c r="AL64" s="3"/>
      <c r="AM64" s="3">
        <f>(AM57/AM56)-1</f>
        <v>0.026124818577648812</v>
      </c>
      <c r="AN64" s="3"/>
      <c r="AO64" s="3"/>
      <c r="AP64" s="3">
        <f>(AP57/AP56)-1</f>
        <v>0.020833333333333259</v>
      </c>
      <c r="AQ64" s="3"/>
      <c r="AR64" s="3">
        <f>(AR57/AR56)-1</f>
        <v>-0.097560975609756073</v>
      </c>
      <c r="AS64" s="3"/>
      <c r="AT64" s="3">
        <f>(AT57/AT56)-1</f>
        <v>0.064516129032258007</v>
      </c>
      <c r="AU64" s="3"/>
      <c r="AV64" s="3"/>
      <c r="AW64" s="3">
        <f>(AW57/AW56)-1</f>
        <v>0.059895833333333259</v>
      </c>
      <c r="AX64" s="3"/>
      <c r="AY64" s="3">
        <f>(AY57/AY56)-1</f>
        <v>-0.16666666666666663</v>
      </c>
      <c r="AZ64" s="3"/>
      <c r="BA64" s="3">
        <f>(BA57/BA56)-1</f>
        <v>0</v>
      </c>
      <c r="BB64" s="3"/>
      <c r="BC64" s="3"/>
      <c r="BD64" s="3">
        <f>(BD57/BD56)-1</f>
        <v>0.039735099337748325</v>
      </c>
      <c r="BE64" s="3"/>
      <c r="BF64" s="3">
        <f>(BF57/BF56)-1</f>
        <v>-0.16666666666666663</v>
      </c>
      <c r="BG64" s="3"/>
      <c r="BH64" s="3">
        <f>(BH57/BH56)-1</f>
        <v>0</v>
      </c>
      <c r="BI64" s="3"/>
      <c r="BJ64" s="3"/>
      <c r="BK64" s="3">
        <f>(BK57/BK56)-1</f>
        <v>0.052854122621564414</v>
      </c>
      <c r="BL64" s="3"/>
      <c r="BM64" s="3">
        <f>(BM57/BM56)-1</f>
        <v>-0.060606060606060552</v>
      </c>
      <c r="BN64" s="3"/>
      <c r="BO64" s="3">
        <f>(BO57/BO56)-1</f>
        <v>0.10714285714285721</v>
      </c>
      <c r="BP64" s="3"/>
      <c r="BQ64" s="3"/>
      <c r="BR64" s="3">
        <f>(BR57/BR56)-1</f>
        <v>0.0019193857965451588</v>
      </c>
      <c r="BS64" s="3"/>
      <c r="BT64" s="3"/>
      <c r="BU64" s="3"/>
      <c r="BV64" s="3">
        <f>(BV57/BV56)-1</f>
        <v>-1</v>
      </c>
      <c r="BW64" s="3"/>
      <c r="BX64" s="3"/>
      <c r="BY64" s="3">
        <f>(BY57/BY56)-1</f>
        <v>0.027947278496460726</v>
      </c>
      <c r="BZ64" s="3"/>
      <c r="CA64" s="3">
        <f>(CA57/CA56)-1</f>
        <v>-0.024309392265193353</v>
      </c>
      <c r="CB64" s="3"/>
      <c r="CC64" s="3">
        <f>(CC57/CC56)-1</f>
        <v>0.033297529538131032</v>
      </c>
      <c r="CD64" s="3"/>
      <c r="CF64" s="7">
        <v>43906</v>
      </c>
      <c r="CG64">
        <v>4632</v>
      </c>
      <c r="CH64">
        <f>(CG64/CG63)-1</f>
        <v>0.32380680194341238</v>
      </c>
    </row>
    <row r="65" spans="1:97" ht="19.5">
      <c r="C65">
        <f>H64*D65</f>
        <v>856.49230534776541</v>
      </c>
      <c r="D65">
        <f>D64</f>
        <v>0.0279472784965</v>
      </c>
      <c r="E65" t="s">
        <v>12</v>
      </c>
      <c r="F65" s="7">
        <v>43955</v>
      </c>
      <c r="G65" s="2">
        <f>H65*15</f>
        <v>472548.12366382469</v>
      </c>
      <c r="H65">
        <f>H64+C65</f>
        <v>31503.20824425498</v>
      </c>
      <c r="J65" s="1"/>
      <c r="AJ65" s="8"/>
      <c r="CF65" s="7">
        <v>43907</v>
      </c>
      <c r="CG65">
        <v>6421</v>
      </c>
      <c r="CH65">
        <f>(CG65/CG64)-1</f>
        <v>0.38622625215889461</v>
      </c>
    </row>
    <row r="66" spans="1:97" ht="19.5">
      <c r="C66">
        <f>H65*D66</f>
        <v>880.42893433542872</v>
      </c>
      <c r="D66">
        <f>D65</f>
        <v>0.0279472784965</v>
      </c>
      <c r="E66" t="s">
        <v>13</v>
      </c>
      <c r="F66" s="7">
        <v>43956</v>
      </c>
      <c r="G66" s="2">
        <f>H66*15</f>
        <v>485754.55767885613</v>
      </c>
      <c r="H66">
        <f>H65+C66</f>
        <v>32383.637178590408</v>
      </c>
      <c r="J66" s="1"/>
      <c r="AJ66" s="1"/>
      <c r="CF66" s="7">
        <v>43908</v>
      </c>
      <c r="CG66">
        <v>7783</v>
      </c>
      <c r="CH66">
        <f>(CG66/CG65)-1</f>
        <v>0.21211649275813738</v>
      </c>
    </row>
    <row r="67" spans="1:97" ht="19.5">
      <c r="C67">
        <f>H66*D67</f>
        <v>905.03452695967769</v>
      </c>
      <c r="D67">
        <f>D66</f>
        <v>0.0279472784965</v>
      </c>
      <c r="E67" t="s">
        <v>14</v>
      </c>
      <c r="F67" s="7">
        <v>43957</v>
      </c>
      <c r="G67" s="2">
        <f>H67*15</f>
        <v>499330.07558325125</v>
      </c>
      <c r="H67">
        <f>H66+C67</f>
        <v>33288.671705550085</v>
      </c>
      <c r="J67" s="1"/>
      <c r="K67" t="inlineStr">
        <is>
          <t>Yesterday:</t>
        </is>
      </c>
      <c r="N67" s="3">
        <f>0.032000000000000001</f>
        <v>0.032000000000000001</v>
      </c>
      <c r="P67" s="3">
        <f>0</f>
        <v>0</v>
      </c>
      <c r="Q67" s="3"/>
      <c r="R67" s="3">
        <f>0.058000000000000003</f>
        <v>0.058000000000000003</v>
      </c>
      <c r="S67" s="3"/>
      <c r="T67" s="3"/>
      <c r="U67" s="3">
        <f>0.042000000000000003</f>
        <v>0.042000000000000003</v>
      </c>
      <c r="V67" s="3"/>
      <c r="W67" s="3">
        <f>-0.041000000000000002</f>
        <v>-0.041000000000000002</v>
      </c>
      <c r="X67" s="3"/>
      <c r="Y67" s="3">
        <f>0.082000000000000003</f>
        <v>0.082000000000000003</v>
      </c>
      <c r="Z67" s="3"/>
      <c r="AA67" s="3"/>
      <c r="AB67" s="3">
        <f>0.035000000000000003</f>
        <v>0.035000000000000003</v>
      </c>
      <c r="AC67" s="3"/>
      <c r="AD67" s="3">
        <f>-0.010999999999999999</f>
        <v>-0.010999999999999999</v>
      </c>
      <c r="AE67" s="3"/>
      <c r="AF67" s="3">
        <f>0.050999999999999997</f>
        <v>0.050999999999999997</v>
      </c>
      <c r="AG67" s="3"/>
      <c r="AH67" s="3"/>
      <c r="AI67" s="3">
        <f>0.014</f>
        <v>0.014</v>
      </c>
      <c r="AJ67" s="8"/>
      <c r="AK67" s="3">
        <f>-0.065000000000000002</f>
        <v>-0.065000000000000002</v>
      </c>
      <c r="AL67" s="3"/>
      <c r="AM67" s="3">
        <f>0.041000000000000002</f>
        <v>0.041000000000000002</v>
      </c>
      <c r="AN67" s="3"/>
      <c r="AO67" s="3"/>
      <c r="AP67" s="3">
        <f>0.027</f>
        <v>0.027</v>
      </c>
      <c r="AQ67" s="3"/>
      <c r="AR67" s="3">
        <f>0.050999999999999997</f>
        <v>0.050999999999999997</v>
      </c>
      <c r="AS67" s="3"/>
      <c r="AT67" s="3">
        <f>-0.016</f>
        <v>-0.016</v>
      </c>
      <c r="AU67" s="3"/>
      <c r="AV67" s="3"/>
      <c r="AW67" s="3">
        <f>0.024</f>
        <v>0.024</v>
      </c>
      <c r="AX67" s="3"/>
      <c r="AY67" s="3">
        <f>0.5</f>
        <v>0.5</v>
      </c>
      <c r="AZ67" s="3"/>
      <c r="BA67" s="3">
        <f>0.029000000000000001</f>
        <v>0.029000000000000001</v>
      </c>
      <c r="BB67" s="3"/>
      <c r="BC67" s="3"/>
      <c r="BD67" s="3">
        <f>0.085999999999999993</f>
        <v>0.085999999999999993</v>
      </c>
      <c r="BE67" s="3"/>
      <c r="BF67" s="3">
        <v>0</v>
      </c>
      <c r="BG67" s="3"/>
      <c r="BH67" s="3">
        <v>0</v>
      </c>
      <c r="BI67" s="3"/>
      <c r="BJ67" s="3"/>
      <c r="BK67" s="3">
        <f>0.056000000000000001</f>
        <v>0.056000000000000001</v>
      </c>
      <c r="BL67" s="3"/>
      <c r="BM67" s="3">
        <v>0</v>
      </c>
      <c r="BN67" s="3"/>
      <c r="BO67" s="3">
        <f>0.217</f>
        <v>0.217</v>
      </c>
      <c r="BP67" s="3"/>
      <c r="BQ67" s="3"/>
      <c r="BR67" s="3">
        <f>0.028000000000000001</f>
        <v>0.028000000000000001</v>
      </c>
      <c r="BS67" s="3"/>
      <c r="BT67" s="3"/>
      <c r="BU67" s="3"/>
      <c r="BV67" s="3">
        <v>0</v>
      </c>
      <c r="BW67" s="3"/>
      <c r="BX67" s="3"/>
      <c r="BY67" s="3">
        <f>0.028000000000000001</f>
        <v>0.028000000000000001</v>
      </c>
      <c r="BZ67" s="3"/>
      <c r="CA67" s="3">
        <f>-0.035999999999999997</f>
        <v>-0.035999999999999997</v>
      </c>
      <c r="CB67" s="3"/>
      <c r="CC67" s="3">
        <f>0.056000000000000001</f>
        <v>0.056000000000000001</v>
      </c>
      <c r="CD67" s="3"/>
      <c r="CF67" s="7">
        <v>43909</v>
      </c>
      <c r="CG67">
        <v>13677</v>
      </c>
      <c r="CH67">
        <f>(CG67/CG66)-1</f>
        <v>0.75729153282795836</v>
      </c>
    </row>
    <row r="68" spans="1:97" ht="19.5">
      <c r="C68">
        <f>H67*D68</f>
        <v>930.32777893356786</v>
      </c>
      <c r="D68">
        <f>D67</f>
        <v>0.0279472784965</v>
      </c>
      <c r="E68" t="s">
        <v>15</v>
      </c>
      <c r="F68" s="7">
        <v>43958</v>
      </c>
      <c r="G68" s="2">
        <f>H68*15</f>
        <v>513284.9922672548</v>
      </c>
      <c r="H68">
        <f>H67+C68</f>
        <v>34218.999484483655</v>
      </c>
      <c r="J68" s="1"/>
      <c r="R68" s="1"/>
      <c r="S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CF68" s="7">
        <v>43910</v>
      </c>
      <c r="CG68">
        <v>19100</v>
      </c>
      <c r="CH68">
        <f>(CG68/CG67)-1</f>
        <v>0.39650508152372588</v>
      </c>
    </row>
    <row r="69" spans="1:97" ht="19.5">
      <c r="C69">
        <f>H68*D69</f>
        <v>956.32790846445459</v>
      </c>
      <c r="D69">
        <f>D68</f>
        <v>0.0279472784965</v>
      </c>
      <c r="E69" t="s">
        <v>16</v>
      </c>
      <c r="F69" s="7">
        <v>43959</v>
      </c>
      <c r="G69" s="2">
        <f>H69*15</f>
        <v>527629.91089422163</v>
      </c>
      <c r="H69">
        <f>H68+C69</f>
        <v>35175.327392948107</v>
      </c>
      <c r="J69" s="1"/>
      <c r="N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8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V69" t="inlineStr">
        <is>
          <t>r: +3</t>
        </is>
      </c>
      <c r="CF69" s="7">
        <v>43911</v>
      </c>
      <c r="CG69">
        <v>25489</v>
      </c>
      <c r="CH69">
        <f>(CG69/CG68)-1</f>
        <v>0.33450261780104706</v>
      </c>
    </row>
    <row r="70" spans="1:97" ht="19.5">
      <c r="C70">
        <f>H69*D70</f>
        <v>983.05467085628607</v>
      </c>
      <c r="D70">
        <f>D69</f>
        <v>0.0279472784965</v>
      </c>
      <c r="E70" t="s">
        <v>17</v>
      </c>
      <c r="F70" s="7">
        <v>43960</v>
      </c>
      <c r="G70" s="2">
        <f>H70*15</f>
        <v>542375.73095706583</v>
      </c>
      <c r="H70">
        <f>H69+C70</f>
        <v>36158.382063804391</v>
      </c>
      <c r="O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P70" s="1"/>
      <c r="AW70" s="1"/>
      <c r="BF70" t="inlineStr">
        <is>
          <t>any zero-to-positive int gets the 'r: +n' entry.</t>
        </is>
      </c>
      <c r="BR70" s="1"/>
      <c r="CF70" s="7">
        <v>43912</v>
      </c>
      <c r="CG70">
        <v>33276</v>
      </c>
      <c r="CH70">
        <f>(CG70/CG69)-1</f>
        <v>0.30550433520342102</v>
      </c>
    </row>
    <row r="71" spans="1:97" ht="19.5">
      <c r="C71">
        <f>H70*D71</f>
        <v>1010.5283735199918</v>
      </c>
      <c r="D71">
        <f>D70</f>
        <v>0.0279472784965</v>
      </c>
      <c r="E71" t="s">
        <v>11</v>
      </c>
      <c r="F71" s="7">
        <v>43961</v>
      </c>
      <c r="G71" s="2">
        <f>H71*15</f>
        <v>557533.65655986569</v>
      </c>
      <c r="H71">
        <f>H70+C71</f>
        <v>37168.910437324383</v>
      </c>
      <c r="S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I71" s="1"/>
      <c r="AJ71" s="8"/>
      <c r="CF71" s="7">
        <v>43913</v>
      </c>
      <c r="CG71">
        <v>43847</v>
      </c>
      <c r="CH71">
        <f>(CG71/CG70)-1</f>
        <v>0.31767640341387193</v>
      </c>
    </row>
    <row r="72" spans="1:97" ht="19.5">
      <c r="C72">
        <f>H71*D72</f>
        <v>1038.7698914033701</v>
      </c>
      <c r="D72">
        <f>D71</f>
        <v>0.0279472784965</v>
      </c>
      <c r="E72" t="s">
        <v>12</v>
      </c>
      <c r="F72" s="7">
        <v>43962</v>
      </c>
      <c r="G72" s="2">
        <f>H72*15</f>
        <v>573115.20493091631</v>
      </c>
      <c r="H72">
        <f>H71+C72</f>
        <v>38207.680328727751</v>
      </c>
      <c r="J72" s="1"/>
      <c r="N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BD72" s="1"/>
      <c r="BK72" s="1"/>
      <c r="CF72" s="7">
        <v>43914</v>
      </c>
      <c r="CG72">
        <v>53740</v>
      </c>
      <c r="CH72">
        <f>(CG72/CG71)-1</f>
        <v>0.22562547038565928</v>
      </c>
    </row>
    <row r="73" spans="1:97" ht="19.5">
      <c r="C73">
        <f>H72*D73</f>
        <v>1067.8006828521991</v>
      </c>
      <c r="D73">
        <f>D72</f>
        <v>0.0279472784965</v>
      </c>
      <c r="E73" t="s">
        <v>13</v>
      </c>
      <c r="F73" s="7">
        <v>43963</v>
      </c>
      <c r="G73" s="2">
        <f>H73*15</f>
        <v>589132.21517369919</v>
      </c>
      <c r="H73">
        <f>H72+C73</f>
        <v>39275.481011579948</v>
      </c>
      <c r="J73" s="4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T73" s="1"/>
      <c r="BD73" s="1"/>
      <c r="BK73" s="1"/>
      <c r="CF73" s="7">
        <v>43915</v>
      </c>
      <c r="CG73">
        <v>65778</v>
      </c>
      <c r="CH73">
        <f>(CG73/CG72)-1</f>
        <v>0.22400446594715295</v>
      </c>
    </row>
    <row r="74" spans="1:97" ht="19.5">
      <c r="C74">
        <f>H73*D74</f>
        <v>1097.6428059146224</v>
      </c>
      <c r="D74">
        <f>D73</f>
        <v>0.0279472784965</v>
      </c>
      <c r="E74" t="s">
        <v>14</v>
      </c>
      <c r="F74" s="7">
        <v>43964</v>
      </c>
      <c r="G74" s="2">
        <f>H74*15</f>
        <v>605596.85726241849</v>
      </c>
      <c r="H74">
        <f>H73+C74</f>
        <v>40373.123817494568</v>
      </c>
      <c r="J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CF74" s="7">
        <v>43916</v>
      </c>
      <c r="CG74">
        <v>83836</v>
      </c>
      <c r="CH74">
        <f>(CG74/CG73)-1</f>
        <v>0.27452947794095284</v>
      </c>
    </row>
    <row r="75" spans="1:97" ht="19.5">
      <c r="C75">
        <f>H74*D75</f>
        <v>1128.3189351011979</v>
      </c>
      <c r="D75">
        <f>D74</f>
        <v>0.0279472784965</v>
      </c>
      <c r="E75" t="s">
        <v>15</v>
      </c>
      <c r="F75" s="7">
        <v>43965</v>
      </c>
      <c r="G75" s="2"/>
      <c r="H75">
        <f>H74+C75</f>
        <v>41501.442752595765</v>
      </c>
      <c r="J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CF75" s="7">
        <v>43917</v>
      </c>
      <c r="CG75">
        <v>101657</v>
      </c>
      <c r="CH75">
        <f>(CG75/CG74)-1</f>
        <v>0.21256977909251407</v>
      </c>
    </row>
    <row r="76" spans="1:97" ht="19.5">
      <c r="C76">
        <f>H75*D76</f>
        <v>1159.8523786133453</v>
      </c>
      <c r="D76">
        <f>D75</f>
        <v>0.0279472784965</v>
      </c>
      <c r="E76" t="s">
        <v>16</v>
      </c>
      <c r="F76" s="7">
        <v>43966</v>
      </c>
      <c r="G76" s="2"/>
      <c r="H76">
        <f>H75+C76</f>
        <v>42661.29513120911</v>
      </c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CF76" s="7">
        <v>43918</v>
      </c>
      <c r="CG76">
        <v>121478</v>
      </c>
      <c r="CH76">
        <f>(CG76/CG75)-1</f>
        <v>0.19497919474310677</v>
      </c>
    </row>
    <row r="77" spans="1:97" ht="19.5">
      <c r="C77">
        <f>H76*D77</f>
        <v>1192.2670960532805</v>
      </c>
      <c r="D77">
        <f>D76</f>
        <v>0.0279472784965</v>
      </c>
      <c r="E77" t="s">
        <v>17</v>
      </c>
      <c r="F77" s="7">
        <v>43966</v>
      </c>
      <c r="G77" s="2"/>
      <c r="H77">
        <f>H76+C77</f>
        <v>43853.562227262388</v>
      </c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CF77" s="7">
        <v>43919</v>
      </c>
      <c r="CG77">
        <v>140886</v>
      </c>
      <c r="CH77">
        <f>(CG77/CG76)-1</f>
        <v>0.15976555425673777</v>
      </c>
    </row>
    <row r="78" spans="1:97" ht="19.5">
      <c r="C78">
        <f>H77*D78</f>
        <v>1225.5877166288947</v>
      </c>
      <c r="D78">
        <f>D77</f>
        <v>0.0279472784965</v>
      </c>
      <c r="E78" t="s">
        <v>11</v>
      </c>
      <c r="F78" s="7">
        <v>43968</v>
      </c>
      <c r="G78" s="2"/>
      <c r="H78">
        <f>H77+C78</f>
        <v>45079.14994389128</v>
      </c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CF78" s="7">
        <v>43920</v>
      </c>
      <c r="CG78">
        <v>161807</v>
      </c>
      <c r="CH78">
        <f>(CG78/CG77)-1</f>
        <v>0.14849594707777913</v>
      </c>
    </row>
    <row r="79" spans="1:97" ht="19.5">
      <c r="C79">
        <f>H78*D79</f>
        <v>1259.8395578674119</v>
      </c>
      <c r="D79">
        <f>D78</f>
        <v>0.0279472784965</v>
      </c>
      <c r="E79" t="s">
        <v>12</v>
      </c>
      <c r="F79" s="7">
        <v>43969</v>
      </c>
      <c r="G79" s="2"/>
      <c r="H79">
        <f>H78+C79</f>
        <v>46338.98950175869</v>
      </c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CF79" s="7">
        <v>43921</v>
      </c>
      <c r="CG79">
        <v>188172</v>
      </c>
      <c r="CH79">
        <f>(CG79/CG78)-1</f>
        <v>0.16294103468947574</v>
      </c>
    </row>
    <row r="80" spans="1:97" ht="19.5">
      <c r="C80">
        <f>H79*D80</f>
        <v>1295.0486448520398</v>
      </c>
      <c r="D80">
        <f>D79</f>
        <v>0.0279472784965</v>
      </c>
      <c r="E80" t="s">
        <v>13</v>
      </c>
      <c r="F80" s="7">
        <v>43970</v>
      </c>
      <c r="G80" s="2"/>
      <c r="H80">
        <f>H79+C80</f>
        <v>47634.038146610728</v>
      </c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CF80" s="7">
        <v>43922</v>
      </c>
      <c r="CG80">
        <v>213372</v>
      </c>
      <c r="CH80">
        <f>(CG80/CG79)-1</f>
        <v>0.13392003061029278</v>
      </c>
    </row>
    <row r="81" spans="1:97" ht="19.5">
      <c r="C81">
        <f>H80*D81</f>
        <v>1331.2417299962347</v>
      </c>
      <c r="D81">
        <f>D80</f>
        <v>0.0279472784965</v>
      </c>
      <c r="E81" t="s">
        <v>14</v>
      </c>
      <c r="F81" s="7">
        <v>43971</v>
      </c>
      <c r="G81" s="2"/>
      <c r="H81">
        <f>H80+C81</f>
        <v>48965.279876606961</v>
      </c>
      <c r="J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CF81" s="7">
        <v>43923</v>
      </c>
      <c r="CG81">
        <v>243453</v>
      </c>
      <c r="CH81">
        <f>(CG81/CG80)-1</f>
        <v>0.1409791350317755</v>
      </c>
    </row>
    <row r="82" spans="1:97" ht="19.5">
      <c r="C82">
        <f>H81*D82</f>
        <v>1368.446313370602</v>
      </c>
      <c r="D82">
        <f>D81</f>
        <v>0.0279472784965</v>
      </c>
      <c r="E82" t="s">
        <v>15</v>
      </c>
      <c r="F82" s="7">
        <v>43972</v>
      </c>
      <c r="G82" s="2"/>
      <c r="H82">
        <f>H81+C82</f>
        <v>50333.726189977562</v>
      </c>
      <c r="J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CF82" s="7">
        <v>43924</v>
      </c>
      <c r="CG82">
        <v>275586</v>
      </c>
      <c r="CH82">
        <f>(CG82/CG81)-1</f>
        <v>0.13198851523702726</v>
      </c>
    </row>
    <row r="83" spans="1:97" ht="19.5">
      <c r="C83">
        <f>H82*D83</f>
        <v>1406.6906635978787</v>
      </c>
      <c r="D83">
        <f>D82</f>
        <v>0.0279472784965</v>
      </c>
      <c r="E83" t="s">
        <v>16</v>
      </c>
      <c r="F83" s="7">
        <v>43973</v>
      </c>
      <c r="G83" s="2"/>
      <c r="H83">
        <f>H82+C83</f>
        <v>51740.416853575443</v>
      </c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CF83" s="7">
        <v>43925</v>
      </c>
      <c r="CG83">
        <v>308850</v>
      </c>
      <c r="CH83">
        <f>(CG83/CG82)-1</f>
        <v>0.12070279332041545</v>
      </c>
    </row>
    <row r="84" spans="1:97" ht="19.5">
      <c r="C84">
        <f>H83*D84</f>
        <v>1446.0038393318753</v>
      </c>
      <c r="D84">
        <f>D83</f>
        <v>0.0279472784965</v>
      </c>
      <c r="E84" t="s">
        <v>17</v>
      </c>
      <c r="F84" s="7">
        <v>43974</v>
      </c>
      <c r="G84" s="2"/>
      <c r="H84">
        <f>H83+C84</f>
        <v>53186.420692907319</v>
      </c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CF84" s="7">
        <v>43926</v>
      </c>
      <c r="CG84">
        <v>337072</v>
      </c>
      <c r="CH84" s="9">
        <f>(CG84/CG83)-1</f>
        <v>0.091377691435972075</v>
      </c>
      <c r="CJ84" t="inlineStr">
        <is>
          <t>Under ten percent - add one more digit of precision for context</t>
        </is>
      </c>
    </row>
    <row r="85" spans="1:97" ht="19.5">
      <c r="C85">
        <f>H84*D85</f>
        <v>1486.4157113366914</v>
      </c>
      <c r="D85">
        <f>D84</f>
        <v>0.0279472784965</v>
      </c>
      <c r="E85" t="s">
        <v>11</v>
      </c>
      <c r="F85" s="7">
        <v>43975</v>
      </c>
      <c r="G85" s="2"/>
      <c r="H85">
        <f>H84+C85</f>
        <v>54672.836404244008</v>
      </c>
      <c r="J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CF85" s="7">
        <v>43927</v>
      </c>
      <c r="CG85">
        <v>366667</v>
      </c>
      <c r="CH85" s="9">
        <f>(CG85/CG84)-1</f>
        <v>0.087800232591256577</v>
      </c>
    </row>
    <row r="86" spans="1:97" ht="19.5">
      <c r="C86">
        <f>H85*D86</f>
        <v>1527.956985182991</v>
      </c>
      <c r="D86">
        <f>D85</f>
        <v>0.0279472784965</v>
      </c>
      <c r="E86" t="s">
        <v>12</v>
      </c>
      <c r="F86" s="7">
        <v>43976</v>
      </c>
      <c r="G86" s="2"/>
      <c r="H86">
        <f>H85+C86</f>
        <v>56200.793389426995</v>
      </c>
      <c r="J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F86" s="7">
        <v>43928</v>
      </c>
      <c r="CG86">
        <v>396223</v>
      </c>
      <c r="CH86" s="9">
        <f>(CG86/CG85)-1</f>
        <v>0.080607199448000433</v>
      </c>
    </row>
    <row r="87" spans="1:97" ht="19.5">
      <c r="C87">
        <f>H86*D87</f>
        <v>1570.6592245785723</v>
      </c>
      <c r="D87">
        <f>D86</f>
        <v>0.0279472784965</v>
      </c>
      <c r="E87" t="s">
        <v>13</v>
      </c>
      <c r="F87" s="7">
        <v>43977</v>
      </c>
      <c r="G87" s="2"/>
      <c r="H87">
        <f>H86+C87</f>
        <v>57771.452614005568</v>
      </c>
      <c r="J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CF87" s="7">
        <v>43929</v>
      </c>
      <c r="CG87">
        <v>429052</v>
      </c>
      <c r="CH87" s="9">
        <f>(CG87/CG86)-1</f>
        <v>0.0828548569871006</v>
      </c>
    </row>
    <row r="88" spans="1:97" ht="19.5">
      <c r="C88">
        <f>H87*D88</f>
        <v>1614.5548753509665</v>
      </c>
      <c r="D88">
        <f>D87</f>
        <v>0.0279472784965</v>
      </c>
      <c r="E88" t="s">
        <v>14</v>
      </c>
      <c r="F88" s="7">
        <v>43978</v>
      </c>
      <c r="G88" s="2"/>
      <c r="H88">
        <f>H87+C88</f>
        <v>59386.007489356532</v>
      </c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F88" s="7">
        <v>43930</v>
      </c>
      <c r="CG88">
        <v>461437</v>
      </c>
      <c r="CH88" s="9">
        <f>(CG88/CG87)-1</f>
        <v>0.07548036135480074</v>
      </c>
    </row>
    <row r="89" spans="1:97" ht="19.5">
      <c r="C89">
        <f>H88*D89</f>
        <v>1659.6772901002817</v>
      </c>
      <c r="D89">
        <f>D88</f>
        <v>0.0279472784965</v>
      </c>
      <c r="E89" t="s">
        <v>15</v>
      </c>
      <c r="F89" s="7">
        <v>43979</v>
      </c>
      <c r="G89" s="2"/>
      <c r="H89">
        <f>H88+C89</f>
        <v>61045.684779456817</v>
      </c>
      <c r="J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F89" s="7">
        <v>43931</v>
      </c>
      <c r="CG89">
        <v>496535</v>
      </c>
      <c r="CH89" s="9">
        <f>(CG89/CG88)-1</f>
        <v>0.076062387714899371</v>
      </c>
    </row>
    <row r="90" spans="1:97" ht="19.5">
      <c r="C90">
        <f>H89*D90</f>
        <v>1706.0607535410309</v>
      </c>
      <c r="D90">
        <f>D89</f>
        <v>0.0279472784965</v>
      </c>
      <c r="E90" t="s">
        <v>16</v>
      </c>
      <c r="F90" s="7">
        <v>43980</v>
      </c>
      <c r="G90" s="2"/>
      <c r="H90">
        <f>H89+C90</f>
        <v>62751.745532997847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F90" s="7">
        <v>43932</v>
      </c>
      <c r="CG90">
        <v>526396</v>
      </c>
      <c r="CH90" s="9">
        <f>(CG90/CG89)-1</f>
        <v>0.060138761618012904</v>
      </c>
    </row>
    <row r="91" spans="1:97" ht="19.5">
      <c r="C91">
        <f>H90*D91</f>
        <v>1753.7405085521907</v>
      </c>
      <c r="D91">
        <f>D90</f>
        <v>0.0279472784965</v>
      </c>
      <c r="E91" t="s">
        <v>17</v>
      </c>
      <c r="F91" s="7">
        <v>43981</v>
      </c>
      <c r="G91" s="2"/>
      <c r="H91">
        <f>H90+C91</f>
        <v>64505.486041550037</v>
      </c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F91" s="7">
        <v>43933</v>
      </c>
      <c r="CG91">
        <v>555313</v>
      </c>
      <c r="CH91" s="9">
        <f>(CG91/CG90)-1</f>
        <v>0.054933928069362148</v>
      </c>
    </row>
    <row r="92" spans="1:97" ht="19.5">
      <c r="C92">
        <f>H91*D92</f>
        <v>1802.7527829552923</v>
      </c>
      <c r="D92">
        <f>D91</f>
        <v>0.0279472784965</v>
      </c>
      <c r="E92" t="s">
        <v>11</v>
      </c>
      <c r="F92" s="7">
        <v>43982</v>
      </c>
      <c r="G92" s="2"/>
      <c r="H92">
        <f>H91+C92</f>
        <v>66308.23882450533</v>
      </c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F92" s="7">
        <v>43934</v>
      </c>
      <c r="CG92">
        <v>580619</v>
      </c>
      <c r="CH92" s="9">
        <f>(CG92/CG91)-1</f>
        <v>0.045570696165946112</v>
      </c>
    </row>
    <row r="93" spans="1:97" ht="19.5">
      <c r="C93">
        <f>H92*D93</f>
        <v>1853.1348170408842</v>
      </c>
      <c r="D93">
        <f>D92</f>
        <v>0.0279472784965</v>
      </c>
      <c r="E93" t="s">
        <v>12</v>
      </c>
      <c r="F93" s="7">
        <v>43983</v>
      </c>
      <c r="G93" s="2"/>
      <c r="H93">
        <f>H92+C93</f>
        <v>68161.373641546219</v>
      </c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F93" s="7">
        <v>43935</v>
      </c>
      <c r="CG93">
        <v>607670</v>
      </c>
      <c r="CH93" s="9">
        <f>(CG93/CG92)-1</f>
        <v>0.046589932468624085</v>
      </c>
    </row>
    <row r="94" spans="1:97" ht="19.5">
      <c r="C94">
        <f>H93*D94</f>
        <v>1904.9248918642866</v>
      </c>
      <c r="D94">
        <f>D93</f>
        <v>0.0279472784965</v>
      </c>
      <c r="E94" t="s">
        <v>13</v>
      </c>
      <c r="F94" s="7">
        <v>43984</v>
      </c>
      <c r="G94" s="2"/>
      <c r="H94">
        <f>H93+C94</f>
        <v>70066.298533410503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F94" s="7">
        <v>43936</v>
      </c>
      <c r="CG94">
        <v>636350</v>
      </c>
      <c r="CH94" s="9">
        <f>(CG94/CG93)-1</f>
        <v>0.047196669244820466</v>
      </c>
    </row>
    <row r="95" spans="1:97" ht="19.5">
      <c r="C95">
        <f>H94*D95</f>
        <v>1958.1623583321327</v>
      </c>
      <c r="D95">
        <f>D94</f>
        <v>0.0279472784965</v>
      </c>
      <c r="E95" t="s">
        <v>14</v>
      </c>
      <c r="F95" s="7">
        <v>43985</v>
      </c>
      <c r="G95" s="2"/>
      <c r="H95">
        <f>H94+C95</f>
        <v>72024.460891742638</v>
      </c>
      <c r="J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F95" s="7">
        <v>43937</v>
      </c>
      <c r="CG95">
        <v>667801</v>
      </c>
      <c r="CH95" s="9">
        <f>(CG95/CG94)-1</f>
        <v>0.049424059086980332</v>
      </c>
    </row>
    <row r="96" spans="1:97" ht="19.5">
      <c r="C96">
        <f>H95*D96</f>
        <v>2012.8876671018043</v>
      </c>
      <c r="D96">
        <f>D95</f>
        <v>0.0279472784965</v>
      </c>
      <c r="E96" t="s">
        <v>15</v>
      </c>
      <c r="F96" s="7">
        <v>43986</v>
      </c>
      <c r="G96" s="2"/>
      <c r="H96">
        <f>H95+C96</f>
        <v>74037.348558844446</v>
      </c>
      <c r="J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F96" s="7">
        <v>43938</v>
      </c>
      <c r="CG96">
        <v>699706</v>
      </c>
      <c r="CH96" s="9">
        <f>(CG96/CG95)-1</f>
        <v>0.04777620878075961</v>
      </c>
    </row>
    <row r="97" spans="1:97" ht="19.5">
      <c r="C97">
        <f>H96*D97</f>
        <v>2069.1423993164685</v>
      </c>
      <c r="D97">
        <f>D96</f>
        <v>0.0279472784965</v>
      </c>
      <c r="E97" t="s">
        <v>16</v>
      </c>
      <c r="F97" s="7">
        <v>43987</v>
      </c>
      <c r="G97" s="2"/>
      <c r="H97">
        <f>H96+C97</f>
        <v>76106.49095816091</v>
      </c>
      <c r="J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F97" s="7">
        <v>43939</v>
      </c>
      <c r="CG97">
        <v>732197</v>
      </c>
      <c r="CH97" s="9">
        <f>(CG97/CG96)-1</f>
        <v>0.04643521707688647</v>
      </c>
    </row>
    <row r="98" spans="1:97" ht="19.5">
      <c r="C98">
        <f>H97*D98</f>
        <v>2126.969298199082</v>
      </c>
      <c r="D98">
        <f>D97</f>
        <v>0.0279472784965</v>
      </c>
      <c r="E98" t="s">
        <v>17</v>
      </c>
      <c r="F98" s="7">
        <v>43988</v>
      </c>
      <c r="G98" s="2"/>
      <c r="H98">
        <f>H97+C98</f>
        <v>78233.460256359991</v>
      </c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F98" s="7">
        <v>43940</v>
      </c>
      <c r="CG98">
        <v>758809</v>
      </c>
      <c r="CH98" s="9">
        <f>(CG98/CG97)-1</f>
        <v>0.036345409773599124</v>
      </c>
    </row>
    <row r="99" spans="1:97" ht="19.5">
      <c r="C99">
        <f>H98*D99</f>
        <v>2186.4123015293571</v>
      </c>
      <c r="D99">
        <f>D98</f>
        <v>0.0279472784965</v>
      </c>
      <c r="E99" t="s">
        <v>11</v>
      </c>
      <c r="F99" s="7">
        <v>43989</v>
      </c>
      <c r="G99" s="2"/>
      <c r="H99">
        <f>H98+C99</f>
        <v>80419.87255788935</v>
      </c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F99" s="7">
        <v>43941</v>
      </c>
      <c r="CG99">
        <v>784326</v>
      </c>
      <c r="CH99" s="9">
        <f>(CG99/CG98)-1</f>
        <v>0.033627698142747464</v>
      </c>
    </row>
    <row r="100" spans="1:97" ht="19.5">
      <c r="C100">
        <f>H99*D100</f>
        <v>2247.5165750283713</v>
      </c>
      <c r="D100">
        <f>D99</f>
        <v>0.0279472784965</v>
      </c>
      <c r="E100" t="s">
        <v>12</v>
      </c>
      <c r="F100" s="7">
        <v>43990</v>
      </c>
      <c r="G100" s="2"/>
      <c r="H100">
        <f>H99+C100</f>
        <v>82667.389132917728</v>
      </c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F100" s="7">
        <v>43942</v>
      </c>
      <c r="CG100">
        <v>811865</v>
      </c>
      <c r="CH100" s="9">
        <f>(CG100/CG99)-1</f>
        <v>0.03511167550227845</v>
      </c>
    </row>
    <row r="101" spans="1:97" ht="19.5">
      <c r="C101">
        <f>H100*D101</f>
        <v>2310.3285466761895</v>
      </c>
      <c r="D101">
        <f>D100</f>
        <v>0.0279472784965</v>
      </c>
      <c r="E101" t="s">
        <v>13</v>
      </c>
      <c r="F101" s="7">
        <v>43991</v>
      </c>
      <c r="G101" s="2"/>
      <c r="H101">
        <f>H100+C101</f>
        <v>84977.717679593916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F101" s="7">
        <v>43943</v>
      </c>
      <c r="CG101">
        <v>840351</v>
      </c>
      <c r="CH101" s="9">
        <f>(CG101/CG100)-1</f>
        <v>0.035087114236972861</v>
      </c>
    </row>
    <row r="102" spans="1:97" ht="19.5">
      <c r="C102">
        <f>H101*D102</f>
        <v>2374.8959419885628</v>
      </c>
      <c r="D102">
        <f>D101</f>
        <v>0.0279472784965</v>
      </c>
      <c r="E102" t="s">
        <v>14</v>
      </c>
      <c r="F102" s="7">
        <v>43992</v>
      </c>
      <c r="G102" s="2"/>
      <c r="H102">
        <f>H101+C102</f>
        <v>87352.613621582481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F102" s="7">
        <v>43944</v>
      </c>
      <c r="CG102">
        <v>869170</v>
      </c>
      <c r="CH102" s="9">
        <f>(CG102/CG101)-1</f>
        <v>0.034294003339080836</v>
      </c>
      <c r="CJ102" t="inlineStr">
        <is>
          <t>preliminary or provisional</t>
        </is>
      </c>
    </row>
    <row r="103" spans="1:97" ht="19.5">
      <c r="C103">
        <f>H102*D103</f>
        <v>2441.267820279525</v>
      </c>
      <c r="D103">
        <f>D102</f>
        <v>0.0279472784965</v>
      </c>
      <c r="E103" t="s">
        <v>15</v>
      </c>
      <c r="F103" s="7">
        <v>43993</v>
      </c>
      <c r="G103" s="2"/>
      <c r="H103">
        <f>H102+C103</f>
        <v>89793.881441862002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E103" t="inlineStr">
        <is>
          <t>May be current (likely to be):</t>
        </is>
      </c>
      <c r="CF103" s="7">
        <v>43945</v>
      </c>
      <c r="CG103">
        <v>905358</v>
      </c>
      <c r="CH103" s="9">
        <f>(CG103/CG102)-1</f>
        <v>0.041635123163477727</v>
      </c>
      <c r="CJ103" t="inlineStr">
        <is>
          <t>(early return on this LINE 103)</t>
        </is>
      </c>
    </row>
    <row r="104" spans="1:97" ht="19.5">
      <c r="C104">
        <f>H103*D104</f>
        <v>2509.4946119374204</v>
      </c>
      <c r="D104">
        <f>D103</f>
        <v>0.0279472784965</v>
      </c>
      <c r="E104" t="s">
        <v>16</v>
      </c>
      <c r="F104" s="7">
        <v>43994</v>
      </c>
      <c r="G104" s="2"/>
      <c r="H104">
        <f>H103+C104</f>
        <v>92303.376053799424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E104" t="inlineStr">
        <is>
          <t>TENTATIVE</t>
        </is>
      </c>
      <c r="CF104" s="7">
        <v>43946</v>
      </c>
      <c r="CG104">
        <v>938154</v>
      </c>
      <c r="CH104" s="9">
        <f>(CG104/CG103)-1</f>
        <v>0.036224344402987496</v>
      </c>
    </row>
    <row r="105" spans="1:97" ht="19.5">
      <c r="C105">
        <f>H104*D105</f>
        <v>2579.6281567427018</v>
      </c>
      <c r="D105">
        <f>D104</f>
        <v>0.0279472784965</v>
      </c>
      <c r="E105" t="s">
        <v>17</v>
      </c>
      <c r="F105" s="7">
        <v>43995</v>
      </c>
      <c r="G105" s="2"/>
      <c r="H105">
        <f>H104+C105</f>
        <v>94883.004210542131</v>
      </c>
      <c r="R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  <c r="AT105" s="1"/>
      <c r="AU105" s="1"/>
      <c r="AW105" s="1"/>
      <c r="AX105" s="1"/>
      <c r="AY105" s="1"/>
      <c r="AZ105" s="1"/>
      <c r="BA105" s="1"/>
      <c r="BB105" s="1"/>
      <c r="CG105" s="1"/>
      <c r="CJ105" t="inlineStr">
        <is>
          <t>The 905,358 number is unique in</t>
        </is>
      </c>
    </row>
    <row r="106" spans="1:97" ht="19.5">
      <c r="C106">
        <f>H105*D106</f>
        <v>2651.7217432566031</v>
      </c>
      <c r="D106">
        <f>D105</f>
        <v>0.0279472784965</v>
      </c>
      <c r="E106" t="s">
        <v>11</v>
      </c>
      <c r="F106" s="7">
        <v>43996</v>
      </c>
      <c r="G106" s="2"/>
      <c r="H106">
        <f>H105+C106</f>
        <v>97534.725953798741</v>
      </c>
      <c r="R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  <c r="AT106" s="1"/>
      <c r="AU106" s="1"/>
      <c r="AW106" s="1"/>
      <c r="AX106" s="1"/>
      <c r="AY106" s="1"/>
      <c r="AZ106" s="1"/>
      <c r="BA106" s="1"/>
      <c r="BB106" s="1"/>
      <c r="CG106" s="1"/>
      <c r="CJ106" t="inlineStr">
        <is>
          <t>this series, as the first unreliable</t>
        </is>
      </c>
    </row>
    <row r="107" spans="1:97" ht="19.5">
      <c r="C107">
        <f>H106*D107</f>
        <v>2725.8301493106201</v>
      </c>
      <c r="D107">
        <f>D106</f>
        <v>0.0279472784965</v>
      </c>
      <c r="E107" t="s">
        <v>12</v>
      </c>
      <c r="F107" s="7">
        <v>43997</v>
      </c>
      <c r="G107" s="2"/>
      <c r="H107">
        <f>H106+C107</f>
        <v>100260.55610310937</v>
      </c>
      <c r="R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  <c r="BA107" s="1"/>
      <c r="BB107" s="1"/>
      <c r="CG107" s="1"/>
      <c r="CJ107" t="inlineStr">
        <is>
          <t>value in the series.</t>
        </is>
      </c>
    </row>
    <row r="108" spans="1:97" ht="19.5">
      <c r="C108">
        <f>H107*D108</f>
        <v>2802.0096836275602</v>
      </c>
      <c r="D108">
        <f>D107</f>
        <v>0.0279472784965</v>
      </c>
      <c r="E108" t="s">
        <v>13</v>
      </c>
      <c r="F108" s="7">
        <v>43998</v>
      </c>
      <c r="G108" s="2"/>
      <c r="H108">
        <f>H107+C108</f>
        <v>103062.56578673693</v>
      </c>
      <c r="R108" s="1"/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  <c r="BA108" s="1"/>
      <c r="BB108" s="1"/>
      <c r="CG108" s="1"/>
      <c r="CH108" s="1"/>
    </row>
    <row r="109" spans="1:97" ht="19.5">
      <c r="C109">
        <f>H108*D109</f>
        <v>2880.3182286057895</v>
      </c>
      <c r="D109">
        <f>D108</f>
        <v>0.0279472784965</v>
      </c>
      <c r="E109" t="s">
        <v>14</v>
      </c>
      <c r="F109" s="7">
        <v>43999</v>
      </c>
      <c r="G109" s="2"/>
      <c r="H109">
        <f>H108+C109</f>
        <v>105942.88401534272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G109" s="1"/>
      <c r="CJ109" t="inlineStr">
        <is>
          <t>It may in fact become a reliable value,</t>
        </is>
      </c>
    </row>
    <row r="110" spans="1:97" ht="19.5">
      <c r="C110">
        <f>H109*D110</f>
        <v>2960.8152842991813</v>
      </c>
      <c r="D110">
        <f>D109</f>
        <v>0.0279472784965</v>
      </c>
      <c r="E110" t="s">
        <v>15</v>
      </c>
      <c r="F110" s="7">
        <v>44000</v>
      </c>
      <c r="G110" s="2"/>
      <c r="H110">
        <f>H109+C110</f>
        <v>108903.6992996419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G110" s="1"/>
      <c r="CH110" s="1"/>
      <c r="CJ110" t="inlineStr">
        <is>
          <t>24 hours later - it is assumed that once</t>
        </is>
      </c>
    </row>
    <row r="111" spans="1:97" ht="19.5">
      <c r="C111">
        <f>H110*D111</f>
        <v>3043.5620136261841</v>
      </c>
      <c r="D111">
        <f>D110</f>
        <v>0.0279472784965</v>
      </c>
      <c r="E111" t="s">
        <v>16</v>
      </c>
      <c r="F111" s="7">
        <v>44001</v>
      </c>
      <c r="G111" s="2"/>
      <c r="H111">
        <f>H110+C111</f>
        <v>111947.26131326809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G111" s="1"/>
      <c r="CJ111" t="inlineStr">
        <is>
          <t>the value that follows it has been issued,</t>
        </is>
      </c>
    </row>
    <row r="112" spans="1:97" ht="19.5">
      <c r="C112">
        <f>H111*D112</f>
        <v>3128.6212888423634</v>
      </c>
      <c r="D112">
        <f>D111</f>
        <v>0.0279472784965</v>
      </c>
      <c r="E112" t="s">
        <v>17</v>
      </c>
      <c r="F112" s="7">
        <v>44002</v>
      </c>
      <c r="G112" s="2"/>
      <c r="H112">
        <f>H111+C112</f>
        <v>115075.88260211045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G112" s="1"/>
      <c r="CJ112" t="inlineStr">
        <is>
          <t>its value will not change again (and, at</t>
        </is>
      </c>
    </row>
    <row r="113" spans="1:97" ht="19.5">
      <c r="C113">
        <f>H112*D113</f>
        <v>3216.0577393117196</v>
      </c>
      <c r="D113">
        <f>D112</f>
        <v>0.0279472784965</v>
      </c>
      <c r="E113" t="s">
        <v>11</v>
      </c>
      <c r="F113" s="7">
        <v>44003</v>
      </c>
      <c r="G113" s="2"/>
      <c r="H113">
        <f>H112+C113</f>
        <v>118291.94034142216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G113" s="1"/>
      <c r="CJ113" t="inlineStr">
        <is>
          <t>that time, it will become a reliable</t>
        </is>
      </c>
    </row>
    <row r="114" spans="1:97" ht="19.5">
      <c r="C114">
        <f>H113*D114</f>
        <v>3305.9378006130883</v>
      </c>
      <c r="D114">
        <f>D113</f>
        <v>0.0279472784965</v>
      </c>
      <c r="E114" t="s">
        <v>12</v>
      </c>
      <c r="F114" s="7">
        <v>44004</v>
      </c>
      <c r="G114" s="2"/>
      <c r="H114">
        <f>H113+C114</f>
        <v>121597.87814203525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G114" s="1"/>
      <c r="CJ114" t="inlineStr">
        <is>
          <t>value in this series).</t>
        </is>
      </c>
    </row>
    <row r="115" spans="1:97" ht="19.5">
      <c r="C115">
        <f>H114*D115</f>
        <v>3398.3297650189288</v>
      </c>
      <c r="D115">
        <f>D114</f>
        <v>0.0279472784965</v>
      </c>
      <c r="E115" t="s">
        <v>13</v>
      </c>
      <c r="F115" s="7">
        <v>44005</v>
      </c>
      <c r="G115" s="2"/>
      <c r="H115">
        <f>H114+C115</f>
        <v>124996.20790705418</v>
      </c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CG115" s="1"/>
      <c r="CH115" s="1"/>
    </row>
    <row r="116" spans="1:97" ht="19.5">
      <c r="C116">
        <f>H115*D116</f>
        <v>3493.3038333848585</v>
      </c>
      <c r="D116">
        <f>D115</f>
        <v>0.0279472784965</v>
      </c>
      <c r="E116" t="s">
        <v>14</v>
      </c>
      <c r="F116" s="7">
        <v>44006</v>
      </c>
      <c r="G116" s="2"/>
      <c r="H116">
        <f>H115+C116</f>
        <v>128489.51174043903</v>
      </c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CG116" s="1"/>
    </row>
    <row r="117" spans="1:97" ht="19.5">
      <c r="C117">
        <f>H116*D117</f>
        <v>3590.9321684893562</v>
      </c>
      <c r="D117">
        <f>D116</f>
        <v>0.0279472784965</v>
      </c>
      <c r="E117" t="s">
        <v>15</v>
      </c>
      <c r="F117" s="7">
        <v>44007</v>
      </c>
      <c r="G117" s="2"/>
      <c r="H117">
        <f>H116+C117</f>
        <v>132080.4439089284</v>
      </c>
      <c r="J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CG117" s="1"/>
      <c r="CH117" s="1"/>
    </row>
    <row r="118" spans="1:97" ht="19.5">
      <c r="C118">
        <f>H117*D118</f>
        <v>3691.2889498641689</v>
      </c>
      <c r="D118">
        <f>D117</f>
        <v>0.0279472784965</v>
      </c>
      <c r="E118" t="s">
        <v>16</v>
      </c>
      <c r="F118" s="7">
        <v>44008</v>
      </c>
      <c r="G118" s="2"/>
      <c r="H118">
        <f>H117+C118</f>
        <v>135771.73285879256</v>
      </c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CG118" s="1"/>
      <c r="CH118" s="1"/>
    </row>
    <row r="119" spans="1:97" ht="19.5">
      <c r="C119">
        <f>H118*D119</f>
        <v>3794.4504301570755</v>
      </c>
      <c r="D119">
        <f>D118</f>
        <v>0.0279472784965</v>
      </c>
      <c r="E119" t="s">
        <v>17</v>
      </c>
      <c r="F119" s="7">
        <v>44009</v>
      </c>
      <c r="G119" s="2"/>
      <c r="H119">
        <f>H118+C119</f>
        <v>139566.18328894963</v>
      </c>
      <c r="J119" s="1"/>
      <c r="K119" s="1"/>
      <c r="L119" s="1"/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G119" s="1"/>
      <c r="CH119" s="1"/>
    </row>
    <row r="120" spans="1:97" ht="19.5">
      <c r="C120">
        <f>H119*D120</f>
        <v>3900.4949930698394</v>
      </c>
      <c r="D120">
        <f>D119</f>
        <v>0.0279472784965</v>
      </c>
      <c r="E120" t="s">
        <v>11</v>
      </c>
      <c r="F120" s="7">
        <v>44010</v>
      </c>
      <c r="G120" s="2"/>
      <c r="H120">
        <f>H119+C120</f>
        <v>143466.67828201948</v>
      </c>
      <c r="J120" s="1"/>
      <c r="K120" s="1"/>
      <c r="L120" s="1"/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G120" s="1"/>
      <c r="CH120" s="2"/>
    </row>
    <row r="121" spans="1:97" ht="19.5">
      <c r="C121">
        <f>H120*D121</f>
        <v>4009.5032129153665</v>
      </c>
      <c r="D121">
        <f>D120</f>
        <v>0.0279472784965</v>
      </c>
      <c r="E121" t="s">
        <v>12</v>
      </c>
      <c r="F121" s="7">
        <v>44011</v>
      </c>
      <c r="G121" s="2"/>
      <c r="H121">
        <f>H120+C121</f>
        <v>147476.18149493483</v>
      </c>
      <c r="J121" s="1"/>
      <c r="K121" s="1"/>
      <c r="L121" s="1"/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G121" s="1"/>
      <c r="CH121" s="2"/>
    </row>
    <row r="122" spans="1:97" ht="19.5">
      <c r="C122">
        <f>H121*D122</f>
        <v>4121.5579158393239</v>
      </c>
      <c r="D122">
        <f>D121</f>
        <v>0.0279472784965</v>
      </c>
      <c r="E122" t="s">
        <v>13</v>
      </c>
      <c r="F122" s="7">
        <v>44012</v>
      </c>
      <c r="G122" s="2"/>
      <c r="H122">
        <f>H121+C122</f>
        <v>151597.73941077417</v>
      </c>
      <c r="J122" s="1"/>
      <c r="K122" s="1"/>
      <c r="L122" s="1"/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G122" s="1"/>
      <c r="CH122" s="2"/>
    </row>
    <row r="123" spans="1:97" ht="19.5">
      <c r="C123">
        <f>H122*D123</f>
        <v>4236.7442427527394</v>
      </c>
      <c r="D123">
        <f>D122</f>
        <v>0.0279472784965</v>
      </c>
      <c r="E123" t="s">
        <v>14</v>
      </c>
      <c r="F123" s="7">
        <v>44013</v>
      </c>
      <c r="G123" s="2"/>
      <c r="H123">
        <f>H122+C123</f>
        <v>155834.4836535269</v>
      </c>
      <c r="J123" s="1"/>
      <c r="K123" s="1"/>
      <c r="L123" s="1"/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G123" s="1"/>
      <c r="CH123" s="2"/>
    </row>
    <row r="124" spans="1:97" ht="19.5">
      <c r="C124">
        <f>H123*D124</f>
        <v>4355.1497140233932</v>
      </c>
      <c r="D124">
        <f>D123</f>
        <v>0.0279472784965</v>
      </c>
      <c r="E124" t="s">
        <v>15</v>
      </c>
      <c r="F124" s="7">
        <v>44014</v>
      </c>
      <c r="G124" s="2"/>
      <c r="H124">
        <f>H123+C124</f>
        <v>160189.6333675503</v>
      </c>
      <c r="J124" s="1"/>
      <c r="K124" s="1"/>
      <c r="L124" s="1"/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G124" s="1"/>
      <c r="CH124" s="2"/>
    </row>
    <row r="125" spans="1:97" ht="19.5">
      <c r="C125">
        <f>H124*D125</f>
        <v>4476.8642959751569</v>
      </c>
      <c r="D125">
        <f>D124</f>
        <v>0.0279472784965</v>
      </c>
      <c r="E125" t="s">
        <v>16</v>
      </c>
      <c r="F125" s="7">
        <v>44015</v>
      </c>
      <c r="G125" s="2"/>
      <c r="H125">
        <f>H124+C125</f>
        <v>164666.49766352546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G125" s="1"/>
      <c r="CH125" s="2"/>
    </row>
    <row r="126" spans="1:97" ht="19.5">
      <c r="C126">
        <f>H125*D126</f>
        <v>4601.9804692458129</v>
      </c>
      <c r="D126">
        <f>D125</f>
        <v>0.0279472784965</v>
      </c>
      <c r="E126" t="s">
        <v>17</v>
      </c>
      <c r="F126" s="7">
        <v>44016</v>
      </c>
      <c r="G126" s="2"/>
      <c r="H126">
        <f>H125+C126</f>
        <v>169268.47813277127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G126" s="1"/>
      <c r="CH126" s="2"/>
    </row>
    <row r="127" spans="1:97" ht="19.5">
      <c r="C127">
        <f>H126*D127</f>
        <v>4730.5932990552792</v>
      </c>
      <c r="D127">
        <f>D126</f>
        <v>0.0279472784965</v>
      </c>
      <c r="E127" t="s">
        <v>11</v>
      </c>
      <c r="F127" s="7">
        <v>44017</v>
      </c>
      <c r="G127" s="2"/>
      <c r="H127">
        <f>H126+C127</f>
        <v>173999.07143182654</v>
      </c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</row>
    <row r="128" spans="1:97" ht="19.5">
      <c r="C128">
        <f>H127*D128</f>
        <v>4862.8005074376533</v>
      </c>
      <c r="D128">
        <f>D127</f>
        <v>0.0279472784965</v>
      </c>
      <c r="E128" t="s">
        <v>12</v>
      </c>
      <c r="F128" s="7">
        <v>44018</v>
      </c>
      <c r="G128" s="2"/>
      <c r="H128">
        <f>H127+C128</f>
        <v>178861.87193926418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</row>
    <row r="129" spans="1:97" ht="19.5">
      <c r="C129">
        <f>H128*D129</f>
        <v>4998.7025474919346</v>
      </c>
      <c r="D129">
        <f>D128</f>
        <v>0.0279472784965</v>
      </c>
      <c r="E129" t="s">
        <v>13</v>
      </c>
      <c r="F129" s="7">
        <v>44019</v>
      </c>
      <c r="G129" s="2"/>
      <c r="H129">
        <f>H128+C129</f>
        <v>183860.57448675612</v>
      </c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</row>
    <row r="130" spans="1:97" ht="19.5">
      <c r="C130">
        <f>H129*D130</f>
        <v>5138.4026797078559</v>
      </c>
      <c r="D130">
        <f>D129</f>
        <v>0.0279472784965</v>
      </c>
      <c r="E130" t="s">
        <v>14</v>
      </c>
      <c r="F130" s="7">
        <v>44020</v>
      </c>
      <c r="G130" s="2"/>
      <c r="H130">
        <f>H129+C130</f>
        <v>188998.97716646397</v>
      </c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</row>
    <row r="131" spans="1:97" ht="19.5">
      <c r="C131">
        <f>H130*D131</f>
        <v>5282.0070504248133</v>
      </c>
      <c r="D131">
        <f>D130</f>
        <v>0.0279472784965</v>
      </c>
      <c r="E131" t="s">
        <v>15</v>
      </c>
      <c r="F131" s="7">
        <v>44021</v>
      </c>
      <c r="G131" s="2"/>
      <c r="H131">
        <f>H130+C131</f>
        <v>194280.98421688878</v>
      </c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</row>
    <row r="132" spans="1:97" ht="19.5">
      <c r="C132">
        <f>H131*D132</f>
        <v>5429.6247724835121</v>
      </c>
      <c r="D132">
        <f>D131</f>
        <v>0.0279472784965</v>
      </c>
      <c r="E132" t="s">
        <v>16</v>
      </c>
      <c r="F132" s="7">
        <v>44022</v>
      </c>
      <c r="H132">
        <f>H131+C132</f>
        <v>199710.6089893723</v>
      </c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</row>
    <row r="133" spans="1:97" ht="19.5">
      <c r="C133">
        <f>H132*D133</f>
        <v>5581.3680081316043</v>
      </c>
      <c r="D133">
        <f>D132</f>
        <v>0.0279472784965</v>
      </c>
      <c r="E133" t="s">
        <v>17</v>
      </c>
      <c r="F133" s="7">
        <v>44023</v>
      </c>
      <c r="H133">
        <f>H132+C133</f>
        <v>205291.97699750389</v>
      </c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AW133" s="1"/>
      <c r="AX133" s="1"/>
    </row>
    <row r="134" spans="1:97" ht="19.5">
      <c r="C134">
        <f>H133*D134</f>
        <v>5737.3520542463129</v>
      </c>
      <c r="D134">
        <f>D133</f>
        <v>0.0279472784965</v>
      </c>
      <c r="E134" t="s">
        <v>11</v>
      </c>
      <c r="F134" s="7">
        <v>44024</v>
      </c>
      <c r="H134">
        <f>H133+C134</f>
        <v>211029.32905175022</v>
      </c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</row>
    <row r="135" spans="1:97" ht="19.5">
      <c r="C135">
        <f>H134*D135</f>
        <v>5897.6954299388017</v>
      </c>
      <c r="D135">
        <f>D134</f>
        <v>0.0279472784965</v>
      </c>
      <c r="E135" t="s">
        <v>12</v>
      </c>
      <c r="F135" s="7">
        <v>44025</v>
      </c>
      <c r="H135">
        <f>H134+C135</f>
        <v>216927.02448168903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</row>
    <row r="136" spans="1:97" ht="19.5">
      <c r="C136">
        <f>H135*D136</f>
        <v>6062.5199666068365</v>
      </c>
      <c r="D136">
        <f>D135</f>
        <v>0.0279472784965</v>
      </c>
      <c r="E136" t="s">
        <v>13</v>
      </c>
      <c r="F136" s="7">
        <v>44026</v>
      </c>
      <c r="H136">
        <f>H135+C136</f>
        <v>222989.54444829587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</row>
    <row r="137" spans="1:97" ht="19.5">
      <c r="C137">
        <f>H136*D137</f>
        <v>6231.95090050419</v>
      </c>
      <c r="D137">
        <f>D136</f>
        <v>0.0279472784965</v>
      </c>
      <c r="E137" t="s">
        <v>14</v>
      </c>
      <c r="F137" s="7">
        <v>44027</v>
      </c>
      <c r="H137">
        <f>H136+C137</f>
        <v>229221.49534880006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</row>
    <row r="138" spans="1:97" ht="19.5">
      <c r="C138">
        <f>H137*D138</f>
        <v>6406.1169678970946</v>
      </c>
      <c r="D138">
        <f>D137</f>
        <v>0.0279472784965</v>
      </c>
      <c r="E138" t="s">
        <v>15</v>
      </c>
      <c r="F138" s="7">
        <v>44028</v>
      </c>
      <c r="H138">
        <f>H137+C138</f>
        <v>235627.61231669717</v>
      </c>
    </row>
    <row r="139" spans="1:97" ht="19.5">
      <c r="C139">
        <f>H138*D139</f>
        <v>6585.1505028800693</v>
      </c>
      <c r="D139">
        <f>D138</f>
        <v>0.0279472784965</v>
      </c>
      <c r="E139" t="s">
        <v>16</v>
      </c>
      <c r="F139" s="7">
        <v>44029</v>
      </c>
      <c r="H139">
        <f>H138+C139</f>
        <v>242212.76281957724</v>
      </c>
    </row>
    <row r="140" spans="1:97" ht="19.5">
      <c r="C140">
        <f>H139*D140</f>
        <v>6769.1875379254261</v>
      </c>
      <c r="D140">
        <f>D139</f>
        <v>0.0279472784965</v>
      </c>
      <c r="E140" t="s">
        <v>17</v>
      </c>
      <c r="F140" s="7">
        <v>44030</v>
      </c>
      <c r="H140">
        <f>H139+C140</f>
        <v>248981.95035750268</v>
      </c>
    </row>
    <row r="141" spans="1:97" ht="19.5">
      <c r="C141">
        <f>H140*D141</f>
        <v>6958.3679072428649</v>
      </c>
      <c r="D141">
        <f>D140</f>
        <v>0.0279472784965</v>
      </c>
      <c r="E141" t="s">
        <v>11</v>
      </c>
      <c r="F141" s="7">
        <v>44031</v>
      </c>
      <c r="H141">
        <f>H140+C141</f>
        <v>255940.31826474555</v>
      </c>
    </row>
    <row r="142" spans="1:97" ht="19.5">
      <c r="C142">
        <f>H141*D142</f>
        <v>7152.83535302769</v>
      </c>
      <c r="D142">
        <f>D141</f>
        <v>0.0279472784965</v>
      </c>
      <c r="E142" t="s">
        <v>12</v>
      </c>
      <c r="F142" s="7">
        <v>44032</v>
      </c>
      <c r="H142">
        <f>H141+C142</f>
        <v>263093.15361777326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</row>
    <row r="143" spans="1:97" ht="19.5">
      <c r="C143">
        <f>H142*D143</f>
        <v>7352.7376346783658</v>
      </c>
      <c r="D143">
        <f>D142</f>
        <v>0.0279472784965</v>
      </c>
      <c r="E143" t="s">
        <v>13</v>
      </c>
      <c r="F143" s="7">
        <v>44033</v>
      </c>
      <c r="H143">
        <f>H142+C143</f>
        <v>270445.89125245163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</row>
    <row r="144" spans="1:97" ht="19.5">
      <c r="C144">
        <f>H143*D144</f>
        <v>7558.2266410664188</v>
      </c>
      <c r="D144">
        <f>D143</f>
        <v>0.0279472784965</v>
      </c>
      <c r="E144" t="s">
        <v>14</v>
      </c>
      <c r="F144" s="7">
        <v>44034</v>
      </c>
      <c r="H144">
        <f>H143+C144</f>
        <v>278004.11789351807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</row>
    <row r="145" spans="1:97" ht="19.5">
      <c r="C145">
        <f>H144*D145</f>
        <v>7769.4585059439687</v>
      </c>
      <c r="D145">
        <f>D144</f>
        <v>0.0279472784965</v>
      </c>
      <c r="E145" t="s">
        <v>15</v>
      </c>
      <c r="F145" s="7">
        <v>44035</v>
      </c>
      <c r="H145">
        <f>H144+C145</f>
        <v>285773.57639946201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</row>
    <row r="146" spans="1:97" ht="19.5">
      <c r="C146">
        <f>H145*D146</f>
        <v>7986.5937265765842</v>
      </c>
      <c r="D146">
        <f>D145</f>
        <v>0.0279472784965</v>
      </c>
      <c r="E146" t="s">
        <v>16</v>
      </c>
      <c r="F146" s="7">
        <v>44036</v>
      </c>
      <c r="H146">
        <f>H145+C146</f>
        <v>293760.1701260386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</row>
    <row r="147" spans="1:97" ht="21">
      <c r="C147">
        <f>H146*D147</f>
        <v>8209.7972856916203</v>
      </c>
      <c r="D147">
        <f>D146</f>
        <v>0.0279472784965</v>
      </c>
      <c r="E147" t="s">
        <v>17</v>
      </c>
      <c r="F147" s="7">
        <v>44037</v>
      </c>
      <c r="H147">
        <f>H146+C147</f>
        <v>301969.96741173021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AX147" s="1"/>
      <c r="AY147" s="1"/>
      <c r="AZ147" s="1"/>
      <c r="BA147" s="1"/>
    </row>
    <row r="148" spans="1:97" ht="19.5">
      <c r="C148">
        <f>H147*D148</f>
        <v>8439.2387768346525</v>
      </c>
      <c r="D148">
        <f>D147</f>
        <v>0.0279472784965</v>
      </c>
      <c r="E148" t="s">
        <v>11</v>
      </c>
      <c r="F148" s="7">
        <v>44038</v>
      </c>
      <c r="H148">
        <f>H147+C148</f>
        <v>310409.20618856489</v>
      </c>
      <c r="S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I148" s="1"/>
      <c r="AX148" s="1"/>
      <c r="AY148" s="1"/>
      <c r="AZ148" s="1"/>
      <c r="BA148" s="1"/>
    </row>
    <row r="149" spans="1:97" ht="21">
      <c r="C149">
        <f>H148*D149</f>
        <v>8675.0925332293136</v>
      </c>
      <c r="D149">
        <f>D148</f>
        <v>0.0279472784965</v>
      </c>
      <c r="E149" t="s">
        <v>12</v>
      </c>
      <c r="F149" s="7">
        <v>44039</v>
      </c>
      <c r="H149">
        <f>H148+C149</f>
        <v>319084.29872179421</v>
      </c>
      <c r="S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I149" s="1"/>
      <c r="AX149" s="1"/>
      <c r="AY149" s="1"/>
      <c r="AZ149" s="1"/>
      <c r="BA149" s="1"/>
    </row>
    <row r="150" spans="1:97" ht="21">
      <c r="C150">
        <f>H149*D150</f>
        <v>8917.5377602383815</v>
      </c>
      <c r="D150">
        <f>D149</f>
        <v>0.0279472784965</v>
      </c>
      <c r="E150" t="s">
        <v>13</v>
      </c>
      <c r="F150" s="7">
        <v>44040</v>
      </c>
      <c r="H150">
        <f>H149+C150</f>
        <v>328001.83648203261</v>
      </c>
      <c r="S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I150" s="1"/>
      <c r="AX150" s="1"/>
      <c r="AY150" s="1"/>
      <c r="AZ150" s="1"/>
      <c r="BA150" s="1"/>
    </row>
    <row r="151" spans="1:97" ht="21">
      <c r="C151">
        <f>H150*D151</f>
        <v>9166.7586715268189</v>
      </c>
      <c r="D151">
        <f>D150</f>
        <v>0.0279472784965</v>
      </c>
      <c r="E151" t="s">
        <v>14</v>
      </c>
      <c r="F151" s="7">
        <v>44041</v>
      </c>
      <c r="H151">
        <f>H150+C151</f>
        <v>337168.59515355941</v>
      </c>
      <c r="S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I151" s="1"/>
      <c r="AX151" s="1"/>
      <c r="AY151" s="1"/>
      <c r="AZ151" s="1"/>
      <c r="BA151" s="1"/>
    </row>
    <row r="152" spans="1:97" ht="21">
      <c r="C152">
        <f>H151*D152</f>
        <v>9422.9446290301858</v>
      </c>
      <c r="D152">
        <f>D151</f>
        <v>0.0279472784965</v>
      </c>
      <c r="E152" t="s">
        <v>15</v>
      </c>
      <c r="F152" s="7">
        <v>44042</v>
      </c>
      <c r="H152">
        <f>H151+C152</f>
        <v>346591.53978258959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AX152" s="1"/>
      <c r="AY152" s="1"/>
      <c r="AZ152" s="1"/>
      <c r="BA152" s="1"/>
    </row>
    <row r="153" spans="1:97" ht="21">
      <c r="C153">
        <f>H152*D153</f>
        <v>9686.2902868347901</v>
      </c>
      <c r="D153">
        <f>D152</f>
        <v>0.0279472784965</v>
      </c>
      <c r="E153" t="s">
        <v>16</v>
      </c>
      <c r="F153" s="7">
        <v>44043</v>
      </c>
      <c r="H153">
        <f>H152+C153</f>
        <v>356277.83006942441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AM153" s="1"/>
      <c r="AW153" s="1"/>
      <c r="AX153" s="1"/>
      <c r="AY153" s="1"/>
      <c r="AZ153" s="1"/>
      <c r="BA153" s="1"/>
      <c r="BE153" s="1"/>
    </row>
    <row r="154" spans="1:97" ht="21">
      <c r="C154">
        <f>H153*D154</f>
        <v>9956.9957390789059</v>
      </c>
      <c r="D154">
        <f>D153</f>
        <v>0.0279472784965</v>
      </c>
      <c r="E154" t="s">
        <v>17</v>
      </c>
      <c r="F154" s="7">
        <v>44044</v>
      </c>
      <c r="H154">
        <f>H153+C154</f>
        <v>366234.82580850332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AX154" s="1"/>
      <c r="AY154" s="1"/>
      <c r="AZ154" s="1"/>
      <c r="BA154" s="1"/>
    </row>
    <row r="155" spans="1:97" ht="21">
      <c r="C155">
        <f>H154*D155</f>
        <v>10235.266671987409</v>
      </c>
      <c r="D155">
        <f>D154</f>
        <v>0.0279472784965</v>
      </c>
      <c r="E155" t="s">
        <v>11</v>
      </c>
      <c r="F155" s="7">
        <v>44045</v>
      </c>
      <c r="H155">
        <f>H154+C155</f>
        <v>376470.09248049074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AX155" s="1"/>
      <c r="AY155" s="1"/>
      <c r="AZ155" s="1"/>
      <c r="BA155" s="1"/>
    </row>
    <row r="156" spans="1:97" ht="21">
      <c r="C156">
        <f>H155*D156</f>
        <v>10521.314520155385</v>
      </c>
      <c r="D156">
        <f>D155</f>
        <v>0.0279472784965</v>
      </c>
      <c r="E156" t="s">
        <v>12</v>
      </c>
      <c r="F156" s="7">
        <v>44046</v>
      </c>
      <c r="H156">
        <f>H155+C156</f>
        <v>386991.40700064611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AX156" s="1"/>
      <c r="AY156" s="1"/>
      <c r="AZ156" s="1"/>
      <c r="BA156" s="1"/>
    </row>
    <row r="157" spans="1:97" ht="21">
      <c r="C157">
        <f>H156*D157</f>
        <v>10815.356627199437</v>
      </c>
      <c r="D157">
        <f>D156</f>
        <v>0.0279472784965</v>
      </c>
      <c r="E157" t="s">
        <v>13</v>
      </c>
      <c r="F157" s="7">
        <v>44047</v>
      </c>
      <c r="H157">
        <f>H156+C157</f>
        <v>397806.76362784556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</row>
    <row r="158" spans="1:97" ht="21">
      <c r="C158">
        <f>H157*D158</f>
        <v>11117.616410898747</v>
      </c>
      <c r="D158">
        <f>D157</f>
        <v>0.0279472784965</v>
      </c>
      <c r="E158" t="s">
        <v>14</v>
      </c>
      <c r="F158" s="7">
        <v>44048</v>
      </c>
      <c r="H158">
        <f>H157+C158</f>
        <v>408924.3800387443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</row>
    <row r="159" spans="1:97" ht="19.5">
      <c r="C159">
        <f>H158*D159</f>
        <v>11428.323532951392</v>
      </c>
      <c r="D159">
        <f>D158</f>
        <v>0.0279472784965</v>
      </c>
      <c r="E159" t="s">
        <v>15</v>
      </c>
      <c r="F159" s="7">
        <v>44049</v>
      </c>
      <c r="H159">
        <f>H158+C159</f>
        <v>420352.70357169572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</row>
    <row r="160" spans="1:97" ht="19.5">
      <c r="C160">
        <f>H159*D160</f>
        <v>11747.71407347489</v>
      </c>
      <c r="D160">
        <f>D159</f>
        <v>0.0279472784965</v>
      </c>
      <c r="E160" t="s">
        <v>16</v>
      </c>
      <c r="F160" s="7">
        <v>44050</v>
      </c>
      <c r="H160">
        <f>H159+C160</f>
        <v>432100.41764517059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</row>
    <row r="161" spans="1:97" ht="19.5">
      <c r="C161">
        <f>H160*D161</f>
        <v>12076.030710383546</v>
      </c>
      <c r="D161">
        <f>D160</f>
        <v>0.0279472784965</v>
      </c>
      <c r="E161" t="s">
        <v>17</v>
      </c>
      <c r="F161" s="7">
        <v>44051</v>
      </c>
      <c r="H161">
        <f>H160+C161</f>
        <v>444176.44835555414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Y161" s="1"/>
    </row>
    <row r="162" spans="1:97" ht="19.5">
      <c r="C162">
        <f>H161*D162</f>
        <v>12413.522903778921</v>
      </c>
      <c r="D162">
        <f>D161</f>
        <v>0.0279472784965</v>
      </c>
      <c r="E162" t="s">
        <v>11</v>
      </c>
      <c r="F162" s="7">
        <v>44052</v>
      </c>
      <c r="H162">
        <f>H161+C162</f>
        <v>456589.97125933308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</row>
    <row r="163" spans="1:97" ht="19.5">
      <c r="C163">
        <f>H162*D163</f>
        <v>12760.447085493512</v>
      </c>
      <c r="D163">
        <f>D162</f>
        <v>0.0279472784965</v>
      </c>
      <c r="E163" t="s">
        <v>12</v>
      </c>
      <c r="F163" s="7">
        <v>44053</v>
      </c>
      <c r="H163">
        <f>H162+C163</f>
        <v>469350.41834482661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</row>
    <row r="164" spans="1:97" ht="19.5">
      <c r="C164">
        <f>H163*D164</f>
        <v>13117.066853931652</v>
      </c>
      <c r="D164">
        <f>D163</f>
        <v>0.0279472784965</v>
      </c>
      <c r="E164" t="s">
        <v>13</v>
      </c>
      <c r="F164" s="7">
        <v>44054</v>
      </c>
      <c r="H164">
        <f>H163+C164</f>
        <v>482467.48519875825</v>
      </c>
    </row>
    <row r="165" spans="1:97" ht="19.5">
      <c r="C165">
        <f>H164*D165</f>
        <v>13483.653174355688</v>
      </c>
      <c r="D165">
        <f>D164</f>
        <v>0.0279472784965</v>
      </c>
      <c r="E165" t="s">
        <v>14</v>
      </c>
      <c r="F165" s="7">
        <v>44055</v>
      </c>
      <c r="H165">
        <f>H164+C165</f>
        <v>495951.13837311394</v>
      </c>
      <c r="T165" t="inlineStr">
        <is>
          <t>older Source: https://portal.ct.gov/Coronavirus/Pages/Governors-Press-Releases</t>
        </is>
      </c>
    </row>
    <row r="166" spans="1:97" ht="19.5">
      <c r="C166">
        <f>H165*D166</f>
        <v>13860.484584769623</v>
      </c>
      <c r="D166">
        <f>D165</f>
        <v>0.0279472784965</v>
      </c>
      <c r="E166" t="s">
        <v>15</v>
      </c>
      <c r="F166" s="7">
        <v>44056</v>
      </c>
      <c r="H166">
        <f>H165+C166</f>
        <v>509811.62295788358</v>
      </c>
    </row>
    <row r="167" spans="1:97" ht="19.5">
      <c r="C167">
        <f>H166*D167</f>
        <v>14247.847407556625</v>
      </c>
      <c r="D167">
        <f>D166</f>
        <v>0.0279472784965</v>
      </c>
      <c r="E167" t="s">
        <v>16</v>
      </c>
      <c r="F167" s="7">
        <v>44057</v>
      </c>
      <c r="H167">
        <f>H166+C167</f>
        <v>524059.47036544018</v>
      </c>
      <c r="T167" t="inlineStr">
        <is>
          <t>recent Source: https://portal.ct.gov/-/media/Coronavirus/CTDPHCOVID19summary3312020.pdf?la=en</t>
        </is>
      </c>
    </row>
    <row r="168" spans="1:97" ht="19.5">
      <c r="C168">
        <f>H167*D168</f>
        <v>14646.035967031245</v>
      </c>
      <c r="D168">
        <f>D167</f>
        <v>0.0279472784965</v>
      </c>
      <c r="E168" t="s">
        <v>17</v>
      </c>
      <c r="F168" s="7">
        <v>44058</v>
      </c>
      <c r="H168">
        <f>H167+C168</f>
        <v>538705.50633247138</v>
      </c>
      <c r="T168" t="inlineStr">
        <is>
          <t>recent Source: https://portal.ct.gov/Office-of-the-Governor/News/Press-Releases/2020/04-2020/Governor-Lamont-Coronavirus-Update-April-16</t>
        </is>
      </c>
    </row>
    <row r="169" spans="1:97" ht="19.5">
      <c r="C169">
        <f>H168*D169</f>
        <v>15055.352813071622</v>
      </c>
      <c r="D169">
        <f>D168</f>
        <v>0.0279472784965</v>
      </c>
      <c r="E169" t="s">
        <v>11</v>
      </c>
      <c r="F169" s="7">
        <v>44059</v>
      </c>
      <c r="H169">
        <f>H168+C169</f>
        <v>553760.85914554296</v>
      </c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</row>
    <row r="170" spans="1:97" ht="19.5">
      <c r="C170">
        <f>H169*D170</f>
        <v>15476.108951001597</v>
      </c>
      <c r="D170">
        <f>D169</f>
        <v>0.0279472784965</v>
      </c>
      <c r="E170" t="s">
        <v>12</v>
      </c>
      <c r="F170" s="7">
        <v>44060</v>
      </c>
      <c r="H170">
        <f>H169+C170</f>
        <v>569236.9680965445</v>
      </c>
      <c r="T170" t="inlineStr">
        <is>
          <t>export: $ ssconvert -T Gnumeric_stf:stf_csv thisfile.gnumeric thisfile.csv</t>
        </is>
      </c>
    </row>
    <row r="171" spans="1:97" ht="19.5">
      <c r="C171">
        <f>H170*D171</f>
        <v>15908.624077897415</v>
      </c>
      <c r="D171">
        <f>D170</f>
        <v>0.0279472784965</v>
      </c>
      <c r="E171" t="s">
        <v>13</v>
      </c>
      <c r="F171" s="7">
        <v>44061</v>
      </c>
      <c r="H171">
        <f>H170+C171</f>
        <v>585145.5921744419</v>
      </c>
    </row>
    <row r="172" spans="1:97" ht="19.5">
      <c r="C172">
        <f>H171*D172</f>
        <v>16353.226825498539</v>
      </c>
      <c r="D172">
        <f>D171</f>
        <v>0.0279472784965</v>
      </c>
      <c r="E172" t="s">
        <v>14</v>
      </c>
      <c r="F172" s="7">
        <v>44062</v>
      </c>
      <c r="H172">
        <f>H171+C172</f>
        <v>601498.81899994041</v>
      </c>
      <c r="T172" t="inlineStr">
        <is>
          <t>March 31: Hospitalization by county presented in a graphic (only?)</t>
        </is>
      </c>
    </row>
    <row r="173" spans="1:97" ht="19.5">
      <c r="C173">
        <f>H172*D173</f>
        <v>16810.255009907181</v>
      </c>
      <c r="D173">
        <f>D172</f>
        <v>0.0279472784965</v>
      </c>
      <c r="E173" t="s">
        <v>15</v>
      </c>
      <c r="F173" s="7">
        <v>44063</v>
      </c>
      <c r="H173">
        <f>H172+C173</f>
        <v>618309.07400984759</v>
      </c>
    </row>
    <row r="174" spans="1:97" ht="19.5">
      <c r="C174">
        <f>H173*D174</f>
        <v>17280.055888266241</v>
      </c>
      <c r="D174">
        <f>D173</f>
        <v>0.0279472784965</v>
      </c>
      <c r="E174" t="s">
        <v>16</v>
      </c>
      <c r="F174" s="7">
        <v>44064</v>
      </c>
      <c r="H174">
        <f>H173+C174</f>
        <v>635589.12989811378</v>
      </c>
      <c r="T174" t="inlineStr">
        <is>
          <t>31 March 23:09 UTC: many cosmetic changes, columns deleted (or added).</t>
        </is>
      </c>
    </row>
    <row r="175" spans="1:97" ht="19.5">
      <c r="C175">
        <f>H174*D175</f>
        <v>17762.986422610702</v>
      </c>
      <c r="D175">
        <f>D174</f>
        <v>0.0279472784965</v>
      </c>
      <c r="E175" t="s">
        <v>17</v>
      </c>
      <c r="F175" s="7">
        <v>44065</v>
      </c>
      <c r="H175">
        <f>H174+C175</f>
        <v>653352.11632072448</v>
      </c>
      <c r="T175" t="inlineStr">
        <is>
          <t>Hopefully, no major corruption of data/forumlas present after these major edits.</t>
        </is>
      </c>
    </row>
    <row r="176" spans="1:97" ht="19.5">
      <c r="C176">
        <f>H175*D176</f>
        <v>18259.413551092948</v>
      </c>
      <c r="D176">
        <f>D175</f>
        <v>0.0279472784965</v>
      </c>
      <c r="E176" t="s">
        <v>11</v>
      </c>
      <c r="F176" s="7">
        <v>44066</v>
      </c>
      <c r="H176">
        <f>H175+C176</f>
        <v>671611.52987181745</v>
      </c>
    </row>
    <row r="177" spans="1:97" ht="19.5">
      <c r="C177">
        <f>H176*D177</f>
        <v>18769.714466788111</v>
      </c>
      <c r="D177">
        <f>D176</f>
        <v>0.0279472784965</v>
      </c>
      <c r="E177" t="s">
        <v>12</v>
      </c>
      <c r="F177" s="7">
        <v>44067</v>
      </c>
      <c r="H177">
        <f>H176+C177</f>
        <v>690381.24433860555</v>
      </c>
      <c r="T177" t="inlineStr">
        <is>
          <t>1 April: Column D now formatted as percentile</t>
        </is>
      </c>
    </row>
    <row r="178" spans="1:97" ht="19.5">
      <c r="C178">
        <f>H177*D178</f>
        <v>19294.276904291222</v>
      </c>
      <c r="D178">
        <f>D177</f>
        <v>0.0279472784965</v>
      </c>
      <c r="E178" t="s">
        <v>13</v>
      </c>
      <c r="F178" s="7">
        <v>44068</v>
      </c>
      <c r="H178">
        <f>H177+C178</f>
        <v>709675.52124289679</v>
      </c>
      <c r="T178" t="inlineStr">
        <is>
          <t>7 April: 1.09 becomes 1.11 for arbitrary growth reduction supposition expressed in Column D (Multiplier).</t>
        </is>
      </c>
    </row>
    <row r="179" spans="1:97" ht="19.5">
      <c r="C179">
        <f>H178*D179</f>
        <v>19833.49943432404</v>
      </c>
      <c r="D179">
        <f>D178</f>
        <v>0.0279472784965</v>
      </c>
      <c r="E179" t="s">
        <v>14</v>
      </c>
      <c r="F179" s="7">
        <v>44069</v>
      </c>
      <c r="H179">
        <f>H178+C179</f>
        <v>729509.02067722077</v>
      </c>
      <c r="T179" t="inlineStr">
        <is>
          <t>7 April: Column G goes from 100x to 50x (arbitrary value chosen)</t>
        </is>
      </c>
    </row>
    <row r="180" spans="1:97" ht="19.5">
      <c r="C180">
        <f>H179*D180</f>
        <v>20387.791766575265</v>
      </c>
      <c r="D180">
        <f>D179</f>
        <v>0.0279472784965</v>
      </c>
      <c r="E180" t="s">
        <v>15</v>
      </c>
      <c r="F180" s="7">
        <v>44070</v>
      </c>
      <c r="H180">
        <f>H179+C180</f>
        <v>749896.81244379608</v>
      </c>
      <c r="U180" t="inlineStr">
        <is>
          <t>(the 100x scaling factor was also arbitrary)</t>
        </is>
      </c>
    </row>
    <row r="181" spans="1:97" ht="19.5">
      <c r="C181">
        <f>H180*D181</f>
        <v>20957.575061004394</v>
      </c>
      <c r="D181">
        <f>D180</f>
        <v>0.0279472784965</v>
      </c>
      <c r="E181" t="s">
        <v>16</v>
      </c>
      <c r="F181" s="7">
        <v>44071</v>
      </c>
      <c r="H181">
        <f>H180+C181</f>
        <v>770854.38750480046</v>
      </c>
      <c r="T181" t="inlineStr">
        <is>
          <t>7 April: Litchfield County is doubling its Confirmed cases every 6.5 days or so.</t>
        </is>
      </c>
      <c r="BR181" s="3"/>
    </row>
    <row r="182" spans="1:97" ht="19.5">
      <c r="C182">
        <f>H181*D182</f>
        <v>21543.282247845589</v>
      </c>
      <c r="D182">
        <f>D181</f>
        <v>0.0279472784965</v>
      </c>
      <c r="E182" t="s">
        <v>17</v>
      </c>
      <c r="F182" s="7">
        <v>44072</v>
      </c>
      <c r="H182">
        <f>H181+C182</f>
        <v>792397.669752646</v>
      </c>
      <c r="U182" t="inlineStr">
        <is>
          <t>(own analysis; ignorant and simplistic, there, on Litchfield Cty doublings. ;)</t>
        </is>
      </c>
    </row>
    <row r="183" spans="1:97" ht="19.5">
      <c r="C183">
        <f>H182*D183</f>
        <v>22145.358356554832</v>
      </c>
      <c r="D183">
        <f>D182</f>
        <v>0.0279472784965</v>
      </c>
      <c r="E183" t="s">
        <v>11</v>
      </c>
      <c r="F183" s="7">
        <v>44073</v>
      </c>
      <c r="H183">
        <f>H182+C183</f>
        <v>814543.02810920088</v>
      </c>
      <c r="T183" t="inlineStr">
        <is>
          <t>9 April: USA Confirmed (far columns, right) now expressed in 3 digits (up from 2 digits, formerly).</t>
        </is>
      </c>
    </row>
    <row r="184" spans="1:97" ht="19.5">
      <c r="C184">
        <f>H183*D184</f>
        <v>22764.260853950265</v>
      </c>
      <c r="D184">
        <f>D183</f>
        <v>0.0279472784965</v>
      </c>
      <c r="E184" t="s">
        <v>12</v>
      </c>
      <c r="F184" s="7">
        <v>44074</v>
      </c>
      <c r="H184">
        <f>H183+C184</f>
        <v>837307.28896315116</v>
      </c>
      <c r="U184" t="inlineStr">
        <is>
          <t>This reflects that they've reached consistently below 10 percent, and so</t>
        </is>
      </c>
    </row>
    <row r="185" spans="1:97" ht="19.5">
      <c r="C185">
        <f>H184*D185</f>
        <v>23400.459991802585</v>
      </c>
      <c r="D185">
        <f>D184</f>
        <v>0.0279472784965</v>
      </c>
      <c r="E185" t="s">
        <v>13</v>
      </c>
      <c r="F185" s="7">
        <v>44075</v>
      </c>
      <c r="H185">
        <f>H184+C185</f>
        <v>860707.74895495374</v>
      </c>
      <c r="U185" t="inlineStr">
        <is>
          <t>require another digit of precision (the decimal point has moved</t>
        </is>
      </c>
    </row>
    <row r="186" spans="1:97" ht="19.5">
      <c r="C186">
        <f>H185*D186</f>
        <v>24054.439164139698</v>
      </c>
      <c r="D186">
        <f>D185</f>
        <v>0.0279472784965</v>
      </c>
      <c r="E186" t="s">
        <v>14</v>
      </c>
      <c r="F186" s="7">
        <v>44076</v>
      </c>
      <c r="H186">
        <f>H185+C186</f>
        <v>884762.18811909342</v>
      </c>
      <c r="U186" t="inlineStr">
        <is>
          <t>over one place)</t>
        </is>
      </c>
    </row>
    <row r="187" spans="1:97" ht="19.5">
      <c r="C187">
        <f>H186*D187</f>
        <v>24726.695274537029</v>
      </c>
      <c r="D187">
        <f>D186</f>
        <v>0.0279472784965</v>
      </c>
      <c r="E187" t="s">
        <v>15</v>
      </c>
      <c r="F187" s="7">
        <v>44077</v>
      </c>
      <c r="H187">
        <f>H186+C187</f>
        <v>909488.8833936305</v>
      </c>
      <c r="T187" t="inlineStr">
        <is>
          <t>9 April: Have not kept up with the state epidemiologist's estimate</t>
        </is>
      </c>
      <c r="AY187" s="1"/>
      <c r="AZ187" s="1"/>
    </row>
    <row r="188" spans="1:97" ht="19.5">
      <c r="C188">
        <f>H187*D188</f>
        <v>25417.739113672607</v>
      </c>
      <c r="D188">
        <f>D187</f>
        <v>0.0279472784965</v>
      </c>
      <c r="E188" t="s">
        <v>16</v>
      </c>
      <c r="F188" s="7">
        <v>44078</v>
      </c>
      <c r="H188">
        <f>H187+C188</f>
        <v>934906.62250730314</v>
      </c>
      <c r="U188" t="inlineStr">
        <is>
          <t>of the multiplier factor (Confirmed and tested vs estimated true count of cases</t>
        </is>
      </c>
    </row>
    <row r="189" spans="1:97" ht="19.5">
      <c r="C189">
        <f>H188*D189</f>
        <v>26128.095747433796</v>
      </c>
      <c r="D189">
        <f>D188</f>
        <v>0.0279472784965</v>
      </c>
      <c r="E189" t="s">
        <v>17</v>
      </c>
      <c r="F189" s="7">
        <v>44079</v>
      </c>
      <c r="H189">
        <f>H188+C189</f>
        <v>961034.71825473697</v>
      </c>
      <c r="U189" t="inlineStr">
        <is>
          <t>in the state of Connecticut) and (therefore) still using a '50x' multiplier,</t>
        </is>
      </c>
      <c r="AY189" s="1"/>
    </row>
    <row r="190" spans="1:97" ht="19.5">
      <c r="C190">
        <f>H189*D190</f>
        <v>26858.304915870547</v>
      </c>
      <c r="D190">
        <f>D189</f>
        <v>0.0279472784965</v>
      </c>
      <c r="E190" t="s">
        <v>11</v>
      </c>
      <c r="F190" s="7">
        <v>44080</v>
      </c>
      <c r="H190">
        <f>H189+C190</f>
        <v>987893.02317060751</v>
      </c>
      <c r="U190" t="inlineStr">
        <is>
          <t>with no particular justification for this figure.</t>
        </is>
      </c>
      <c r="AY190" s="1"/>
    </row>
    <row r="191" spans="1:97" ht="19.5">
      <c r="C191">
        <f>H190*D191</f>
        <v>27608.921443298295</v>
      </c>
      <c r="D191">
        <f>D190</f>
        <v>0.0279472784965</v>
      </c>
      <c r="E191" t="s">
        <v>12</v>
      </c>
      <c r="F191" s="7">
        <v>44081</v>
      </c>
      <c r="H191">
        <f>H190+C191</f>
        <v>1015501.9446139059</v>
      </c>
      <c r="T191" t="inlineStr">
        <is>
          <t>12 April: demoted from 50x to 35x (measured) transmission multiplier.</t>
        </is>
      </c>
      <c r="AY191" s="1"/>
    </row>
    <row r="192" spans="1:97" ht="19.5">
      <c r="C192">
        <f>H191*D192</f>
        <v>28380.515659862143</v>
      </c>
      <c r="D192">
        <f>D191</f>
        <v>0.0279472784965</v>
      </c>
      <c r="E192" t="s">
        <v>13</v>
      </c>
      <c r="F192" s="7">
        <v>44082</v>
      </c>
      <c r="H192">
        <f>H191+C192</f>
        <v>1043882.4602737681</v>
      </c>
      <c r="U192" t="inlineStr">
        <is>
          <t>Reference value only - please do not quote it in any context.</t>
        </is>
      </c>
      <c r="AY192" s="1"/>
    </row>
    <row r="193" spans="1:97" ht="19.5">
      <c r="C193">
        <f>H192*D193</f>
        <v>29173.673834882593</v>
      </c>
      <c r="D193">
        <f>D192</f>
        <v>0.0279472784965</v>
      </c>
      <c r="E193" t="s">
        <v>14</v>
      </c>
      <c r="F193" s="7">
        <v>44083</v>
      </c>
      <c r="H193">
        <f>H192+C193</f>
        <v>1073056.1341086507</v>
      </c>
      <c r="U193" t="inlineStr">
        <is>
          <t>(Assign some other value to it, based on some other</t>
        </is>
      </c>
      <c r="AY193" s="1"/>
    </row>
    <row r="194" spans="1:97" ht="19.5">
      <c r="C194">
        <f>H193*D194</f>
        <v>29988.998622312116</v>
      </c>
      <c r="D194">
        <f>D193</f>
        <v>0.0279472784965</v>
      </c>
      <c r="E194" t="s">
        <v>15</v>
      </c>
      <c r="F194" s="7">
        <v>44084</v>
      </c>
      <c r="H194">
        <f>H193+C194</f>
        <v>1103045.1327309629</v>
      </c>
      <c r="U194" t="inlineStr">
        <is>
          <t>findings than given here).</t>
        </is>
      </c>
      <c r="AY194" s="1"/>
    </row>
    <row r="195" spans="1:97" ht="19.5">
      <c r="C195">
        <f>H194*D195</f>
        <v>30827.109518641028</v>
      </c>
      <c r="D195">
        <f>D194</f>
        <v>0.0279472784965</v>
      </c>
      <c r="E195" t="s">
        <v>16</v>
      </c>
      <c r="F195" s="7">
        <v>44085</v>
      </c>
      <c r="H195">
        <f>H194+C195</f>
        <v>1133872.2422496041</v>
      </c>
      <c r="T195" t="inlineStr">
        <is>
          <t>15 April: formalized entry (column L labels added)</t>
        </is>
      </c>
      <c r="AY195" s="1"/>
    </row>
    <row r="196" spans="1:97" ht="19.5">
      <c r="C196">
        <f>H195*D196</f>
        <v>31688.643333600598</v>
      </c>
      <c r="D196">
        <f>D195</f>
        <v>0.0279472784965</v>
      </c>
      <c r="E196" t="s">
        <v>17</v>
      </c>
      <c r="F196" s="7">
        <v>44086</v>
      </c>
      <c r="H196">
        <f>H195+C196</f>
        <v>1165560.8855832047</v>
      </c>
      <c r="T196" t="inlineStr">
        <is>
          <t>17 April: formatting fixes esp. Comma separation</t>
        </is>
      </c>
      <c r="AY196" s="1"/>
    </row>
    <row r="197" spans="1:97" ht="19.5">
      <c r="C197">
        <f>H196*D197</f>
        <v>32574.254674020995</v>
      </c>
      <c r="D197">
        <f>D196</f>
        <v>0.0279472784965</v>
      </c>
      <c r="E197" t="s">
        <v>11</v>
      </c>
      <c r="F197" s="7">
        <v>44087</v>
      </c>
      <c r="H197">
        <f>H196+C197</f>
        <v>1198135.1402572256</v>
      </c>
      <c r="T197" t="inlineStr">
        <is>
          <t>19 April: Y Axis Major ticks now 1024 (exact power of two)</t>
        </is>
      </c>
      <c r="AY197" s="1"/>
    </row>
    <row r="198" spans="1:97" ht="19.5">
      <c r="C198">
        <f>H197*D198</f>
        <v>33484.616441211772</v>
      </c>
      <c r="D198">
        <f>D197</f>
        <v>0.0279472784965</v>
      </c>
      <c r="E198" t="s">
        <v>12</v>
      </c>
      <c r="F198" s="7">
        <v>44088</v>
      </c>
      <c r="H198">
        <f>H197+C198</f>
        <v>1231619.7566984373</v>
      </c>
      <c r="T198" t="inlineStr">
        <is>
          <t>19 April: The graph was easy enough to maintain and so is included, standard, now.</t>
        </is>
      </c>
      <c r="AY198" s="1"/>
    </row>
    <row r="199" spans="1:97" ht="19.5">
      <c r="C199">
        <f>H198*D199</f>
        <v>34420.420342242796</v>
      </c>
      <c r="D199">
        <f>D198</f>
        <v>0.0279472784965</v>
      </c>
      <c r="E199" t="s">
        <v>13</v>
      </c>
      <c r="F199" s="7">
        <v>44089</v>
      </c>
      <c r="H199">
        <f>H198+C199</f>
        <v>1266040.1770406801</v>
      </c>
      <c r="S199" s="1"/>
      <c r="T199" t="inlineStr">
        <is>
          <t>19 April: Column G goes from 35x to 15x (arbitrary value chosen)</t>
        </is>
      </c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Y199" s="1"/>
    </row>
    <row r="200" spans="1:97" ht="21">
      <c r="C200">
        <f>H199*D200</f>
        <v>35382.377415514049</v>
      </c>
      <c r="D200">
        <f>D199</f>
        <v>0.0279472784965</v>
      </c>
      <c r="E200" t="s">
        <v>14</v>
      </c>
      <c r="F200" s="7">
        <v>44090</v>
      </c>
      <c r="H200">
        <f>H199+C200</f>
        <v>1301422.5544561942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Y200" s="1"/>
    </row>
    <row r="201" spans="1:97" ht="21">
      <c r="C201">
        <f>H200*D201</f>
        <v>36371.218571013698</v>
      </c>
      <c r="D201">
        <f>D200</f>
        <v>0.0279472784965</v>
      </c>
      <c r="E201" t="s">
        <v>15</v>
      </c>
      <c r="F201" s="7">
        <v>44091</v>
      </c>
      <c r="H201">
        <f>H200+C201</f>
        <v>1337793.7730272079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</row>
    <row r="202" spans="1:97" ht="19.5">
      <c r="C202">
        <f>H201*D202</f>
        <v>37387.695145674887</v>
      </c>
      <c r="D202">
        <f>D201</f>
        <v>0.0279472784965</v>
      </c>
      <c r="E202" t="s">
        <v>16</v>
      </c>
      <c r="F202" s="7">
        <v>44092</v>
      </c>
      <c r="H202">
        <f>H201+C202</f>
        <v>1375181.4681728829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</row>
    <row r="203" spans="1:97" ht="19.5">
      <c r="C203">
        <f>H202*D203</f>
        <v>38432.579474253311</v>
      </c>
      <c r="D203">
        <f>D202</f>
        <v>0.0279472784965</v>
      </c>
      <c r="E203" t="s">
        <v>17</v>
      </c>
      <c r="F203" s="7">
        <v>44093</v>
      </c>
      <c r="H203">
        <f>H202+C203</f>
        <v>1413614.0476471363</v>
      </c>
      <c r="T203" t="inlineStr">
        <is>
          <t>General:</t>
        </is>
      </c>
    </row>
    <row r="204" spans="1:97" ht="19.5">
      <c r="C204">
        <f>H203*D204</f>
        <v>39506.665476159134</v>
      </c>
      <c r="D204">
        <f>D203</f>
        <v>0.0279472784965</v>
      </c>
      <c r="E204" t="s">
        <v>11</v>
      </c>
      <c r="F204" s="7">
        <v>44094</v>
      </c>
      <c r="H204">
        <f>H203+C204</f>
        <v>1453120.7131232955</v>
      </c>
      <c r="U204" t="inlineStr">
        <is>
          <t>Latency:</t>
        </is>
      </c>
    </row>
    <row r="205" spans="1:97" ht="19.5">
      <c r="C205">
        <f>H204*D205</f>
        <v>40610.769258689419</v>
      </c>
      <c r="D205">
        <f>D204</f>
        <v>0.0279472784965</v>
      </c>
      <c r="E205" t="s">
        <v>12</v>
      </c>
      <c r="F205" s="7">
        <v>44095</v>
      </c>
      <c r="H205">
        <f>H204+C205</f>
        <v>1493731.4823819848</v>
      </c>
      <c r="W205" t="inlineStr">
        <is>
          <t>Confirmed: infected 5-7 days ago.</t>
        </is>
      </c>
    </row>
    <row r="206" spans="1:97" ht="19.5">
      <c r="C206">
        <f>H205*D206</f>
        <v>41745.729737119116</v>
      </c>
      <c r="D206">
        <f>D205</f>
        <v>0.0279472784965</v>
      </c>
      <c r="E206" t="s">
        <v>13</v>
      </c>
      <c r="F206" s="7">
        <v>44096</v>
      </c>
      <c r="H206">
        <f>H205+C206</f>
        <v>1535477.2121191039</v>
      </c>
    </row>
    <row r="207" spans="1:97" ht="19.5">
      <c r="C207">
        <f>H206*D207</f>
        <v>42912.409272122</v>
      </c>
      <c r="D207">
        <f>D206</f>
        <v>0.0279472784965</v>
      </c>
      <c r="E207" t="s">
        <v>14</v>
      </c>
      <c r="F207" s="7">
        <v>44097</v>
      </c>
      <c r="H207">
        <f>H206+C207</f>
        <v>1578389.6213912258</v>
      </c>
      <c r="W207" t="inlineStr">
        <is>
          <t>Hospitalized: infected 1-3 weeks ago.</t>
        </is>
      </c>
    </row>
    <row r="208" spans="1:97" ht="19.5">
      <c r="C208">
        <f>H207*D208</f>
        <v>44111.694325005781</v>
      </c>
      <c r="D208">
        <f>D207</f>
        <v>0.0279472784965</v>
      </c>
      <c r="E208" t="s">
        <v>15</v>
      </c>
      <c r="F208" s="7">
        <v>44098</v>
      </c>
      <c r="H208">
        <f>H207+C208</f>
        <v>1622501.3157162317</v>
      </c>
    </row>
    <row r="209" spans="1:97" ht="19.5">
      <c r="C209">
        <f>H208*D209</f>
        <v>45344.496131259199</v>
      </c>
      <c r="D209">
        <f>D208</f>
        <v>0.0279472784965</v>
      </c>
      <c r="E209" t="s">
        <v>16</v>
      </c>
      <c r="F209" s="7">
        <v>44099</v>
      </c>
      <c r="H209">
        <f>H208+C209</f>
        <v>1667845.811847491</v>
      </c>
      <c r="W209" t="inlineStr">
        <is>
          <t>Death: infected 3-4 weeks ago.</t>
        </is>
      </c>
    </row>
    <row r="210" spans="1:97" ht="19.5">
      <c r="C210">
        <f>H209*D210</f>
        <v>46611.751392922968</v>
      </c>
      <c r="D210">
        <f>D209</f>
        <v>0.0279472784965</v>
      </c>
      <c r="E210" t="s">
        <v>17</v>
      </c>
      <c r="F210" s="7">
        <v>44100</v>
      </c>
      <c r="H210">
        <f>H209+C210</f>
        <v>1714457.563240414</v>
      </c>
    </row>
    <row r="211" spans="1:97" ht="19.5">
      <c r="C211">
        <f>H210*D211</f>
        <v>47914.42299031061</v>
      </c>
      <c r="D211">
        <f>D210</f>
        <v>0.0279472784965</v>
      </c>
      <c r="E211" t="s">
        <v>11</v>
      </c>
      <c r="F211" s="7">
        <v>44101</v>
      </c>
      <c r="H211">
        <f>H210+C211</f>
        <v>1762371.9862307247</v>
      </c>
      <c r="Y211" t="inlineStr">
        <is>
          <t>Source: Osterholm, 8 April 2020 (podcast).</t>
        </is>
      </c>
    </row>
    <row r="212" spans="1:97" ht="19.5">
      <c r="C212">
        <f>H211*D212</f>
        <v>49253.500713619927</v>
      </c>
      <c r="D212">
        <f>D211</f>
        <v>0.0279472784965</v>
      </c>
      <c r="E212" t="s">
        <v>12</v>
      </c>
      <c r="F212" s="7">
        <v>44102</v>
      </c>
      <c r="H212">
        <f>H211+C212</f>
        <v>1811625.4869443446</v>
      </c>
    </row>
    <row r="213" spans="1:97" ht="19.5">
      <c r="C213">
        <f>H212*D213</f>
        <v>50630.00201499102</v>
      </c>
      <c r="D213">
        <f>D212</f>
        <v>0.0279472784965</v>
      </c>
      <c r="E213" t="s">
        <v>13</v>
      </c>
      <c r="F213" s="7">
        <v>44103</v>
      </c>
      <c r="H213">
        <f>H212+C213</f>
        <v>1862255.4889593357</v>
      </c>
      <c r="AA213" t="inlineStr">
        <is>
          <t>https://twitter.com/CIDRAP/status/1248291432202407939</t>
        </is>
      </c>
    </row>
    <row r="214" spans="1:97" ht="19.5">
      <c r="C214">
        <f>H213*D214</f>
        <v>52044.972781582335</v>
      </c>
      <c r="D214">
        <f>D213</f>
        <v>0.0279472784965</v>
      </c>
      <c r="E214" t="s">
        <v>14</v>
      </c>
      <c r="F214" s="7">
        <v>44104</v>
      </c>
      <c r="H214">
        <f>H213+C214</f>
        <v>1914300.461740918</v>
      </c>
    </row>
    <row r="215" spans="1:97" ht="19.5">
      <c r="C215">
        <f>H214*D215</f>
        <v>53499.488130251979</v>
      </c>
      <c r="D215">
        <f>D214</f>
        <v>0.0279472784965</v>
      </c>
      <c r="E215" t="s">
        <v>15</v>
      </c>
      <c r="F215" s="7">
        <v>44105</v>
      </c>
      <c r="H215">
        <f>H214+C215</f>
        <v>1967799.9498711699</v>
      </c>
      <c r="AB215" t="inlineStr">
        <is>
          <t>Episode 3 of Osterholm Update:</t>
        </is>
      </c>
    </row>
    <row r="216" spans="1:97" ht="19.5">
      <c r="C216">
        <f>H215*D216</f>
        <v>54994.653224448324</v>
      </c>
      <c r="D216">
        <f>D215</f>
        <v>0.0279472784965</v>
      </c>
      <c r="E216" t="s">
        <v>16</v>
      </c>
      <c r="F216" s="7">
        <v>44106</v>
      </c>
      <c r="H216">
        <f>H215+C216</f>
        <v>2022794.6030956181</v>
      </c>
    </row>
    <row r="217" spans="1:97" ht="19.5">
      <c r="C217">
        <f>H216*D217</f>
        <v>56531.604113930422</v>
      </c>
      <c r="D217">
        <f>D216</f>
        <v>0.0279472784965</v>
      </c>
      <c r="E217" t="s">
        <v>17</v>
      </c>
      <c r="F217" s="7">
        <v>44107</v>
      </c>
      <c r="H217">
        <f>H216+C217</f>
        <v>2079326.2072095484</v>
      </c>
      <c r="AD217" t="inlineStr">
        <is>
          <t>http://ow.ly/d5Gk30qwD7o #Coronavirus</t>
        </is>
      </c>
    </row>
    <row r="218" spans="1:97" ht="19.5">
      <c r="C218">
        <f>H217*D218</f>
        <v>58111.508597956315</v>
      </c>
      <c r="D218">
        <f>D217</f>
        <v>0.0279472784965</v>
      </c>
      <c r="E218" t="s">
        <v>11</v>
      </c>
      <c r="F218" s="7">
        <v>44108</v>
      </c>
      <c r="H218">
        <f>H217+C218</f>
        <v>2137437.715807505</v>
      </c>
    </row>
    <row r="219" spans="1:97" ht="19.5">
      <c r="C219">
        <f>H218*D219</f>
        <v>59735.567112595163</v>
      </c>
      <c r="D219">
        <f>D218</f>
        <v>0.0279472784965</v>
      </c>
      <c r="E219" t="s">
        <v>12</v>
      </c>
      <c r="F219" s="7">
        <v>44109</v>
      </c>
      <c r="H219">
        <f>H218+C219</f>
        <v>2197173.2829201003</v>
      </c>
      <c r="AD219" t="inlineStr">
        <is>
          <t>#COVID19 is now live:</t>
        </is>
      </c>
    </row>
    <row r="220" spans="1:97" ht="19.5">
      <c r="C220">
        <f>H219*D220</f>
        <v>61405.013642837228</v>
      </c>
      <c r="D220">
        <f>D219</f>
        <v>0.0279472784965</v>
      </c>
      <c r="E220" t="s">
        <v>13</v>
      </c>
      <c r="F220" s="7">
        <v>44110</v>
      </c>
      <c r="H220">
        <f>H219+C220</f>
        <v>2258578.2965629376</v>
      </c>
      <c r="AD220" t="inlineStr">
        <is>
          <t>"Preparing For What's To Come,"</t>
        </is>
      </c>
    </row>
    <row r="221" spans="1:97" ht="19.5">
      <c r="C221">
        <f>H220*D221</f>
        <v>63121.116660194981</v>
      </c>
      <c r="D221">
        <f>D220</f>
        <v>0.0279472784965</v>
      </c>
      <c r="E221" t="s">
        <v>14</v>
      </c>
      <c r="F221" s="7">
        <v>44111</v>
      </c>
      <c r="H221">
        <f>H220+C221</f>
        <v>2321699.4132231325</v>
      </c>
      <c r="AD221" t="inlineStr">
        <is>
          <t>in which Dr. Osterholm discusses the US situation,</t>
        </is>
      </c>
    </row>
    <row r="222" spans="1:97" ht="19.5">
      <c r="C222">
        <f>H221*D222</f>
        <v>64885.18008650752</v>
      </c>
      <c r="D222">
        <f>D221</f>
        <v>0.0279472784965</v>
      </c>
      <c r="E222" t="s">
        <v>15</v>
      </c>
      <c r="F222" s="7">
        <v>44112</v>
      </c>
      <c r="H222">
        <f>H221+C222</f>
        <v>2386584.59330964</v>
      </c>
      <c r="AD222" t="inlineStr">
        <is>
          <t>the potential for subsequent waves, racial</t>
        </is>
      </c>
    </row>
    <row r="223" spans="1:97" ht="19.5">
      <c r="C223">
        <f>H222*D223</f>
        <v>66698.544284680698</v>
      </c>
      <c r="D223">
        <f>D222</f>
        <v>0.0279472784965</v>
      </c>
      <c r="E223" t="s">
        <v>16</v>
      </c>
      <c r="F223" s="7">
        <v>44113</v>
      </c>
      <c r="H223">
        <f>H222+C223</f>
        <v>2453283.1375943208</v>
      </c>
      <c r="AD223" t="inlineStr">
        <is>
          <t>and gender disparities,</t>
        </is>
      </c>
    </row>
    <row r="224" spans="1:97" ht="19.5">
      <c r="C224">
        <f>H223*D224</f>
        <v>68562.587077115808</v>
      </c>
      <c r="D224">
        <f>D223</f>
        <v>0.0279472784965</v>
      </c>
      <c r="E224" t="s">
        <v>17</v>
      </c>
      <c r="F224" s="7">
        <v>44114</v>
      </c>
      <c r="H224">
        <f>H223+C224</f>
        <v>2521845.7246714365</v>
      </c>
      <c r="AD224" t="inlineStr">
        <is>
          <t>and the use of masks by the public</t>
        </is>
      </c>
    </row>
    <row r="225" spans="1:97" ht="19.5">
      <c r="C225">
        <f>H224*D225</f>
        <v>70478.724792600493</v>
      </c>
      <c r="D225">
        <f>D224</f>
        <v>0.0279472784965</v>
      </c>
      <c r="E225" t="s">
        <v>11</v>
      </c>
      <c r="F225" s="7">
        <v>44115</v>
      </c>
      <c r="H225">
        <f>H224+C225</f>
        <v>2592324.4494640371</v>
      </c>
    </row>
    <row r="226" spans="1:97" ht="19.5">
      <c r="C226">
        <f>H225*D226</f>
        <v>72448.413342457483</v>
      </c>
      <c r="D226">
        <f>D225</f>
        <v>0.0279472784965</v>
      </c>
      <c r="E226" t="s">
        <v>12</v>
      </c>
      <c r="F226" s="7">
        <v>44116</v>
      </c>
      <c r="H226">
        <f>H225+C226</f>
        <v>2664772.8628064943</v>
      </c>
    </row>
    <row r="227" spans="1:97" ht="19.5">
      <c r="C227">
        <f>H226*D227</f>
        <v>74473.149326768689</v>
      </c>
      <c r="D227">
        <f>D226</f>
        <v>0.0279472784965</v>
      </c>
      <c r="E227" t="s">
        <v>13</v>
      </c>
      <c r="F227" s="7">
        <v>44117</v>
      </c>
      <c r="H227">
        <f>H226+C227</f>
        <v>2739246.0121332631</v>
      </c>
    </row>
    <row r="228" spans="1:97" ht="19.5">
      <c r="C228">
        <f>H227*D228</f>
        <v>76554.471171515324</v>
      </c>
      <c r="D228">
        <f>D227</f>
        <v>0.0279472784965</v>
      </c>
      <c r="E228" t="s">
        <v>14</v>
      </c>
      <c r="F228" s="7">
        <v>44118</v>
      </c>
      <c r="H228">
        <f>H227+C228</f>
        <v>2815800.4833047786</v>
      </c>
    </row>
    <row r="229" spans="1:97" ht="19.5">
      <c r="C229">
        <f>H228*D229</f>
        <v>78693.96029749795</v>
      </c>
      <c r="D229">
        <f>D228</f>
        <v>0.0279472784965</v>
      </c>
      <c r="E229" t="s">
        <v>15</v>
      </c>
      <c r="F229" s="7">
        <v>44119</v>
      </c>
      <c r="H229">
        <f>H228+C229</f>
        <v>2894494.4436022765</v>
      </c>
    </row>
    <row r="230" spans="1:97" ht="19.5">
      <c r="C230">
        <f>H229*D230</f>
        <v>80893.242321924627</v>
      </c>
      <c r="D230">
        <f>D229</f>
        <v>0.0279472784965</v>
      </c>
      <c r="E230" t="s">
        <v>16</v>
      </c>
      <c r="F230" s="7">
        <v>44120</v>
      </c>
      <c r="H230">
        <f>H229+C230</f>
        <v>2975387.6859242013</v>
      </c>
    </row>
    <row r="231" spans="1:97" ht="19.5">
      <c r="C231">
        <f>H230*D231</f>
        <v>83153.988293580333</v>
      </c>
      <c r="D231">
        <f>D230</f>
        <v>0.0279472784965</v>
      </c>
      <c r="E231" t="s">
        <v>17</v>
      </c>
      <c r="F231" s="7">
        <v>44121</v>
      </c>
      <c r="H231">
        <f>H230+C231</f>
        <v>3058541.6742177815</v>
      </c>
    </row>
    <row r="232" spans="1:97" ht="19.5">
      <c r="C232">
        <f>H231*D232</f>
        <v>85477.915962515719</v>
      </c>
      <c r="D232">
        <f>D231</f>
        <v>0.0279472784965</v>
      </c>
      <c r="E232" t="s">
        <v>11</v>
      </c>
      <c r="F232" s="7">
        <v>44122</v>
      </c>
      <c r="H232">
        <f>H231+C232</f>
        <v>3144019.5901802974</v>
      </c>
    </row>
    <row r="233" spans="1:97" ht="19.5">
      <c r="C233">
        <f>H232*D233</f>
        <v>87866.791085220568</v>
      </c>
      <c r="D233">
        <f>D232</f>
        <v>0.0279472784965</v>
      </c>
      <c r="E233" t="s">
        <v>12</v>
      </c>
      <c r="F233" s="7">
        <v>44123</v>
      </c>
      <c r="H233">
        <f>H232+C233</f>
        <v>3231886.3812655178</v>
      </c>
    </row>
    <row r="234" spans="1:97" ht="19.5">
      <c r="C234">
        <f>H233*D234</f>
        <v>90322.428766273006</v>
      </c>
      <c r="D234">
        <f>D233</f>
        <v>0.0279472784965</v>
      </c>
      <c r="E234" t="s">
        <v>13</v>
      </c>
      <c r="F234" s="7">
        <v>44124</v>
      </c>
      <c r="H234">
        <f>H233+C234</f>
        <v>3322208.8100317908</v>
      </c>
    </row>
    <row r="235" spans="1:97" ht="19.5">
      <c r="C235">
        <f>H234*D235</f>
        <v>92846.69483748432</v>
      </c>
      <c r="D235">
        <f>D234</f>
        <v>0.0279472784965</v>
      </c>
      <c r="E235" t="s">
        <v>14</v>
      </c>
      <c r="F235" s="7">
        <v>44125</v>
      </c>
      <c r="H235">
        <f>H234+C235</f>
        <v>3415055.5048692753</v>
      </c>
    </row>
    <row r="236" spans="1:97" ht="19.5">
      <c r="C236">
        <f>H235*D236</f>
        <v>95441.50727558705</v>
      </c>
      <c r="D236">
        <f>D235</f>
        <v>0.0279472784965</v>
      </c>
      <c r="E236" t="s">
        <v>15</v>
      </c>
      <c r="F236" s="7">
        <v>44126</v>
      </c>
      <c r="H236">
        <f>H235+C236</f>
        <v>3510497.0121448622</v>
      </c>
    </row>
    <row r="237" spans="1:97" ht="19.5">
      <c r="C237">
        <f>H236*D237</f>
        <v>98108.837659543613</v>
      </c>
      <c r="D237">
        <f>D236</f>
        <v>0.0279472784965</v>
      </c>
      <c r="E237" t="s">
        <v>16</v>
      </c>
      <c r="F237" s="7">
        <v>44127</v>
      </c>
      <c r="H237">
        <f>H236+C237</f>
        <v>3608605.8498044061</v>
      </c>
    </row>
    <row r="238" spans="1:97" ht="19.5">
      <c r="C238">
        <f>H237*D238</f>
        <v>100850.71266858278</v>
      </c>
      <c r="D238">
        <f>D237</f>
        <v>0.0279472784965</v>
      </c>
      <c r="E238" t="s">
        <v>17</v>
      </c>
      <c r="F238" s="7">
        <v>44128</v>
      </c>
      <c r="H238">
        <f>H237+C238</f>
        <v>3709456.5624729889</v>
      </c>
    </row>
    <row r="239" spans="1:97" ht="19.5">
      <c r="C239">
        <f>H238*D239</f>
        <v>103669.21562210217</v>
      </c>
      <c r="D239">
        <f>D238</f>
        <v>0.0279472784965</v>
      </c>
      <c r="E239" t="s">
        <v>11</v>
      </c>
      <c r="F239" s="7">
        <v>44129</v>
      </c>
      <c r="H239">
        <f>H238+C239</f>
        <v>3813125.7780950912</v>
      </c>
    </row>
    <row r="240" spans="1:97" ht="19.5">
      <c r="C240">
        <f>H239*D240</f>
        <v>106566.48806260678</v>
      </c>
      <c r="D240">
        <f>D239</f>
        <v>0.0279472784965</v>
      </c>
      <c r="E240" t="s">
        <v>12</v>
      </c>
      <c r="F240" s="7">
        <v>44130</v>
      </c>
      <c r="H240">
        <f>H239+C240</f>
        <v>3919692.2661576979</v>
      </c>
    </row>
    <row r="241" spans="1:97" ht="19.5">
      <c r="C241">
        <f>H240*D241</f>
        <v>109544.73138288638</v>
      </c>
      <c r="D241">
        <f>D240</f>
        <v>0.0279472784965</v>
      </c>
      <c r="E241" t="s">
        <v>13</v>
      </c>
      <c r="F241" s="7">
        <v>44131</v>
      </c>
      <c r="H241">
        <f>H240+C241</f>
        <v>4029236.9975405843</v>
      </c>
    </row>
    <row r="242" spans="1:97" ht="19.5">
      <c r="C242">
        <f>H241*D242</f>
        <v>112606.20849866819</v>
      </c>
      <c r="D242">
        <f>D241</f>
        <v>0.0279472784965</v>
      </c>
      <c r="E242" t="s">
        <v>14</v>
      </c>
      <c r="F242" s="7">
        <v>44132</v>
      </c>
      <c r="H242">
        <f>H241+C242</f>
        <v>4141843.2060392527</v>
      </c>
    </row>
    <row r="243" spans="1:97" ht="19.5">
      <c r="C243">
        <f>H242*D243</f>
        <v>115753.24556801542</v>
      </c>
      <c r="D243">
        <f>D242</f>
        <v>0.0279472784965</v>
      </c>
      <c r="E243" t="s">
        <v>15</v>
      </c>
      <c r="F243" s="7">
        <v>44133</v>
      </c>
      <c r="H243">
        <f>H242+C243</f>
        <v>4257596.4516072683</v>
      </c>
    </row>
    <row r="244" spans="1:97" ht="19.5">
      <c r="C244">
        <f>H243*D244</f>
        <v>118988.23375877852</v>
      </c>
      <c r="D244">
        <f>D243</f>
        <v>0.0279472784965</v>
      </c>
      <c r="E244" t="s">
        <v>16</v>
      </c>
      <c r="F244" s="7">
        <v>44134</v>
      </c>
      <c r="H244">
        <f>H243+C244</f>
        <v>4376584.6853660466</v>
      </c>
    </row>
    <row r="245" spans="1:97" ht="19.5">
      <c r="C245">
        <f>H244*D245</f>
        <v>122313.63106544173</v>
      </c>
      <c r="D245">
        <f>D244</f>
        <v>0.0279472784965</v>
      </c>
      <c r="E245" t="s">
        <v>17</v>
      </c>
      <c r="F245" s="7">
        <v>44135</v>
      </c>
      <c r="H245">
        <f>H244+C245</f>
        <v>4498898.3164314879</v>
      </c>
    </row>
    <row r="246" spans="1:97" ht="19.5">
      <c r="C246">
        <f>H245*D246</f>
        <v>125731.96417674578</v>
      </c>
      <c r="D246">
        <f>D245</f>
        <v>0.0279472784965</v>
      </c>
      <c r="E246" t="s">
        <v>11</v>
      </c>
      <c r="F246" s="7">
        <v>44136</v>
      </c>
      <c r="H246">
        <f>H245+C246</f>
        <v>4624630.280608234</v>
      </c>
    </row>
    <row r="247" spans="1:97" ht="19.5">
      <c r="C247">
        <f>H246*D247</f>
        <v>129245.83039550525</v>
      </c>
      <c r="D247">
        <f>D246</f>
        <v>0.0279472784965</v>
      </c>
      <c r="E247" t="s">
        <v>12</v>
      </c>
      <c r="F247" s="7">
        <v>44137</v>
      </c>
      <c r="H247">
        <f>H246+C247</f>
        <v>4753876.1110037388</v>
      </c>
    </row>
    <row r="248" spans="1:97" ht="19.5">
      <c r="C248">
        <f>H247*D248</f>
        <v>132857.89961207984</v>
      </c>
      <c r="D248">
        <f>D247</f>
        <v>0.0279472784965</v>
      </c>
      <c r="E248" t="s">
        <v>13</v>
      </c>
      <c r="F248" s="7">
        <v>44138</v>
      </c>
      <c r="H248">
        <f>H247+C248</f>
        <v>4886734.0106158182</v>
      </c>
    </row>
    <row r="249" spans="1:97" ht="19.5">
      <c r="C249">
        <f>H248*D249</f>
        <v>136570.91633299866</v>
      </c>
      <c r="D249">
        <f>D248</f>
        <v>0.0279472784965</v>
      </c>
      <c r="E249" t="s">
        <v>14</v>
      </c>
      <c r="F249" s="7">
        <v>44139</v>
      </c>
      <c r="H249">
        <f>H248+C249</f>
        <v>5023304.9269488165</v>
      </c>
    </row>
    <row r="250" spans="1:97" ht="19.5">
      <c r="C250">
        <f>H249*D250</f>
        <v>140387.70176627918</v>
      </c>
      <c r="D250">
        <f>D249</f>
        <v>0.0279472784965</v>
      </c>
      <c r="E250" t="s">
        <v>15</v>
      </c>
      <c r="F250" s="7">
        <v>44140</v>
      </c>
      <c r="H250">
        <f>H249+C250</f>
        <v>5163692.628715096</v>
      </c>
    </row>
    <row r="251" spans="1:97" ht="19.5">
      <c r="C251">
        <f>H250*D251</f>
        <v>144311.15596502495</v>
      </c>
      <c r="D251">
        <f>D250</f>
        <v>0.0279472784965</v>
      </c>
      <c r="E251" t="s">
        <v>16</v>
      </c>
      <c r="F251" s="7">
        <v>44141</v>
      </c>
      <c r="H251">
        <f>H250+C251</f>
        <v>5308003.7846801206</v>
      </c>
    </row>
    <row r="252" spans="1:97" ht="19.5">
      <c r="C252">
        <f>H251*D252</f>
        <v>148344.26003093136</v>
      </c>
      <c r="D252">
        <f>D251</f>
        <v>0.0279472784965</v>
      </c>
      <c r="E252" t="s">
        <v>17</v>
      </c>
      <c r="F252" s="7">
        <v>44142</v>
      </c>
      <c r="H252">
        <f>H251+C252</f>
        <v>5456348.0447110524</v>
      </c>
    </row>
    <row r="253" spans="1:97" ht="19.5">
      <c r="C253">
        <f>H252*D253</f>
        <v>152490.07837937301</v>
      </c>
      <c r="D253">
        <f>D252</f>
        <v>0.0279472784965</v>
      </c>
      <c r="E253" t="s">
        <v>11</v>
      </c>
      <c r="F253" s="7">
        <v>44143</v>
      </c>
      <c r="H253">
        <f>H252+C253</f>
        <v>5608838.1230904255</v>
      </c>
    </row>
    <row r="254" spans="1:97" ht="19.5">
      <c r="C254">
        <f>H253*D254</f>
        <v>156751.76106779446</v>
      </c>
      <c r="D254">
        <f>D253</f>
        <v>0.0279472784965</v>
      </c>
      <c r="E254" t="s">
        <v>12</v>
      </c>
      <c r="F254" s="7">
        <v>44144</v>
      </c>
      <c r="H254">
        <f>H253+C254</f>
        <v>5765589.8841582201</v>
      </c>
    </row>
    <row r="255" spans="1:97" ht="19.5">
      <c r="C255">
        <f>H254*D255</f>
        <v>161132.54618917295</v>
      </c>
      <c r="D255">
        <f>D254</f>
        <v>0.0279472784965</v>
      </c>
      <c r="E255" t="s">
        <v>13</v>
      </c>
      <c r="F255" s="7">
        <v>44145</v>
      </c>
      <c r="H255">
        <f>H254+C255</f>
        <v>5926722.4303473933</v>
      </c>
    </row>
    <row r="256" spans="1:97" ht="19.5">
      <c r="C256">
        <f>H255*D256</f>
        <v>165635.76233237193</v>
      </c>
      <c r="D256">
        <f>D255</f>
        <v>0.0279472784965</v>
      </c>
      <c r="E256" t="s">
        <v>14</v>
      </c>
      <c r="F256" s="7">
        <v>44146</v>
      </c>
      <c r="H256">
        <f>H255+C256</f>
        <v>6092358.1926797656</v>
      </c>
    </row>
    <row r="257" spans="1:97" ht="19.5">
      <c r="C257">
        <f>H256*D257</f>
        <v>170264.83111125481</v>
      </c>
      <c r="D257">
        <f>D256</f>
        <v>0.0279472784965</v>
      </c>
      <c r="E257" t="s">
        <v>15</v>
      </c>
      <c r="F257" s="7">
        <v>44147</v>
      </c>
      <c r="H257">
        <f>H256+C257</f>
        <v>6262623.0237910207</v>
      </c>
    </row>
    <row r="258" spans="1:97" ht="19.5">
      <c r="C258">
        <f>H257*D258</f>
        <v>175023.26976448059</v>
      </c>
      <c r="D258">
        <f>D257</f>
        <v>0.0279472784965</v>
      </c>
      <c r="E258" t="s">
        <v>16</v>
      </c>
      <c r="F258" s="7">
        <v>44148</v>
      </c>
      <c r="H258">
        <f>H257+C258</f>
        <v>6437646.2935555009</v>
      </c>
    </row>
    <row r="259" spans="1:97" ht="19.5">
      <c r="C259">
        <f>H258*D259</f>
        <v>179914.69382795657</v>
      </c>
      <c r="D259">
        <f>D258</f>
        <v>0.0279472784965</v>
      </c>
      <c r="E259" t="s">
        <v>17</v>
      </c>
      <c r="F259" s="7">
        <v>44149</v>
      </c>
      <c r="H259">
        <f>H258+C259</f>
        <v>6617560.9873834578</v>
      </c>
    </row>
    <row r="260" spans="1:97" ht="19.5">
      <c r="C260">
        <f>H259*D260</f>
        <v>184942.81988197903</v>
      </c>
      <c r="D260">
        <f>D259</f>
        <v>0.0279472784965</v>
      </c>
      <c r="E260" t="s">
        <v>11</v>
      </c>
      <c r="F260" s="7">
        <v>44150</v>
      </c>
      <c r="H260">
        <f>H259+C260</f>
        <v>6802503.8072654372</v>
      </c>
    </row>
    <row r="261" spans="1:97" ht="19.5">
      <c r="C261">
        <f>H260*D261</f>
        <v>190111.46837514875</v>
      </c>
      <c r="D261">
        <f>D260</f>
        <v>0.0279472784965</v>
      </c>
      <c r="E261" t="s">
        <v>12</v>
      </c>
      <c r="F261" s="7">
        <v>44151</v>
      </c>
      <c r="H261">
        <f>H260+C261</f>
        <v>6992615.2756405864</v>
      </c>
    </row>
    <row r="262" spans="1:97" ht="19.5">
      <c r="C262">
        <f>H261*D262</f>
        <v>195424.56652720759</v>
      </c>
      <c r="D262">
        <f>D261</f>
        <v>0.0279472784965</v>
      </c>
      <c r="E262" t="s">
        <v>13</v>
      </c>
      <c r="F262" s="7">
        <v>44152</v>
      </c>
      <c r="H262">
        <f>H261+C262</f>
        <v>7188039.8421677938</v>
      </c>
    </row>
    <row r="263" spans="1:97" ht="19.5">
      <c r="C263">
        <f>H262*D263</f>
        <v>200886.15131300123</v>
      </c>
      <c r="D263">
        <f>D262</f>
        <v>0.0279472784965</v>
      </c>
      <c r="E263" t="s">
        <v>14</v>
      </c>
      <c r="F263" s="7">
        <v>44153</v>
      </c>
      <c r="H263">
        <f>H262+C263</f>
        <v>7388925.9934807951</v>
      </c>
    </row>
    <row r="264" spans="1:97" ht="19.5">
      <c r="C264">
        <f>H263*D264</f>
        <v>206500.37252983573</v>
      </c>
      <c r="D264">
        <f>D263</f>
        <v>0.0279472784965</v>
      </c>
      <c r="E264" t="s">
        <v>15</v>
      </c>
      <c r="F264" s="7">
        <v>44154</v>
      </c>
      <c r="H264">
        <f>H263+C264</f>
        <v>7595426.3660106305</v>
      </c>
    </row>
    <row r="265" spans="1:97" ht="19.5">
      <c r="C265">
        <f>H264*D265</f>
        <v>212271.49595055802</v>
      </c>
      <c r="D265">
        <f>D264</f>
        <v>0.0279472784965</v>
      </c>
      <c r="E265" t="s">
        <v>16</v>
      </c>
      <c r="F265" s="7">
        <v>44155</v>
      </c>
      <c r="H265">
        <f>H264+C265</f>
        <v>7807697.8619611887</v>
      </c>
    </row>
    <row r="266" spans="1:97" ht="19.5">
      <c r="C266">
        <f>H265*D266</f>
        <v>218203.90656475697</v>
      </c>
      <c r="D266">
        <f>D265</f>
        <v>0.0279472784965</v>
      </c>
      <c r="E266" t="s">
        <v>17</v>
      </c>
      <c r="F266" s="7">
        <v>44156</v>
      </c>
      <c r="H266">
        <f>H265+C266</f>
        <v>8025901.768525946</v>
      </c>
    </row>
    <row r="267" spans="1:97" ht="19.5">
      <c r="C267">
        <f>H266*D267</f>
        <v>224302.11191054649</v>
      </c>
      <c r="D267">
        <f>D266</f>
        <v>0.0279472784965</v>
      </c>
      <c r="E267" t="s">
        <v>11</v>
      </c>
      <c r="F267" s="7">
        <v>44157</v>
      </c>
      <c r="H267">
        <f>H266+C267</f>
        <v>8250203.8804364922</v>
      </c>
    </row>
    <row r="268" spans="1:97" ht="19.5">
      <c r="C268">
        <f>H267*D268</f>
        <v>230570.74549946364</v>
      </c>
      <c r="D268">
        <f>D267</f>
        <v>0.0279472784965</v>
      </c>
      <c r="E268" t="s">
        <v>12</v>
      </c>
      <c r="F268" s="7">
        <v>44158</v>
      </c>
      <c r="H268">
        <f>H267+C268</f>
        <v>8480774.625935955</v>
      </c>
    </row>
    <row r="269" spans="1:97" ht="19.5">
      <c r="C269">
        <f>H268*D269</f>
        <v>237014.57033708275</v>
      </c>
      <c r="D269">
        <f>D268</f>
        <v>0.0279472784965</v>
      </c>
      <c r="E269" t="s">
        <v>13</v>
      </c>
      <c r="F269" s="7">
        <v>44159</v>
      </c>
      <c r="H269">
        <f>H268+C269</f>
        <v>8717789.1962730382</v>
      </c>
    </row>
    <row r="270" spans="1:97" ht="19.5">
      <c r="C270">
        <f>H269*D270</f>
        <v>243638.48254202149</v>
      </c>
      <c r="D270">
        <f>D269</f>
        <v>0.0279472784965</v>
      </c>
      <c r="E270" t="s">
        <v>14</v>
      </c>
      <c r="F270" s="7">
        <v>44160</v>
      </c>
      <c r="H270">
        <f>H269+C270</f>
        <v>8961427.6788150594</v>
      </c>
    </row>
    <row r="271" spans="1:97" ht="19.5">
      <c r="C271">
        <f>H270*D271</f>
        <v>250447.515066088</v>
      </c>
      <c r="D271">
        <f>D270</f>
        <v>0.0279472784965</v>
      </c>
      <c r="E271" t="s">
        <v>15</v>
      </c>
      <c r="F271" s="7">
        <v>44161</v>
      </c>
      <c r="H271">
        <f>H270+C271</f>
        <v>9211875.1938811466</v>
      </c>
    </row>
    <row r="272" spans="1:97" ht="19.5">
      <c r="C272">
        <f>H271*D272</f>
        <v>257446.84151839634</v>
      </c>
      <c r="D272">
        <f>D271</f>
        <v>0.0279472784965</v>
      </c>
      <c r="E272" t="s">
        <v>16</v>
      </c>
      <c r="F272" s="7">
        <v>44162</v>
      </c>
      <c r="H272">
        <f>H271+C272</f>
        <v>9469322.0353995431</v>
      </c>
    </row>
    <row r="273" spans="1:97" ht="19.5">
      <c r="C273">
        <f>H272*D273</f>
        <v>264641.78009635524</v>
      </c>
      <c r="D273">
        <f>D272</f>
        <v>0.0279472784965</v>
      </c>
      <c r="E273" t="s">
        <v>17</v>
      </c>
      <c r="F273" s="7">
        <v>44163</v>
      </c>
      <c r="H273">
        <f>H272+C273</f>
        <v>9733963.8154958989</v>
      </c>
    </row>
    <row r="274" spans="1:97" ht="19.5">
      <c r="C274">
        <f>H273*D274</f>
        <v>272037.79762651765</v>
      </c>
      <c r="D274">
        <f>D273</f>
        <v>0.0279472784965</v>
      </c>
      <c r="E274" t="s">
        <v>11</v>
      </c>
      <c r="F274" s="7">
        <v>44164</v>
      </c>
      <c r="H274">
        <f>H273+C274</f>
        <v>10006001.613122417</v>
      </c>
    </row>
    <row r="275" spans="1:97" ht="19.5">
      <c r="C275">
        <f>H274*D275</f>
        <v>279640.51371836045</v>
      </c>
      <c r="D275">
        <f>D274</f>
        <v>0.0279472784965</v>
      </c>
      <c r="E275" t="s">
        <v>12</v>
      </c>
      <c r="F275" s="7">
        <v>44165</v>
      </c>
      <c r="H275">
        <f>H274+C275</f>
        <v>10285642.126840778</v>
      </c>
    </row>
    <row r="276" spans="1:97" ht="19.5">
      <c r="C276">
        <f>H275*D276</f>
        <v>287455.70503415179</v>
      </c>
      <c r="D276">
        <f>D275</f>
        <v>0.0279472784965</v>
      </c>
      <c r="E276" t="s">
        <v>13</v>
      </c>
      <c r="F276" s="7">
        <v>44166</v>
      </c>
      <c r="H276">
        <f>H275+C276</f>
        <v>10573097.831874929</v>
      </c>
    </row>
    <row r="277" spans="1:97" ht="19.5">
      <c r="E277" t="s">
        <v>14</v>
      </c>
      <c r="F277" s="7">
        <v>44167</v>
      </c>
    </row>
    <row r="278" spans="1:97" ht="19.5">
      <c r="E278" t="s">
        <v>15</v>
      </c>
      <c r="F278" s="7">
        <v>44168</v>
      </c>
    </row>
    <row r="279" spans="1:97" ht="19.5">
      <c r="E279" t="s">
        <v>16</v>
      </c>
      <c r="F279" s="7">
        <v>44169</v>
      </c>
    </row>
    <row r="280" spans="1:97" ht="21">
      <c r="E280" t="s">
        <v>17</v>
      </c>
      <c r="F280" s="7">
        <v>44170</v>
      </c>
    </row>
    <row r="281" spans="1:97" ht="19.5">
      <c r="E281" t="s">
        <v>11</v>
      </c>
      <c r="F281" s="7">
        <v>44171</v>
      </c>
    </row>
    <row r="282" spans="1:97" ht="19.5">
      <c r="E282" t="s">
        <v>12</v>
      </c>
      <c r="F282" s="7">
        <v>44172</v>
      </c>
    </row>
    <row r="283" spans="1:97" ht="19.5">
      <c r="E283" t="s">
        <v>13</v>
      </c>
      <c r="F283" s="7">
        <v>44173</v>
      </c>
    </row>
    <row r="284" spans="1:97" ht="19.5">
      <c r="E284" t="s">
        <v>14</v>
      </c>
      <c r="F284" s="7">
        <v>44174</v>
      </c>
    </row>
    <row r="285" spans="1:97" ht="19.5">
      <c r="E285" t="s">
        <v>15</v>
      </c>
      <c r="F285" s="7">
        <v>44175</v>
      </c>
    </row>
    <row r="286" spans="1:97" ht="19.5">
      <c r="E286" t="s">
        <v>16</v>
      </c>
      <c r="F286" s="7">
        <v>44176</v>
      </c>
    </row>
    <row r="287" spans="1:97" ht="19.5">
      <c r="E287" t="s">
        <v>17</v>
      </c>
      <c r="F287" s="7">
        <v>44177</v>
      </c>
    </row>
    <row r="288" spans="1:97" ht="19.5">
      <c r="E288" t="s">
        <v>11</v>
      </c>
      <c r="F288" s="7">
        <v>44178</v>
      </c>
    </row>
    <row r="289" spans="1:97" ht="19.5">
      <c r="E289" t="s">
        <v>12</v>
      </c>
      <c r="F289" s="7">
        <v>44179</v>
      </c>
    </row>
    <row r="290" spans="1:97" ht="19.5">
      <c r="E290" t="s">
        <v>13</v>
      </c>
      <c r="F290" s="7">
        <v>44180</v>
      </c>
    </row>
    <row r="291" spans="1:97" ht="19.5">
      <c r="E291" t="s">
        <v>14</v>
      </c>
      <c r="F291" s="7">
        <v>44181</v>
      </c>
    </row>
    <row r="292" spans="1:97" ht="19.5">
      <c r="E292" t="s">
        <v>15</v>
      </c>
      <c r="F292" s="7">
        <v>44182</v>
      </c>
    </row>
    <row r="293" spans="1:97" ht="19.5">
      <c r="E293" t="s">
        <v>16</v>
      </c>
      <c r="F293" s="7">
        <v>44183</v>
      </c>
    </row>
    <row r="294" spans="1:97" ht="19.5">
      <c r="E294" t="s">
        <v>17</v>
      </c>
      <c r="F294" s="7">
        <v>44184</v>
      </c>
    </row>
    <row r="295" spans="1:97" ht="19.5">
      <c r="E295" t="s">
        <v>11</v>
      </c>
      <c r="F295" s="7">
        <v>44185</v>
      </c>
    </row>
    <row r="296" spans="1:97" ht="19.5">
      <c r="E296" t="s">
        <v>12</v>
      </c>
      <c r="F296" s="7">
        <v>44186</v>
      </c>
    </row>
    <row r="297" spans="1:97" ht="19.5">
      <c r="E297" t="s">
        <v>13</v>
      </c>
      <c r="F297" s="7">
        <v>44187</v>
      </c>
    </row>
    <row r="298" spans="1:97" ht="19.5">
      <c r="E298" t="s">
        <v>14</v>
      </c>
      <c r="F298" s="7">
        <v>44188</v>
      </c>
    </row>
    <row r="299" spans="1:97" ht="19.5">
      <c r="E299" t="s">
        <v>15</v>
      </c>
      <c r="F299" s="7">
        <v>44189</v>
      </c>
    </row>
    <row r="300" spans="1:97" ht="19.5">
      <c r="E300" t="s">
        <v>16</v>
      </c>
      <c r="F300" s="7">
        <v>44190</v>
      </c>
    </row>
    <row r="301" spans="1:97" ht="19.5">
      <c r="E301" t="s">
        <v>17</v>
      </c>
      <c r="F301" s="7">
        <v>44191</v>
      </c>
    </row>
    <row r="302" spans="1:97" ht="19.5">
      <c r="E302" t="s">
        <v>11</v>
      </c>
      <c r="F302" s="7">
        <v>44192</v>
      </c>
    </row>
    <row r="303" spans="1:97" ht="19.5">
      <c r="E303" t="s">
        <v>12</v>
      </c>
      <c r="F303" s="7">
        <v>44193</v>
      </c>
    </row>
    <row r="304" spans="1:97" ht="19.5">
      <c r="E304" t="s">
        <v>13</v>
      </c>
      <c r="F304" s="7">
        <v>44194</v>
      </c>
    </row>
    <row r="305" spans="1:97" ht="19.5">
      <c r="E305" t="s">
        <v>14</v>
      </c>
      <c r="F305" s="7">
        <v>44195</v>
      </c>
    </row>
    <row r="306" spans="1:97" ht="19.5">
      <c r="E306" t="s">
        <v>15</v>
      </c>
      <c r="F306" s="7">
        <v>44196</v>
      </c>
    </row>
    <row r="307" spans="1:97" ht="19.5">
      <c r="E307" t="s">
        <v>16</v>
      </c>
      <c r="F307" s="7">
        <v>44197</v>
      </c>
      <c r="H307" s="1" t="inlineStr">
        <is>
          <t>For the year 2021:</t>
        </is>
      </c>
    </row>
    <row r="308" spans="1:97" ht="19.5">
      <c r="E308" t="s">
        <v>17</v>
      </c>
      <c r="F308" s="7">
        <v>44198</v>
      </c>
      <c r="H308" s="1"/>
    </row>
    <row r="309" spans="1:97" ht="19.5">
      <c r="E309" t="s">
        <v>11</v>
      </c>
      <c r="F309" s="7">
        <v>44199</v>
      </c>
      <c r="H309" s="1" t="inlineStr">
        <is>
          <t>Use SUNDAY 1/3, 2/28, 3/7, 4/4, 5/9, 6/6, 7/11, 8/8, 9/5, 10/10, 11/7 and 12/12</t>
        </is>
      </c>
    </row>
    <row r="310" spans="1:97" ht="19.5">
      <c r="E310" t="s">
        <v>12</v>
      </c>
      <c r="F310" s="7">
        <v>44200</v>
      </c>
    </row>
    <row r="311" spans="1:97" ht="19.5">
      <c r="E311" t="s">
        <v>13</v>
      </c>
      <c r="F311" s="7">
        <v>44201</v>
      </c>
    </row>
    <row r="312" spans="1:97" ht="19.5">
      <c r="E312" t="s">
        <v>14</v>
      </c>
      <c r="F312" s="7">
        <v>44202</v>
      </c>
    </row>
    <row r="313" spans="1:9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97" ht="19.5">
      <c r="E314" t="s">
        <v>16</v>
      </c>
      <c r="F314" s="7">
        <v>44204</v>
      </c>
    </row>
    <row r="315" spans="1:97" ht="19.5">
      <c r="E315" t="s">
        <v>17</v>
      </c>
      <c r="F315" s="7">
        <v>44205</v>
      </c>
    </row>
    <row r="316" spans="1:97" ht="19.5">
      <c r="E316" t="s">
        <v>11</v>
      </c>
      <c r="F316" s="7">
        <v>44206</v>
      </c>
    </row>
    <row r="317" spans="1:97" ht="19.5">
      <c r="E317" t="s">
        <v>12</v>
      </c>
      <c r="F317" s="7">
        <v>44207</v>
      </c>
    </row>
    <row r="318" spans="1:97" ht="19.5">
      <c r="E318" t="s">
        <v>13</v>
      </c>
      <c r="F318" s="7">
        <v>44208</v>
      </c>
    </row>
    <row r="319" spans="1:97" ht="19.5">
      <c r="E319" t="s">
        <v>14</v>
      </c>
      <c r="F319" s="7">
        <v>44209</v>
      </c>
    </row>
    <row r="320" spans="1:97" ht="19.5">
      <c r="E320" t="s">
        <v>15</v>
      </c>
      <c r="F320" s="7">
        <v>44210</v>
      </c>
    </row>
    <row r="321" spans="1:97" ht="19.5">
      <c r="E321" t="s">
        <v>16</v>
      </c>
      <c r="F321">
        <v>15</v>
      </c>
    </row>
    <row r="322" spans="1:97" ht="19.5">
      <c r="E322" t="s">
        <v>17</v>
      </c>
      <c r="F322">
        <v>16</v>
      </c>
    </row>
    <row r="323" spans="1:97" ht="19.5">
      <c r="E323" t="s">
        <v>11</v>
      </c>
      <c r="F323">
        <v>17</v>
      </c>
    </row>
    <row r="324" spans="1:97" ht="19.5">
      <c r="E324" t="s">
        <v>12</v>
      </c>
      <c r="F324">
        <v>18</v>
      </c>
    </row>
    <row r="325" spans="1:97" ht="19.5">
      <c r="E325" t="s">
        <v>13</v>
      </c>
      <c r="F325">
        <v>19</v>
      </c>
    </row>
    <row r="326" spans="1:97" ht="19.5">
      <c r="E326" t="s">
        <v>14</v>
      </c>
      <c r="F326">
        <v>20</v>
      </c>
    </row>
    <row r="327" spans="1:97" ht="19.5">
      <c r="E327" t="s">
        <v>15</v>
      </c>
      <c r="F327" s="7">
        <v>44217</v>
      </c>
    </row>
    <row r="328" spans="1:97" ht="19.5">
      <c r="E328" t="s">
        <v>16</v>
      </c>
      <c r="F328">
        <v>22</v>
      </c>
    </row>
    <row r="329" spans="1:97" ht="19.5">
      <c r="E329" t="s">
        <v>17</v>
      </c>
      <c r="F329">
        <v>23</v>
      </c>
    </row>
    <row r="330" spans="1:97" ht="19.5">
      <c r="E330" t="s">
        <v>11</v>
      </c>
      <c r="F330">
        <v>24</v>
      </c>
    </row>
    <row r="331" spans="1:97" ht="19.5">
      <c r="E331" t="s">
        <v>12</v>
      </c>
      <c r="F331">
        <v>25</v>
      </c>
    </row>
    <row r="332" spans="1:97" ht="19.5">
      <c r="E332" t="s">
        <v>13</v>
      </c>
      <c r="F332">
        <v>26</v>
      </c>
    </row>
    <row r="333" spans="1:97" ht="19.5">
      <c r="E333" t="s">
        <v>14</v>
      </c>
      <c r="F333">
        <v>27</v>
      </c>
    </row>
    <row r="334" spans="1:97" ht="19.5">
      <c r="E334" t="s">
        <v>15</v>
      </c>
      <c r="F334" s="7">
        <v>44224</v>
      </c>
    </row>
    <row r="335" spans="1:97" ht="19.5">
      <c r="E335" t="s">
        <v>16</v>
      </c>
      <c r="F335" s="7">
        <v>44225</v>
      </c>
    </row>
    <row r="336" spans="1:97" ht="19.5">
      <c r="E336" t="s">
        <v>17</v>
      </c>
      <c r="F336" s="7">
        <v>44226</v>
      </c>
    </row>
    <row r="337" spans="1:97" ht="19.5">
      <c r="E337" t="s">
        <v>11</v>
      </c>
      <c r="F337" s="7">
        <v>44227</v>
      </c>
    </row>
    <row r="338" spans="1:97" ht="19.5">
      <c r="E338" t="s">
        <v>12</v>
      </c>
      <c r="F338" s="7">
        <v>44228</v>
      </c>
    </row>
    <row r="339" spans="1:97" ht="19.5">
      <c r="E339" t="s">
        <v>13</v>
      </c>
      <c r="F339" s="7">
        <v>44229</v>
      </c>
    </row>
    <row r="340" spans="1:97" ht="19.5">
      <c r="E340" t="s">
        <v>14</v>
      </c>
      <c r="F340" s="7">
        <v>44230</v>
      </c>
    </row>
    <row r="341" spans="1:97" ht="19.5">
      <c r="E341" t="s">
        <v>15</v>
      </c>
      <c r="F341" s="7">
        <v>44231</v>
      </c>
    </row>
    <row r="342" spans="1:97" ht="19.5">
      <c r="E342" t="s">
        <v>16</v>
      </c>
      <c r="F342" s="7">
        <v>44232</v>
      </c>
    </row>
    <row r="343" spans="1:97" ht="19.5">
      <c r="E343" t="s">
        <v>17</v>
      </c>
      <c r="F343" s="7">
        <v>44233</v>
      </c>
    </row>
    <row r="344" spans="1:97" ht="19.5">
      <c r="E344" t="s">
        <v>11</v>
      </c>
      <c r="F344" s="7">
        <v>44234</v>
      </c>
    </row>
    <row r="345" spans="1:97" ht="19.5">
      <c r="E345" t="s">
        <v>12</v>
      </c>
      <c r="F345" s="7">
        <v>44235</v>
      </c>
    </row>
    <row r="346" spans="1:97" ht="19.5">
      <c r="E346" t="s">
        <v>13</v>
      </c>
      <c r="F346">
        <v>9</v>
      </c>
    </row>
    <row r="347" spans="1:97" ht="19.5">
      <c r="E347" t="s">
        <v>14</v>
      </c>
      <c r="F347">
        <v>10</v>
      </c>
    </row>
    <row r="348" spans="1:97" ht="19.5">
      <c r="E348" t="s">
        <v>15</v>
      </c>
      <c r="F348">
        <v>11</v>
      </c>
    </row>
    <row r="349" spans="1:97" ht="19.5">
      <c r="E349" t="s">
        <v>16</v>
      </c>
      <c r="F349">
        <v>12</v>
      </c>
    </row>
    <row r="350" spans="1:97" ht="19.5">
      <c r="E350" t="s">
        <v>17</v>
      </c>
      <c r="F350">
        <v>13</v>
      </c>
    </row>
    <row r="351" spans="1:97" ht="19.5">
      <c r="E351" t="s">
        <v>11</v>
      </c>
      <c r="F351" s="7">
        <v>44241</v>
      </c>
    </row>
    <row r="352" spans="1:97" ht="19.5">
      <c r="E352" t="s">
        <v>12</v>
      </c>
      <c r="F352">
        <v>15</v>
      </c>
    </row>
    <row r="353" spans="1:97" ht="19.5">
      <c r="E353" t="s">
        <v>13</v>
      </c>
      <c r="F353">
        <v>16</v>
      </c>
    </row>
    <row r="354" spans="1:97" ht="19.5">
      <c r="E354" t="s">
        <v>14</v>
      </c>
      <c r="F354">
        <v>17</v>
      </c>
    </row>
    <row r="355" spans="1:97" ht="19.5">
      <c r="E355" t="s">
        <v>15</v>
      </c>
      <c r="F355">
        <v>18</v>
      </c>
    </row>
    <row r="356" spans="1:97" ht="19.5">
      <c r="E356" t="s">
        <v>16</v>
      </c>
      <c r="F356">
        <v>19</v>
      </c>
    </row>
    <row r="357" spans="1:97" ht="19.5">
      <c r="E357" t="s">
        <v>17</v>
      </c>
      <c r="F357">
        <v>20</v>
      </c>
    </row>
    <row r="358" spans="1:97" ht="19.5">
      <c r="E358" t="s">
        <v>11</v>
      </c>
      <c r="F358" s="7">
        <v>44248</v>
      </c>
    </row>
    <row r="359" spans="1:97" ht="19.5">
      <c r="E359" t="s">
        <v>12</v>
      </c>
      <c r="F359">
        <v>22</v>
      </c>
    </row>
    <row r="360" spans="1:97" ht="19.5">
      <c r="E360" t="s">
        <v>13</v>
      </c>
      <c r="F360">
        <v>23</v>
      </c>
    </row>
    <row r="361" spans="1:97" ht="19.5">
      <c r="E361" t="s">
        <v>14</v>
      </c>
      <c r="F361">
        <v>24</v>
      </c>
    </row>
    <row r="362" spans="1:97" ht="19.5">
      <c r="E362" t="s">
        <v>15</v>
      </c>
      <c r="F362">
        <v>25</v>
      </c>
    </row>
    <row r="363" spans="1:97" ht="19.5">
      <c r="E363" t="s">
        <v>16</v>
      </c>
      <c r="F363" s="7">
        <v>44253</v>
      </c>
    </row>
    <row r="364" spans="1:97" ht="19.5">
      <c r="E364" t="s">
        <v>17</v>
      </c>
      <c r="F364" s="7">
        <v>44254</v>
      </c>
    </row>
    <row r="365" spans="1:97" ht="19.5">
      <c r="E365" t="s">
        <v>11</v>
      </c>
      <c r="F365" s="7">
        <v>44255</v>
      </c>
    </row>
    <row r="366" spans="1:97" ht="19.5">
      <c r="E366" t="s">
        <v>12</v>
      </c>
      <c r="F366" s="7">
        <v>44256</v>
      </c>
    </row>
    <row r="367" spans="1:97" ht="19.5">
      <c r="E367" t="s">
        <v>13</v>
      </c>
      <c r="F367" s="7">
        <v>44257</v>
      </c>
    </row>
    <row r="368" spans="1:97" ht="19.5">
      <c r="E368" t="s">
        <v>14</v>
      </c>
      <c r="F368" s="7">
        <v>44258</v>
      </c>
    </row>
    <row r="369" spans="1:97" ht="19.5">
      <c r="E369" t="s">
        <v>15</v>
      </c>
      <c r="F369" s="7">
        <v>44259</v>
      </c>
    </row>
    <row r="370" spans="1:97" ht="19.5">
      <c r="E370" t="s">
        <v>16</v>
      </c>
      <c r="F370" s="7">
        <v>44260</v>
      </c>
    </row>
    <row r="371" spans="1:97" ht="19.5">
      <c r="E371" t="s">
        <v>17</v>
      </c>
      <c r="F371" s="7">
        <v>44261</v>
      </c>
    </row>
    <row r="372" spans="1:97" ht="19.5">
      <c r="E372" t="s">
        <v>11</v>
      </c>
      <c r="F372" s="7">
        <v>44262</v>
      </c>
    </row>
    <row r="373" spans="1:97" ht="19.5">
      <c r="E373" t="s">
        <v>12</v>
      </c>
      <c r="F373" s="7">
        <v>44263</v>
      </c>
    </row>
    <row r="374" spans="1:97" ht="19.5">
      <c r="E374" t="s">
        <v>13</v>
      </c>
      <c r="F374">
        <v>9</v>
      </c>
    </row>
    <row r="375" spans="1:97" ht="19.5">
      <c r="E375" t="s">
        <v>14</v>
      </c>
      <c r="F375">
        <v>10</v>
      </c>
    </row>
    <row r="376" spans="1:97" ht="19.5">
      <c r="E376" t="s">
        <v>15</v>
      </c>
      <c r="F376">
        <v>11</v>
      </c>
    </row>
    <row r="377" spans="1:97" ht="19.5">
      <c r="E377" t="s">
        <v>16</v>
      </c>
      <c r="F377">
        <v>12</v>
      </c>
    </row>
    <row r="378" spans="1:97" ht="19.5">
      <c r="E378" t="s">
        <v>17</v>
      </c>
      <c r="F378">
        <v>13</v>
      </c>
    </row>
    <row r="379" spans="1:97" ht="19.5">
      <c r="E379" t="s">
        <v>11</v>
      </c>
      <c r="F379" s="7">
        <v>44269</v>
      </c>
    </row>
    <row r="380" spans="1:97" ht="19.5">
      <c r="E380" t="s">
        <v>12</v>
      </c>
      <c r="F380">
        <v>15</v>
      </c>
    </row>
    <row r="381" spans="1:97" ht="19.5">
      <c r="E381" t="s">
        <v>13</v>
      </c>
      <c r="F381">
        <v>16</v>
      </c>
    </row>
    <row r="382" spans="1:97" ht="19.5">
      <c r="E382" t="s">
        <v>14</v>
      </c>
      <c r="F382">
        <v>17</v>
      </c>
    </row>
    <row r="383" spans="1:97" ht="19.5">
      <c r="E383" t="s">
        <v>15</v>
      </c>
      <c r="F383">
        <v>18</v>
      </c>
    </row>
    <row r="384" spans="1:97" ht="19.5">
      <c r="E384" t="s">
        <v>16</v>
      </c>
      <c r="F384">
        <v>19</v>
      </c>
    </row>
    <row r="385" spans="1:97" ht="19.5">
      <c r="E385" t="s">
        <v>17</v>
      </c>
      <c r="F385">
        <v>20</v>
      </c>
    </row>
    <row r="386" spans="1:97" ht="19.5">
      <c r="E386" t="s">
        <v>11</v>
      </c>
      <c r="F386" s="7">
        <v>44276</v>
      </c>
    </row>
    <row r="387" spans="1:97" ht="19.5">
      <c r="E387" t="s">
        <v>12</v>
      </c>
      <c r="F387">
        <v>22</v>
      </c>
    </row>
    <row r="388" spans="1:97" ht="19.5">
      <c r="E388" t="s">
        <v>13</v>
      </c>
      <c r="F388">
        <v>23</v>
      </c>
    </row>
    <row r="389" spans="1:97" ht="19.5">
      <c r="E389" t="s">
        <v>14</v>
      </c>
      <c r="F389">
        <v>24</v>
      </c>
    </row>
    <row r="390" spans="1:97" ht="19.5">
      <c r="E390" t="s">
        <v>15</v>
      </c>
      <c r="F390">
        <v>25</v>
      </c>
    </row>
    <row r="391" spans="1:97" ht="19.5">
      <c r="E391" t="s">
        <v>16</v>
      </c>
      <c r="F391">
        <v>26</v>
      </c>
    </row>
    <row r="392" spans="1:97" ht="19.5">
      <c r="E392" t="s">
        <v>17</v>
      </c>
      <c r="F392" s="7">
        <v>44282</v>
      </c>
    </row>
    <row r="393" spans="1:97" ht="19.5">
      <c r="E393" t="s">
        <v>11</v>
      </c>
      <c r="F393" s="7">
        <v>44283</v>
      </c>
    </row>
    <row r="394" spans="1:97" ht="19.5">
      <c r="E394" t="s">
        <v>12</v>
      </c>
      <c r="F394" s="7">
        <v>44284</v>
      </c>
    </row>
    <row r="395" spans="1:97" ht="19.5">
      <c r="E395" t="s">
        <v>13</v>
      </c>
      <c r="F395" s="7">
        <v>44285</v>
      </c>
    </row>
    <row r="396" spans="1:97" ht="19.5">
      <c r="E396" t="s">
        <v>14</v>
      </c>
      <c r="F396" s="7">
        <v>44286</v>
      </c>
    </row>
    <row r="397" spans="1:97" ht="19.5">
      <c r="E397" t="s">
        <v>15</v>
      </c>
      <c r="F397" s="7">
        <v>44287</v>
      </c>
    </row>
    <row r="398" spans="1:97" ht="19.5">
      <c r="E398" t="s">
        <v>16</v>
      </c>
      <c r="F398" s="7">
        <v>44288</v>
      </c>
    </row>
    <row r="399" spans="1:97" ht="19.5">
      <c r="E399" t="s">
        <v>17</v>
      </c>
      <c r="F399" s="7">
        <v>44289</v>
      </c>
    </row>
    <row r="400" spans="1:97" ht="19.5">
      <c r="E400" t="s">
        <v>11</v>
      </c>
      <c r="F400" s="7">
        <v>44290</v>
      </c>
    </row>
    <row r="401" spans="1:97" ht="19.5">
      <c r="E401" t="s">
        <v>12</v>
      </c>
      <c r="F401">
        <v>5</v>
      </c>
    </row>
    <row r="402" spans="1:97" ht="19.5">
      <c r="E402" t="s">
        <v>13</v>
      </c>
      <c r="F402">
        <v>6</v>
      </c>
    </row>
    <row r="403" spans="1:97" ht="19.5">
      <c r="E403" t="s">
        <v>14</v>
      </c>
      <c r="F403" s="7">
        <v>44293</v>
      </c>
    </row>
    <row r="404" spans="1:97" ht="19.5">
      <c r="E404" t="s">
        <v>15</v>
      </c>
      <c r="F404" s="7">
        <v>44294</v>
      </c>
    </row>
    <row r="405" spans="1:97" ht="19.5">
      <c r="E405" t="s">
        <v>16</v>
      </c>
      <c r="F405">
        <v>9</v>
      </c>
    </row>
    <row r="406" spans="1:97" ht="19.5">
      <c r="E406" t="s">
        <v>17</v>
      </c>
      <c r="F406">
        <v>10</v>
      </c>
    </row>
    <row r="407" spans="1:97" ht="19.5">
      <c r="E407" t="s">
        <v>11</v>
      </c>
      <c r="F407" s="7">
        <v>44297</v>
      </c>
    </row>
    <row r="408" spans="1:97" ht="19.5">
      <c r="E408" t="s">
        <v>12</v>
      </c>
      <c r="F408">
        <v>12</v>
      </c>
    </row>
    <row r="409" spans="1:97" ht="19.5">
      <c r="E409" t="s">
        <v>13</v>
      </c>
      <c r="F409">
        <v>13</v>
      </c>
    </row>
    <row r="410" spans="1:97" ht="19.5">
      <c r="E410" t="s">
        <v>14</v>
      </c>
      <c r="F410" s="7">
        <v>44300</v>
      </c>
    </row>
    <row r="411" spans="1:97" ht="19.5">
      <c r="E411" t="s">
        <v>15</v>
      </c>
      <c r="F411">
        <v>15</v>
      </c>
    </row>
    <row r="412" spans="1:97" ht="19.5">
      <c r="E412" t="s">
        <v>16</v>
      </c>
      <c r="F412">
        <v>16</v>
      </c>
    </row>
    <row r="413" spans="1:97" ht="19.5">
      <c r="E413" t="s">
        <v>17</v>
      </c>
      <c r="F413">
        <v>17</v>
      </c>
    </row>
    <row r="414" spans="1:97" ht="19.5">
      <c r="E414" t="s">
        <v>11</v>
      </c>
      <c r="F414" s="7">
        <v>44304</v>
      </c>
    </row>
    <row r="415" spans="1:97" ht="19.5">
      <c r="E415" t="s">
        <v>12</v>
      </c>
      <c r="F415">
        <v>19</v>
      </c>
    </row>
    <row r="416" spans="1:97" ht="19.5">
      <c r="E416" t="s">
        <v>13</v>
      </c>
      <c r="F416">
        <v>20</v>
      </c>
    </row>
    <row r="417" spans="1:97" ht="19.5">
      <c r="E417" t="s">
        <v>14</v>
      </c>
      <c r="F417" s="7">
        <v>44307</v>
      </c>
    </row>
    <row r="418" spans="1:97" ht="19.5">
      <c r="E418" t="s">
        <v>15</v>
      </c>
      <c r="F418">
        <v>22</v>
      </c>
    </row>
    <row r="419" spans="1:97" ht="19.5">
      <c r="E419" t="s">
        <v>16</v>
      </c>
      <c r="F419">
        <v>23</v>
      </c>
    </row>
    <row r="420" spans="1:97" ht="19.5">
      <c r="E420" t="s">
        <v>17</v>
      </c>
      <c r="F420">
        <v>24</v>
      </c>
    </row>
    <row r="421" spans="1:97" ht="19.5">
      <c r="E421" t="s">
        <v>11</v>
      </c>
      <c r="F421" s="7">
        <v>44311</v>
      </c>
    </row>
    <row r="422" spans="1:97" ht="19.5">
      <c r="E422" t="s">
        <v>12</v>
      </c>
      <c r="F422">
        <v>26</v>
      </c>
    </row>
    <row r="423" spans="1:97" ht="19.5">
      <c r="E423" t="s">
        <v>13</v>
      </c>
      <c r="F423">
        <v>27</v>
      </c>
    </row>
    <row r="424" spans="1:97" ht="19.5">
      <c r="E424" t="s">
        <v>14</v>
      </c>
      <c r="F424" s="7">
        <v>44314</v>
      </c>
    </row>
    <row r="425" spans="1:97" ht="19.5">
      <c r="E425" t="s">
        <v>15</v>
      </c>
      <c r="F425" s="7">
        <v>44315</v>
      </c>
    </row>
    <row r="426" spans="1:97" ht="19.5">
      <c r="E426" t="s">
        <v>16</v>
      </c>
      <c r="F426" s="7">
        <v>44316</v>
      </c>
    </row>
    <row r="427" spans="1:97" ht="19.5">
      <c r="E427" t="s">
        <v>17</v>
      </c>
      <c r="F427" s="7">
        <v>44317</v>
      </c>
    </row>
    <row r="428" spans="1:97" ht="19.5">
      <c r="E428" t="s">
        <v>11</v>
      </c>
      <c r="F428" s="7">
        <v>44318</v>
      </c>
    </row>
    <row r="429" spans="1:97" ht="19.5">
      <c r="E429" t="s">
        <v>12</v>
      </c>
      <c r="F429" s="7">
        <v>44319</v>
      </c>
    </row>
    <row r="430" spans="1:97" ht="19.5">
      <c r="E430" t="s">
        <v>13</v>
      </c>
      <c r="F430" s="7">
        <v>44320</v>
      </c>
    </row>
    <row r="431" spans="1:97" ht="19.5">
      <c r="E431" t="s">
        <v>14</v>
      </c>
      <c r="F431" s="7">
        <v>44321</v>
      </c>
    </row>
    <row r="432" spans="1:97" ht="19.5">
      <c r="E432" t="s">
        <v>15</v>
      </c>
      <c r="F432" s="7">
        <v>44322</v>
      </c>
    </row>
    <row r="433" spans="1:97" ht="19.5">
      <c r="E433" t="s">
        <v>16</v>
      </c>
      <c r="F433" s="7">
        <v>44323</v>
      </c>
    </row>
    <row r="434" spans="1:97" ht="19.5">
      <c r="E434" t="s">
        <v>17</v>
      </c>
      <c r="F434">
        <v>8</v>
      </c>
    </row>
    <row r="435" spans="1:97" ht="19.5">
      <c r="E435" t="s">
        <v>11</v>
      </c>
      <c r="F435" s="7">
        <v>44325</v>
      </c>
    </row>
    <row r="436" spans="1:97" ht="19.5">
      <c r="E436" t="s">
        <v>12</v>
      </c>
      <c r="F436">
        <v>10</v>
      </c>
    </row>
    <row r="437" spans="1:97" ht="19.5">
      <c r="E437" t="s">
        <v>13</v>
      </c>
      <c r="F437">
        <v>11</v>
      </c>
    </row>
    <row r="438" spans="1:97" ht="19.5">
      <c r="E438" t="s">
        <v>14</v>
      </c>
      <c r="F438">
        <v>12</v>
      </c>
    </row>
    <row r="439" spans="1:97" ht="19.5">
      <c r="E439" t="s">
        <v>15</v>
      </c>
      <c r="F439">
        <v>13</v>
      </c>
    </row>
    <row r="440" spans="1:97" ht="19.5">
      <c r="E440" t="s">
        <v>16</v>
      </c>
      <c r="F440" s="7">
        <v>44330</v>
      </c>
    </row>
    <row r="441" spans="1:97" ht="19.5">
      <c r="E441" t="s">
        <v>17</v>
      </c>
      <c r="F441" s="7">
        <v>44331</v>
      </c>
    </row>
    <row r="442" spans="1:97" ht="19.5">
      <c r="E442" t="s">
        <v>11</v>
      </c>
      <c r="F442">
        <v>16</v>
      </c>
    </row>
    <row r="443" spans="1:97" ht="19.5">
      <c r="E443" t="s">
        <v>12</v>
      </c>
      <c r="F443">
        <v>17</v>
      </c>
    </row>
    <row r="444" spans="1:97" ht="19.5">
      <c r="E444" t="s">
        <v>13</v>
      </c>
      <c r="F444">
        <v>18</v>
      </c>
    </row>
    <row r="445" spans="1:97" ht="19.5">
      <c r="E445" t="s">
        <v>14</v>
      </c>
      <c r="F445">
        <v>19</v>
      </c>
    </row>
    <row r="446" spans="1:97" ht="19.5">
      <c r="E446" t="s">
        <v>15</v>
      </c>
      <c r="F446">
        <v>20</v>
      </c>
    </row>
    <row r="447" spans="1:97" ht="19.5">
      <c r="E447" t="s">
        <v>16</v>
      </c>
      <c r="F447">
        <v>21</v>
      </c>
    </row>
    <row r="448" spans="1:97" ht="19.5">
      <c r="E448" t="s">
        <v>17</v>
      </c>
      <c r="F448">
        <v>22</v>
      </c>
    </row>
    <row r="449" spans="1:97" ht="19.5">
      <c r="E449" t="s">
        <v>11</v>
      </c>
      <c r="F449">
        <v>23</v>
      </c>
    </row>
    <row r="450" spans="1:97" ht="19.5">
      <c r="E450" t="s">
        <v>12</v>
      </c>
      <c r="F450">
        <v>24</v>
      </c>
    </row>
    <row r="451" spans="1:97" ht="19.5">
      <c r="E451" t="s">
        <v>13</v>
      </c>
      <c r="F451">
        <v>25</v>
      </c>
    </row>
    <row r="452" spans="1:97" ht="19.5">
      <c r="E452" t="s">
        <v>14</v>
      </c>
      <c r="F452">
        <v>26</v>
      </c>
    </row>
    <row r="453" spans="1:97" ht="19.5">
      <c r="E453" t="s">
        <v>15</v>
      </c>
      <c r="F453">
        <v>27</v>
      </c>
    </row>
    <row r="454" spans="1:97" ht="19.5">
      <c r="E454" t="s">
        <v>16</v>
      </c>
      <c r="F454">
        <v>28</v>
      </c>
    </row>
    <row r="455" spans="1:97" ht="19.5">
      <c r="E455" t="s">
        <v>17</v>
      </c>
      <c r="F455">
        <v>29</v>
      </c>
    </row>
    <row r="456" spans="1:97" ht="19.5">
      <c r="E456" t="s">
        <v>11</v>
      </c>
      <c r="F456" s="7">
        <v>44346</v>
      </c>
    </row>
    <row r="457" spans="1:97" ht="19.5">
      <c r="E457" t="s">
        <v>12</v>
      </c>
      <c r="F457" s="7">
        <v>44347</v>
      </c>
    </row>
    <row r="458" spans="1:97" ht="19.5">
      <c r="E458" t="s">
        <v>13</v>
      </c>
      <c r="F458" s="7">
        <v>44348</v>
      </c>
    </row>
    <row r="459" spans="1:97" ht="19.5">
      <c r="E459" t="s">
        <v>14</v>
      </c>
      <c r="F459">
        <v>2</v>
      </c>
    </row>
    <row r="460" spans="1:97" ht="19.5">
      <c r="E460" t="s">
        <v>15</v>
      </c>
      <c r="F460">
        <v>3</v>
      </c>
    </row>
    <row r="461" spans="1:97" ht="19.5">
      <c r="E461" t="s">
        <v>16</v>
      </c>
      <c r="F461">
        <v>4</v>
      </c>
    </row>
    <row r="462" spans="1:97" ht="19.5">
      <c r="E462" t="s">
        <v>17</v>
      </c>
      <c r="F462">
        <v>5</v>
      </c>
    </row>
    <row r="463" spans="1:97" ht="19.5">
      <c r="E463" t="s">
        <v>11</v>
      </c>
      <c r="F463" s="7">
        <v>44353</v>
      </c>
    </row>
    <row r="464" spans="1:97" ht="19.5">
      <c r="E464" t="s">
        <v>12</v>
      </c>
      <c r="F464" s="7">
        <v>44354</v>
      </c>
    </row>
    <row r="465" spans="1:97" ht="19.5">
      <c r="E465" t="s">
        <v>13</v>
      </c>
      <c r="F465">
        <v>8</v>
      </c>
    </row>
    <row r="466" spans="1:97" ht="19.5">
      <c r="E466" t="s">
        <v>14</v>
      </c>
      <c r="F466">
        <v>9</v>
      </c>
    </row>
    <row r="467" spans="1:97" ht="19.5">
      <c r="E467" t="s">
        <v>15</v>
      </c>
      <c r="F467">
        <v>10</v>
      </c>
    </row>
    <row r="468" spans="1:97" ht="19.5">
      <c r="E468" t="s">
        <v>16</v>
      </c>
      <c r="F468">
        <v>11</v>
      </c>
    </row>
    <row r="469" spans="1:97" ht="19.5">
      <c r="E469" t="s">
        <v>17</v>
      </c>
      <c r="F469">
        <v>12</v>
      </c>
    </row>
    <row r="470" spans="1:97" ht="19.5">
      <c r="E470" t="s">
        <v>11</v>
      </c>
      <c r="F470">
        <v>13</v>
      </c>
    </row>
    <row r="471" spans="1:97" ht="19.5">
      <c r="E471" t="s">
        <v>12</v>
      </c>
      <c r="F471">
        <v>14</v>
      </c>
    </row>
    <row r="472" spans="1:97" ht="19.5">
      <c r="E472" t="s">
        <v>13</v>
      </c>
      <c r="F472" s="7">
        <v>44362</v>
      </c>
    </row>
    <row r="473" spans="1:97" ht="19.5">
      <c r="E473" t="s">
        <v>14</v>
      </c>
      <c r="F473">
        <v>16</v>
      </c>
    </row>
    <row r="474" spans="1:97" ht="19.5">
      <c r="E474" t="s">
        <v>15</v>
      </c>
      <c r="F474">
        <v>17</v>
      </c>
    </row>
    <row r="475" spans="1:97" ht="19.5">
      <c r="E475" t="s">
        <v>16</v>
      </c>
      <c r="F475">
        <v>18</v>
      </c>
    </row>
    <row r="476" spans="1:97" ht="19.5">
      <c r="E476" t="s">
        <v>17</v>
      </c>
      <c r="F476">
        <v>19</v>
      </c>
    </row>
    <row r="477" spans="1:97" ht="19.5">
      <c r="E477" t="s">
        <v>11</v>
      </c>
      <c r="F477">
        <v>20</v>
      </c>
    </row>
    <row r="478" spans="1:97" ht="19.5">
      <c r="E478" t="s">
        <v>12</v>
      </c>
      <c r="F478">
        <v>21</v>
      </c>
    </row>
    <row r="479" spans="1:97" ht="19.5">
      <c r="E479" t="s">
        <v>13</v>
      </c>
      <c r="F479">
        <v>22</v>
      </c>
    </row>
    <row r="480" spans="1:97" ht="19.5">
      <c r="E480" t="s">
        <v>14</v>
      </c>
      <c r="F480">
        <v>23</v>
      </c>
    </row>
    <row r="481" spans="1:97" ht="19.5">
      <c r="E481" t="s">
        <v>15</v>
      </c>
      <c r="F481">
        <v>24</v>
      </c>
    </row>
    <row r="482" spans="1:97" ht="19.5">
      <c r="E482" t="s">
        <v>16</v>
      </c>
      <c r="F482">
        <v>25</v>
      </c>
    </row>
    <row r="483" spans="1:97" ht="19.5">
      <c r="E483" t="s">
        <v>17</v>
      </c>
      <c r="F483">
        <v>26</v>
      </c>
    </row>
    <row r="484" spans="1:97" ht="19.5">
      <c r="E484" t="s">
        <v>11</v>
      </c>
      <c r="F484">
        <v>27</v>
      </c>
    </row>
    <row r="485" spans="1:97" ht="19.5">
      <c r="E485" t="s">
        <v>12</v>
      </c>
      <c r="F485">
        <v>28</v>
      </c>
    </row>
    <row r="486" spans="1:97" ht="19.5">
      <c r="E486" t="s">
        <v>13</v>
      </c>
      <c r="F486">
        <v>29</v>
      </c>
    </row>
    <row r="487" spans="1:97" ht="19.5">
      <c r="E487" t="s">
        <v>14</v>
      </c>
      <c r="F487" s="7">
        <v>44377</v>
      </c>
    </row>
    <row r="488" spans="1:97" ht="19.5">
      <c r="E488" t="s">
        <v>15</v>
      </c>
      <c r="F488" s="7">
        <v>44378</v>
      </c>
    </row>
    <row r="489" spans="1:97" ht="19.5">
      <c r="E489" t="s">
        <v>16</v>
      </c>
      <c r="F489">
        <v>2</v>
      </c>
    </row>
    <row r="490" spans="1:97" ht="19.5">
      <c r="E490" t="s">
        <v>17</v>
      </c>
      <c r="F490">
        <v>3</v>
      </c>
    </row>
    <row r="491" spans="1:97" ht="19.5">
      <c r="E491" t="s">
        <v>11</v>
      </c>
      <c r="F491">
        <v>4</v>
      </c>
    </row>
    <row r="492" spans="1:97" ht="19.5">
      <c r="E492" t="s">
        <v>12</v>
      </c>
      <c r="F492">
        <v>5</v>
      </c>
    </row>
    <row r="493" spans="1:97" ht="19.5">
      <c r="E493" t="s">
        <v>13</v>
      </c>
      <c r="F493">
        <v>6</v>
      </c>
    </row>
    <row r="494" spans="1:97" ht="19.5">
      <c r="E494" t="s">
        <v>14</v>
      </c>
      <c r="F494">
        <v>7</v>
      </c>
    </row>
    <row r="495" spans="1:97" ht="19.5">
      <c r="E495" t="s">
        <v>15</v>
      </c>
      <c r="F495">
        <v>8</v>
      </c>
    </row>
    <row r="496" spans="1:97" ht="19.5">
      <c r="E496" t="s">
        <v>16</v>
      </c>
      <c r="F496">
        <v>9</v>
      </c>
    </row>
    <row r="497" spans="1:97" ht="19.5">
      <c r="E497" t="s">
        <v>17</v>
      </c>
      <c r="F497">
        <v>10</v>
      </c>
    </row>
    <row r="498" spans="1:97" ht="19.5">
      <c r="E498" t="s">
        <v>11</v>
      </c>
      <c r="F498">
        <v>11</v>
      </c>
    </row>
    <row r="499" spans="1:97" ht="19.5">
      <c r="E499" t="s">
        <v>12</v>
      </c>
      <c r="F499">
        <v>12</v>
      </c>
    </row>
    <row r="500" spans="1:97" ht="19.5">
      <c r="E500" t="s">
        <v>13</v>
      </c>
      <c r="F500">
        <v>13</v>
      </c>
    </row>
    <row r="501" spans="1:97" ht="19.5">
      <c r="E501" t="s">
        <v>14</v>
      </c>
      <c r="F501">
        <v>14</v>
      </c>
    </row>
    <row r="502" spans="1:97" ht="19.5">
      <c r="E502" t="s">
        <v>15</v>
      </c>
      <c r="F502">
        <v>15</v>
      </c>
    </row>
    <row r="503" spans="1:97" ht="19.5">
      <c r="E503" t="s">
        <v>16</v>
      </c>
      <c r="F503">
        <v>16</v>
      </c>
    </row>
    <row r="504" spans="1:97" ht="19.5">
      <c r="E504" t="s">
        <v>17</v>
      </c>
      <c r="F504">
        <v>17</v>
      </c>
    </row>
    <row r="505" spans="1:97" ht="19.5">
      <c r="E505" t="s">
        <v>11</v>
      </c>
      <c r="F505">
        <v>18</v>
      </c>
    </row>
    <row r="506" spans="1:97" ht="19.5">
      <c r="E506" t="s">
        <v>12</v>
      </c>
      <c r="F506">
        <v>19</v>
      </c>
    </row>
    <row r="507" spans="1:97" ht="19.5">
      <c r="E507" t="s">
        <v>13</v>
      </c>
      <c r="F507">
        <v>20</v>
      </c>
    </row>
    <row r="508" spans="1:97" ht="19.5">
      <c r="E508" t="s">
        <v>14</v>
      </c>
      <c r="F508">
        <v>21</v>
      </c>
    </row>
    <row r="509" spans="1:97" ht="19.5">
      <c r="E509" t="s">
        <v>15</v>
      </c>
      <c r="F509">
        <v>22</v>
      </c>
    </row>
    <row r="510" spans="1:97" ht="19.5">
      <c r="E510" t="s">
        <v>16</v>
      </c>
      <c r="F510">
        <v>23</v>
      </c>
    </row>
    <row r="511" spans="1:97" ht="19.5">
      <c r="F511">
        <v>24</v>
      </c>
    </row>
    <row r="512" spans="1:97" ht="19.5">
      <c r="F512">
        <v>25</v>
      </c>
    </row>
    <row r="513" spans="1:97" ht="19.5">
      <c r="F513">
        <v>26</v>
      </c>
    </row>
    <row r="514" spans="1:97" ht="19.5">
      <c r="F514">
        <v>27</v>
      </c>
    </row>
    <row r="515" spans="1:97" ht="19.5">
      <c r="F515">
        <v>28</v>
      </c>
    </row>
    <row r="516" spans="1:97" ht="19.5">
      <c r="F516">
        <v>29</v>
      </c>
    </row>
    <row r="517" spans="1:97" ht="19.5">
      <c r="F517">
        <v>30</v>
      </c>
    </row>
    <row r="518" spans="1:9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2020-04-26T22:29:14Z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