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20" windowHeight="806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<sst xmlns="http://schemas.openxmlformats.org/spreadsheetml/2006/main" uniqueCount="18" count="18">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</sst>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4">
    <numFmt formatCode="0.0%_);(0.0%)" numFmtId="100"/>
    <numFmt formatCode="#,##0_);(#,##0)" numFmtId="101"/>
    <numFmt formatCode="d-mmm-yyyy" numFmtId="102"/>
    <numFmt formatCode="0.000_);(0.000)" numFmtId="103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Sheet1!$AK$9:$AK$48</c:f>
            </c:numRef>
          </c:val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Sheet1!$AO$9:$AO$48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Sheet1!$AG$9:$AG$48</c:f>
            </c:numRef>
          </c:val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Sheet1!$AC$9:$AC$48</c:f>
            </c:numRef>
          </c:val>
        </c:ser>
        <c:ser>
          <c:idx val="4"/>
          <c:order val="4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Sheet1!$AS$9:$AS$48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Sheet1!$M$9:$M$48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Sheet1!$Q$9:$Q$48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Sheet1!$U$9:$U$48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Sheet1!$Y$9:$Y$48</c:f>
            </c:numRef>
          </c:val>
        </c:ser>
        <c:axId val="1"/>
        <c:axId val="2"/>
      </c:areaChart>
      <c:catAx>
        <c:axId val="1"/>
        <c:scaling>
          <c:orientation val="minMax"/>
          <c:max val="40"/>
          <c:min val="1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  <c:majorUnit val="2"/>
        <c:minorUnit val="2"/>
      </c:catAx>
      <c:valAx>
        <c:axId val="2"/>
        <c:scaling>
          <c:orientation val="minMax"/>
          <c:max val="17318.363636363636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9</xdr:col>
      <xdr:colOff>143962</xdr:colOff>
      <xdr:row>110</xdr:row>
      <xdr:rowOff>133235</xdr:rowOff>
    </xdr:from>
    <xdr:ext cx="10248899" cy="7429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N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1" width="25.712740384615387" customWidth="1"/>
    <col min="13" max="13" style="4" width="21.141586538461542" customWidth="1"/>
    <col min="14" max="14" style="4" width="12.570673076923079" customWidth="1"/>
    <col min="15" max="15" style="4" width="11.427884615384617" customWidth="1"/>
    <col min="16" max="16" style="1" width="16.85612980769231" customWidth="1"/>
    <col min="17" max="17" style="4" width="21.141586538461542" customWidth="1"/>
    <col min="18" max="18" style="4" width="13.570612980769232" bestFit="1" customWidth="1"/>
    <col min="19" max="19" style="4" width="11.427884615384617" bestFit="1" customWidth="1"/>
    <col min="20" max="20" style="1" width="17.99891826923077" customWidth="1"/>
    <col min="21" max="21" style="4" width="21.141586538461542" customWidth="1"/>
    <col min="22" max="23" style="4" width="11.427884615384617" bestFit="1" customWidth="1"/>
    <col min="24" max="24" style="1" width="9.142307692307693"/>
    <col min="25" max="25" style="4" width="21.141586538461542" customWidth="1"/>
    <col min="26" max="26" style="4" width="13.570612980769232" bestFit="1" customWidth="1"/>
    <col min="27" max="27" style="4" width="11.427884615384617" bestFit="1" customWidth="1"/>
    <col min="28" max="28" style="1" width="9.142307692307693"/>
    <col min="29" max="29" style="4" width="21.141586538461542" customWidth="1"/>
    <col min="30" max="30" style="4" width="11.427884615384617" bestFit="1" customWidth="1"/>
    <col min="31" max="31" style="4" width="12.42782451923077" bestFit="1" customWidth="1"/>
    <col min="32" max="32" style="1" width="9.142307692307693"/>
    <col min="33" max="33" style="4" width="21.141586538461542" customWidth="1"/>
    <col min="34" max="34" style="4" width="12.42782451923077" bestFit="1" customWidth="1"/>
    <col min="35" max="35" style="4" width="11.427884615384617" bestFit="1" customWidth="1"/>
    <col min="36" max="36" style="1" width="9.142307692307693"/>
    <col min="37" max="37" style="4" width="21.141586538461542" customWidth="1"/>
    <col min="38" max="38" style="4" width="12.42782451923077" bestFit="1" customWidth="1"/>
    <col min="39" max="39" style="4" width="13.713461538461539" customWidth="1"/>
    <col min="40" max="40" style="1" width="9.142307692307693"/>
    <col min="41" max="41" style="4" width="21.141586538461542" customWidth="1"/>
    <col min="42" max="42" style="4" width="11.427884615384617" bestFit="1" customWidth="1"/>
    <col min="43" max="43" style="4" width="12.42782451923077" bestFit="1" customWidth="1"/>
    <col min="44" max="44" style="1" width="12.42782451923077" bestFit="1" customWidth="1"/>
    <col min="45" max="45" style="4" width="21.141586538461542" customWidth="1"/>
    <col min="46" max="47" style="4" width="12.42782451923077" bestFit="1" customWidth="1"/>
    <col min="48" max="48" style="1" width="9.142307692307693"/>
    <col min="49" max="49" style="4" width="21.141586538461542" customWidth="1"/>
    <col min="50" max="51" style="4" width="14.2848557692307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5" width="14.28485576923077" customWidth="1"/>
    <col min="56" max="56" style="1" width="16.71328125" customWidth="1"/>
    <col min="57" max="66" style="1" width="11.85643028846154" bestFit="1" customWidth="1"/>
    <col min="67" max="256" style="1" width="9.142307692307693"/>
  </cols>
  <sheetData>
    <row r="1" spans="1:66" customHeight="1" ht="3">
      <c r="A1" t="inlineStr">
        <is>
          <t>a</t>
        </is>
      </c>
    </row>
    <row r="2" spans="1:66" customHeight="1" ht="3">
      <c r="A2" t="inlineStr">
        <is>
          <t>b</t>
        </is>
      </c>
    </row>
    <row r="3" spans="1:66" ht="19.5">
      <c r="A3" t="inlineStr">
        <is>
          <t>c</t>
        </is>
      </c>
      <c r="C3" t="inlineStr">
        <is>
          <t>Last revision:  Sunday, 19 Apr 2020 13:37 UTC - then 14:50 UTC</t>
        </is>
      </c>
    </row>
    <row r="4" spans="1:66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66" ht="19.5">
      <c r="A5" t="inlineStr">
        <is>
          <t>e</t>
        </is>
      </c>
      <c r="C5" t="s">
        <v>1</v>
      </c>
      <c r="G5" t="inlineStr">
        <is>
          <t>15x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66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66" ht="19.5">
      <c r="C7" s="1"/>
      <c r="H7" s="1"/>
      <c r="BC7" s="1"/>
    </row>
    <row r="8" spans="1:66" ht="19.5">
      <c r="C8" s="1">
        <v>1</v>
      </c>
      <c r="D8">
        <v>0</v>
      </c>
      <c r="E8" t="s">
        <v>11</v>
      </c>
      <c r="F8" s="6">
        <v>43898</v>
      </c>
      <c r="G8" s="2">
        <f>H8*15</f>
        <v>15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66" ht="19.5">
      <c r="C9">
        <f>H8*D9</f>
        <v>1</v>
      </c>
      <c r="D9">
        <v>1</v>
      </c>
      <c r="E9" t="s">
        <v>12</v>
      </c>
      <c r="F9" s="6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66" ht="19.5">
      <c r="C10">
        <f>H9*D10</f>
        <v>0</v>
      </c>
      <c r="D10">
        <v>0</v>
      </c>
      <c r="E10" t="s">
        <v>13</v>
      </c>
      <c r="F10" s="6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6">
        <v>43852</v>
      </c>
      <c r="BB10">
        <v>1</v>
      </c>
    </row>
    <row r="11" spans="1:66" ht="19.5">
      <c r="C11">
        <f>H10*D11</f>
        <v>1</v>
      </c>
      <c r="D11">
        <v>0.5</v>
      </c>
      <c r="E11" t="s">
        <v>14</v>
      </c>
      <c r="F11" s="6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6">
        <v>43853</v>
      </c>
      <c r="BB11">
        <v>1</v>
      </c>
      <c r="BC11">
        <f>(BB11/BB10)-1</f>
        <v>0</v>
      </c>
      <c r="BE11">
        <v>667801</v>
      </c>
    </row>
    <row r="12" spans="1:66" ht="19.5">
      <c r="C12">
        <f>H11*D12</f>
        <v>3</v>
      </c>
      <c r="D12">
        <v>1</v>
      </c>
      <c r="E12" t="s">
        <v>15</v>
      </c>
      <c r="F12" s="6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6">
        <v>43854</v>
      </c>
      <c r="BB12">
        <v>2</v>
      </c>
      <c r="BC12">
        <f>(BB12/BB11)-1</f>
        <v>1</v>
      </c>
    </row>
    <row r="13" spans="1:66" ht="19.5">
      <c r="C13">
        <f>H12*D13</f>
        <v>4.9999999999979998</v>
      </c>
      <c r="D13">
        <v>0.83333333333299997</v>
      </c>
      <c r="E13" t="s">
        <v>16</v>
      </c>
      <c r="F13" s="6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6">
        <v>43855</v>
      </c>
      <c r="BB13">
        <v>2</v>
      </c>
      <c r="BC13">
        <f>(BB13/BB12)-1</f>
        <v>0</v>
      </c>
      <c r="BE13">
        <v>667801</v>
      </c>
      <c r="BF13">
        <v>699706</v>
      </c>
      <c r="BG13">
        <v>732197</v>
      </c>
    </row>
    <row r="14" spans="1:66" ht="19.5">
      <c r="C14">
        <f>H13*D14</f>
        <v>9.0000000000003624</v>
      </c>
      <c r="D14">
        <v>0.81818181818199998</v>
      </c>
      <c r="E14" t="s">
        <v>17</v>
      </c>
      <c r="F14" s="6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6">
        <v>43856</v>
      </c>
      <c r="BB14">
        <v>5</v>
      </c>
      <c r="BC14">
        <f>(BB14/BB13)-1</f>
        <v>1.5</v>
      </c>
    </row>
    <row r="15" spans="1:66" ht="19.5">
      <c r="C15">
        <f>H14*D15</f>
        <v>5.9999999999995088</v>
      </c>
      <c r="D15">
        <v>0.29999999999999999</v>
      </c>
      <c r="E15" t="s">
        <v>11</v>
      </c>
      <c r="F15" s="6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6">
        <v>43857</v>
      </c>
      <c r="BB15">
        <v>5</v>
      </c>
      <c r="BC15">
        <f>(BB15/BB14)-1</f>
        <v>0</v>
      </c>
    </row>
    <row r="16" spans="1:66" ht="19.5">
      <c r="C16">
        <f>H15*D16</f>
        <v>14.999999999996774</v>
      </c>
      <c r="D16">
        <v>0.57692307692300004</v>
      </c>
      <c r="E16" t="s">
        <v>12</v>
      </c>
      <c r="F16" s="6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6">
        <v>43858</v>
      </c>
      <c r="BB16">
        <v>5</v>
      </c>
      <c r="BC16">
        <f>(BB16/BB15)-1</f>
        <v>0</v>
      </c>
    </row>
    <row r="17" spans="1:66" ht="19.5">
      <c r="C17">
        <f>H16*D17</f>
        <v>27.000000000002473</v>
      </c>
      <c r="D17">
        <v>0.65853658536600002</v>
      </c>
      <c r="E17" t="s">
        <v>13</v>
      </c>
      <c r="F17" s="6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6">
        <v>43859</v>
      </c>
      <c r="BB17">
        <v>5</v>
      </c>
      <c r="BC17">
        <f>(BB17/BB16)-1</f>
        <v>0</v>
      </c>
    </row>
    <row r="18" spans="1:66" ht="19.5">
      <c r="C18">
        <f>H17*D18</f>
        <v>27.999999999974811</v>
      </c>
      <c r="D18">
        <v>0.41176470588199998</v>
      </c>
      <c r="E18" t="s">
        <v>14</v>
      </c>
      <c r="F18" s="6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6">
        <v>43860</v>
      </c>
      <c r="BB18">
        <v>5</v>
      </c>
      <c r="BC18">
        <f>(BB18/BB17)-1</f>
        <v>0</v>
      </c>
    </row>
    <row r="19" spans="1:66" ht="19.5">
      <c r="C19">
        <f>H18*D19</f>
        <v>62.999999999981569</v>
      </c>
      <c r="D19">
        <v>0.65625</v>
      </c>
      <c r="E19" t="s">
        <v>15</v>
      </c>
      <c r="F19" s="6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6">
        <v>43861</v>
      </c>
      <c r="BB19">
        <v>7</v>
      </c>
      <c r="BC19">
        <f>(BB19/BB18)-1</f>
        <v>0.39999999999999991</v>
      </c>
    </row>
    <row r="20" spans="1:66" ht="19.5">
      <c r="C20">
        <f>H19*D20</f>
        <v>35.000000000065768</v>
      </c>
      <c r="D20">
        <v>0.220125786164</v>
      </c>
      <c r="E20" t="s">
        <v>16</v>
      </c>
      <c r="F20" s="6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6">
        <v>43862</v>
      </c>
      <c r="BB20">
        <v>8</v>
      </c>
      <c r="BC20">
        <f>(BB20/BB19)-1</f>
        <v>0.14285714285714279</v>
      </c>
    </row>
    <row r="21" spans="1:66" ht="19.5">
      <c r="C21">
        <f>H20*D21</f>
        <v>28.99999999991088</v>
      </c>
      <c r="D21">
        <v>0.14948453608199999</v>
      </c>
      <c r="E21" t="s">
        <v>17</v>
      </c>
      <c r="F21" s="6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6">
        <v>43863</v>
      </c>
      <c r="BB21">
        <v>8</v>
      </c>
      <c r="BC21">
        <f>(BB21/BB20)-1</f>
        <v>0</v>
      </c>
    </row>
    <row r="22" spans="1:66" ht="19.5">
      <c r="C22">
        <f>H21*D22</f>
        <v>103.99999999896743</v>
      </c>
      <c r="D22">
        <v>0.46636771300000002</v>
      </c>
      <c r="E22" t="s">
        <v>11</v>
      </c>
      <c r="F22" s="6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6">
        <v>43864</v>
      </c>
      <c r="BB22">
        <v>11</v>
      </c>
      <c r="BC22">
        <f>(BB22/BB21)-1</f>
        <v>0.375</v>
      </c>
    </row>
    <row r="23" spans="1:66" ht="19.5">
      <c r="C23">
        <f>H22*D23</f>
        <v>87.999999999672326</v>
      </c>
      <c r="D23">
        <v>0.26911314984700002</v>
      </c>
      <c r="E23" t="s">
        <v>12</v>
      </c>
      <c r="F23" s="6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6">
        <v>43865</v>
      </c>
      <c r="BB23">
        <v>11</v>
      </c>
      <c r="BC23">
        <f>(BB23/BB22)-1</f>
        <v>0</v>
      </c>
    </row>
    <row r="24" spans="1:66" ht="19.5">
      <c r="C24">
        <f>H23*D24</f>
        <v>202.99999999929048</v>
      </c>
      <c r="D24">
        <v>0.489156626506</v>
      </c>
      <c r="E24" t="s">
        <v>13</v>
      </c>
      <c r="F24" s="6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6">
        <v>43866</v>
      </c>
      <c r="BB24">
        <v>11</v>
      </c>
      <c r="BC24">
        <f>(BB24/BB23)-1</f>
        <v>0</v>
      </c>
    </row>
    <row r="25" spans="1:66" ht="19.5">
      <c r="C25">
        <f>H24*D25</f>
        <v>256.99999999911427</v>
      </c>
      <c r="D25">
        <v>0.41585760517800002</v>
      </c>
      <c r="E25" t="s">
        <v>14</v>
      </c>
      <c r="F25" s="6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6">
        <v>43867</v>
      </c>
      <c r="BB25">
        <v>11</v>
      </c>
      <c r="BC25">
        <f>(BB25/BB24)-1</f>
        <v>0</v>
      </c>
    </row>
    <row r="26" spans="1:66" ht="19.5">
      <c r="C26">
        <f>H25*D26</f>
        <v>136.99999999915133</v>
      </c>
      <c r="D26">
        <v>0.15657142857100001</v>
      </c>
      <c r="E26" t="s">
        <v>15</v>
      </c>
      <c r="F26" s="6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6">
        <v>43868</v>
      </c>
      <c r="BB26">
        <v>11</v>
      </c>
      <c r="BC26">
        <f>(BB26/BB25)-1</f>
        <v>0</v>
      </c>
    </row>
    <row r="27" spans="1:66" ht="19.5">
      <c r="C27">
        <f>H26*D27</f>
        <v>278.999999994132</v>
      </c>
      <c r="D27">
        <v>0.27569169960000001</v>
      </c>
      <c r="E27" t="s">
        <v>16</v>
      </c>
      <c r="F27" s="6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6">
        <v>43869</v>
      </c>
      <c r="BB27">
        <v>11</v>
      </c>
      <c r="BC27">
        <f>(BB27/BB26)-1</f>
        <v>0</v>
      </c>
    </row>
    <row r="28" spans="1:66" ht="19.5">
      <c r="C28">
        <f>H27*D28</f>
        <v>232.99999999841174</v>
      </c>
      <c r="D28">
        <v>0.18048024787</v>
      </c>
      <c r="E28" t="s">
        <v>17</v>
      </c>
      <c r="F28" s="6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6">
        <v>43870</v>
      </c>
      <c r="BB28">
        <v>11</v>
      </c>
      <c r="BC28">
        <f>(BB28/BB27)-1</f>
        <v>0</v>
      </c>
    </row>
    <row r="29" spans="1:66" ht="19.5">
      <c r="C29">
        <f>H28*D29</f>
        <v>468.99999999616119</v>
      </c>
      <c r="D29">
        <v>0.30774278215200002</v>
      </c>
      <c r="E29" t="s">
        <v>11</v>
      </c>
      <c r="F29" s="6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6">
        <v>43871</v>
      </c>
      <c r="BB29">
        <v>11</v>
      </c>
      <c r="BC29">
        <f>(BB29/BB28)-1</f>
        <v>0</v>
      </c>
    </row>
    <row r="30" spans="1:66" ht="19.5">
      <c r="C30">
        <f>H29*D30</f>
        <v>577.99999999481281</v>
      </c>
      <c r="D30">
        <f>0.29001505268400002</f>
        <v>0.29001505268400002</v>
      </c>
      <c r="E30" t="s">
        <v>12</v>
      </c>
      <c r="F30" s="6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6">
        <v>43872</v>
      </c>
      <c r="BB30">
        <v>12</v>
      </c>
      <c r="BC30">
        <f>(BB30/BB29)-1</f>
        <v>0.090909090909090828</v>
      </c>
    </row>
    <row r="31" spans="1:66" ht="19.5">
      <c r="C31">
        <f>H30*D31</f>
        <v>556.99999999574084</v>
      </c>
      <c r="D31">
        <f>0.21664721898100001</f>
        <v>0.21664721898100001</v>
      </c>
      <c r="E31" t="s">
        <v>13</v>
      </c>
      <c r="F31" s="6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6">
        <v>43873</v>
      </c>
      <c r="BB31">
        <v>12</v>
      </c>
      <c r="BC31">
        <f>(BB31/BB30)-1</f>
        <v>0</v>
      </c>
    </row>
    <row r="32" spans="1:66" ht="19.5">
      <c r="C32">
        <f>H31*D32</f>
        <v>429.00000000942401</v>
      </c>
      <c r="D32">
        <v>0.1371483376</v>
      </c>
      <c r="E32" t="s">
        <v>14</v>
      </c>
      <c r="F32" s="6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6">
        <v>43874</v>
      </c>
      <c r="BB32">
        <v>13</v>
      </c>
      <c r="BC32">
        <f>(BB32/BB31)-1</f>
        <v>0.083333333333333259</v>
      </c>
    </row>
    <row r="33" spans="1:66" ht="19.5">
      <c r="C33">
        <f>H32*D33</f>
        <v>266.99999999874649</v>
      </c>
      <c r="D33">
        <v>0.075063255552399996</v>
      </c>
      <c r="E33" t="s">
        <v>15</v>
      </c>
      <c r="F33" s="6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6">
        <v>43875</v>
      </c>
      <c r="BB33">
        <v>13</v>
      </c>
      <c r="BC33">
        <f>(BB33/BB32)-1</f>
        <v>0</v>
      </c>
    </row>
    <row r="34" spans="1:66" ht="19.5">
      <c r="C34">
        <f>H33*D34</f>
        <v>1089.9999999793126</v>
      </c>
      <c r="D34">
        <v>0.28504184100000002</v>
      </c>
      <c r="E34" t="s">
        <v>16</v>
      </c>
      <c r="F34" s="6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BA34" s="6">
        <v>43876</v>
      </c>
      <c r="BB34">
        <v>13</v>
      </c>
      <c r="BC34">
        <f>(BB34/BB33)-1</f>
        <v>0</v>
      </c>
    </row>
    <row r="35" spans="1:66" ht="19.5">
      <c r="C35">
        <f>H34*D35</f>
        <v>361.99999999739401</v>
      </c>
      <c r="D35">
        <v>0.0736670736671</v>
      </c>
      <c r="E35" t="s">
        <v>17</v>
      </c>
      <c r="F35" s="6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M35+Q35+U35+Y35+AC35+AG35+AK35+AO35+AS35</f>
        <v>5276</v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6">
        <v>43877</v>
      </c>
      <c r="BB35">
        <v>13</v>
      </c>
      <c r="BC35">
        <f>(BB35/BB34)-1</f>
        <v>0</v>
      </c>
    </row>
    <row r="36" spans="1:66" ht="19.5">
      <c r="C36">
        <f>H35*D36</f>
        <v>398.99999999688362</v>
      </c>
      <c r="D36">
        <v>0.075625473843800001</v>
      </c>
      <c r="E36" t="s">
        <v>11</v>
      </c>
      <c r="F36" s="6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M36+Q36+U36+Y36+AC36+AG36+AK36+AO36+AS36</f>
        <v>5675</v>
      </c>
      <c r="M36">
        <f>M35+15</f>
        <v>197</v>
      </c>
      <c r="N36">
        <f>N35+0</f>
        <v>15</v>
      </c>
      <c r="O36">
        <f>O35+1</f>
        <v>6</v>
      </c>
      <c r="Q36">
        <f>Q35+25</f>
        <v>751</v>
      </c>
      <c r="R36">
        <f>R35+5</f>
        <v>189</v>
      </c>
      <c r="S36">
        <f>S35+3</f>
        <v>29</v>
      </c>
      <c r="U36">
        <f>U35+138</f>
        <v>1162</v>
      </c>
      <c r="V36">
        <f>V35+48</f>
        <v>372</v>
      </c>
      <c r="W36">
        <f>W35+7</f>
        <v>36</v>
      </c>
      <c r="Y36">
        <f>Y35+226</f>
        <v>3050</v>
      </c>
      <c r="Z36">
        <f>Z35+56</f>
        <v>531</v>
      </c>
      <c r="AA36">
        <f>AA35+10</f>
        <v>96</v>
      </c>
      <c r="AC36">
        <f>AC35+10</f>
        <v>110</v>
      </c>
      <c r="AD36">
        <f>AD35+0</f>
        <v>19</v>
      </c>
      <c r="AE36">
        <f>AE35+1</f>
        <v>5</v>
      </c>
      <c r="AG36">
        <f>AG35+3</f>
        <v>94</v>
      </c>
      <c r="AH36">
        <f>AH35+0</f>
        <v>3</v>
      </c>
      <c r="AI36">
        <f>AI35+1</f>
        <v>11</v>
      </c>
      <c r="AK36">
        <f>AK35+1</f>
        <v>32</v>
      </c>
      <c r="AL36">
        <f>AL35+0</f>
        <v>3</v>
      </c>
      <c r="AM36">
        <f>AM35+0</f>
        <v>1</v>
      </c>
      <c r="AO36">
        <f>AO35+0</f>
        <v>57</v>
      </c>
      <c r="AP36">
        <f>AP35+0</f>
        <v>10</v>
      </c>
      <c r="AQ36">
        <f>AQ35+1</f>
        <v>4</v>
      </c>
      <c r="AS36">
        <f>AS35+-19</f>
        <v>222</v>
      </c>
      <c r="AU36">
        <f>AU35+0</f>
        <v>1</v>
      </c>
      <c r="AW36">
        <f>M36+Q36+U36+Y36+AC36+AG36+AK36+AO36+AS36</f>
        <v>5675</v>
      </c>
      <c r="AX36">
        <f>N36+R36+V36+Z36+AD36+AH36+AL36+AP36+AT36</f>
        <v>1142</v>
      </c>
      <c r="AY36">
        <f>O36+S36+W36+AA36+AE36+AI36+AM36+AQ36+AU36</f>
        <v>189</v>
      </c>
      <c r="BA36" s="6">
        <v>43878</v>
      </c>
      <c r="BB36">
        <v>13</v>
      </c>
      <c r="BC36">
        <f>(BB36/BB35)-1</f>
        <v>0</v>
      </c>
    </row>
    <row r="37" spans="1:66" ht="19.5">
      <c r="C37">
        <f>H36*D37</f>
        <v>1230.9999999880292</v>
      </c>
      <c r="D37">
        <v>0.21691629955899999</v>
      </c>
      <c r="E37" t="s">
        <v>12</v>
      </c>
      <c r="F37" s="6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M37+Q37+U37+Y37+AC37+AG37+AK37+AO37+AS37</f>
        <v>6906</v>
      </c>
      <c r="M37">
        <f>M36+33</f>
        <v>230</v>
      </c>
      <c r="N37">
        <f>N36+0</f>
        <v>15</v>
      </c>
      <c r="O37">
        <f>O36+2</f>
        <v>8</v>
      </c>
      <c r="Q37">
        <f>Q36+131</f>
        <v>882</v>
      </c>
      <c r="R37">
        <f>R36+24</f>
        <v>213</v>
      </c>
      <c r="S37">
        <f>S36+2</f>
        <v>31</v>
      </c>
      <c r="U37">
        <f>U36+306</f>
        <v>1468</v>
      </c>
      <c r="V37">
        <f>V36+12</f>
        <v>384</v>
      </c>
      <c r="W37">
        <f>W36+5</f>
        <v>41</v>
      </c>
      <c r="Y37">
        <f>Y36+669</f>
        <v>3719</v>
      </c>
      <c r="Z37">
        <f>Z36+41</f>
        <v>572</v>
      </c>
      <c r="AA37">
        <f>AA36+5</f>
        <v>101</v>
      </c>
      <c r="AC37">
        <f>AC36+25</f>
        <v>135</v>
      </c>
      <c r="AD37">
        <f>AD36+3</f>
        <v>22</v>
      </c>
      <c r="AE37">
        <f>AE36+2</f>
        <v>7</v>
      </c>
      <c r="AG37">
        <f>AG36+9</f>
        <v>103</v>
      </c>
      <c r="AH37">
        <f>AH36+0</f>
        <v>3</v>
      </c>
      <c r="AI37">
        <f>AI36+2</f>
        <v>13</v>
      </c>
      <c r="AK37">
        <f>AK36+8</f>
        <v>40</v>
      </c>
      <c r="AL37">
        <f>AL36+-1</f>
        <v>2</v>
      </c>
      <c r="AM37">
        <f>AM36+0</f>
        <v>1</v>
      </c>
      <c r="AO37">
        <f>AO36+8</f>
        <v>65</v>
      </c>
      <c r="AP37">
        <f>AP36+0</f>
        <v>10</v>
      </c>
      <c r="AQ37">
        <f>AQ36+0</f>
        <v>4</v>
      </c>
      <c r="AS37">
        <f>AS36+42</f>
        <v>264</v>
      </c>
      <c r="AU37">
        <f>AU36+-1</f>
        <v>0</v>
      </c>
      <c r="AW37">
        <f>M37+Q37+U37+Y37+AC37+AG37+AK37+AO37+AS37</f>
        <v>6906</v>
      </c>
      <c r="AX37">
        <f>N37+R37+V37+Z37+AD37+AH37+AL37+AP37+AT37</f>
        <v>1221</v>
      </c>
      <c r="AY37">
        <f>O37+S37+W37+AA37+AE37+AI37+AM37+AQ37+AU37</f>
        <v>206</v>
      </c>
      <c r="BA37" s="6">
        <v>43879</v>
      </c>
      <c r="BB37">
        <v>13</v>
      </c>
      <c r="BC37">
        <f>(BB37/BB36)-1</f>
        <v>0</v>
      </c>
    </row>
    <row r="38" spans="1:66" ht="19.5">
      <c r="C38">
        <f>H37*D38</f>
        <v>874.99999999378963</v>
      </c>
      <c r="D38">
        <v>0.12670141905599999</v>
      </c>
      <c r="E38" t="s">
        <v>13</v>
      </c>
      <c r="F38" s="6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M38+Q38+U38+Y38+AC38+AG38+AK38+AO38+AS38</f>
        <v>7781</v>
      </c>
      <c r="M38">
        <f>M37+25</f>
        <v>255</v>
      </c>
      <c r="N38">
        <f>N37+2</f>
        <v>17</v>
      </c>
      <c r="O38">
        <f>O37+1</f>
        <v>9</v>
      </c>
      <c r="Q38">
        <f>Q37+163</f>
        <v>1045</v>
      </c>
      <c r="R38">
        <f>R37+30</f>
        <v>243</v>
      </c>
      <c r="S38">
        <f>S37+17</f>
        <v>48</v>
      </c>
      <c r="U38">
        <f>U37+196</f>
        <v>1664</v>
      </c>
      <c r="V38">
        <f>V37+6</f>
        <v>390</v>
      </c>
      <c r="W38">
        <f>W37+19</f>
        <v>60</v>
      </c>
      <c r="Y38">
        <f>Y37+417</f>
        <v>4136</v>
      </c>
      <c r="Z38">
        <f>Z37+41</f>
        <v>613</v>
      </c>
      <c r="AA38">
        <f>AA37+31</f>
        <v>132</v>
      </c>
      <c r="AC38">
        <f>AC37+15</f>
        <v>150</v>
      </c>
      <c r="AD38">
        <f>AD37+4</f>
        <v>26</v>
      </c>
      <c r="AE38">
        <f>AE37+0</f>
        <v>7</v>
      </c>
      <c r="AG38">
        <f>AG37+8</f>
        <v>111</v>
      </c>
      <c r="AH38">
        <f>AH37+1</f>
        <v>4</v>
      </c>
      <c r="AI38">
        <f>AI37+0</f>
        <v>13</v>
      </c>
      <c r="AK38">
        <f>AK37+3</f>
        <v>43</v>
      </c>
      <c r="AL38">
        <f>AL37+1</f>
        <v>3</v>
      </c>
      <c r="AM38">
        <f>AM37+0</f>
        <v>1</v>
      </c>
      <c r="AO38">
        <f>AO37+20</f>
        <v>85</v>
      </c>
      <c r="AP38">
        <f>AP37+2</f>
        <v>12</v>
      </c>
      <c r="AQ38">
        <f>AQ37+0</f>
        <v>4</v>
      </c>
      <c r="AS38">
        <f>AS37+28</f>
        <v>292</v>
      </c>
      <c r="AU38">
        <f>AU37+3</f>
        <v>3</v>
      </c>
      <c r="AW38">
        <f>M38+Q38+U38+Y38+AC38+AG38+AK38+AO38+AS38</f>
        <v>7781</v>
      </c>
      <c r="AX38">
        <f>N38+R38+V38+Z38+AD38+AH38+AL38+AP38+AT38</f>
        <v>1308</v>
      </c>
      <c r="AY38">
        <f>O38+S38+W38+AA38+AE38+AI38+AM38+AQ38+AU38</f>
        <v>277</v>
      </c>
      <c r="BA38" s="6">
        <v>43880</v>
      </c>
      <c r="BB38">
        <v>13</v>
      </c>
      <c r="BC38">
        <f>(BB38/BB37)-1</f>
        <v>0</v>
      </c>
    </row>
    <row r="39" spans="1:66" ht="19.5">
      <c r="C39">
        <f>H38*D39</f>
        <v>999.99999999041893</v>
      </c>
      <c r="D39">
        <v>0.12851818532299999</v>
      </c>
      <c r="E39" t="s">
        <v>14</v>
      </c>
      <c r="F39" s="6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M39+Q39+U39+Y39+AC39+AG39+AK39+AO39+AS39</f>
        <v>8781</v>
      </c>
      <c r="M39">
        <f>M38+37</f>
        <v>292</v>
      </c>
      <c r="N39">
        <f>N38+3</f>
        <v>20</v>
      </c>
      <c r="O39">
        <f>O38+3</f>
        <v>12</v>
      </c>
      <c r="Q39">
        <f>Q38+245</f>
        <v>1290</v>
      </c>
      <c r="R39">
        <f>R38+8</f>
        <v>251</v>
      </c>
      <c r="S39">
        <f>S38+20</f>
        <v>68</v>
      </c>
      <c r="U39">
        <f>U38+281</f>
        <v>1945</v>
      </c>
      <c r="V39">
        <f>V38+38</f>
        <v>428</v>
      </c>
      <c r="W39">
        <f>W38+10</f>
        <v>70</v>
      </c>
      <c r="Y39">
        <f>Y38+281</f>
        <v>4417</v>
      </c>
      <c r="Z39">
        <f>Z38+52</f>
        <v>665</v>
      </c>
      <c r="AA39">
        <f>AA38+23</f>
        <v>155</v>
      </c>
      <c r="AC39">
        <f>AC38+24</f>
        <v>174</v>
      </c>
      <c r="AD39">
        <f>AD38+2</f>
        <v>28</v>
      </c>
      <c r="AE39">
        <f>AE38+2</f>
        <v>9</v>
      </c>
      <c r="AG39">
        <f>AG38+17</f>
        <v>128</v>
      </c>
      <c r="AH39">
        <f>AH38+3</f>
        <v>7</v>
      </c>
      <c r="AI39">
        <f>AI38+0</f>
        <v>13</v>
      </c>
      <c r="AK39">
        <f>AK38+6</f>
        <v>49</v>
      </c>
      <c r="AL39">
        <f>AL38+0</f>
        <v>3</v>
      </c>
      <c r="AM39">
        <f>AM38+0</f>
        <v>1</v>
      </c>
      <c r="AO39">
        <f>AO38+35</f>
        <v>120</v>
      </c>
      <c r="AP39">
        <f>AP38+4</f>
        <v>16</v>
      </c>
      <c r="AQ39">
        <f>AQ38+1</f>
        <v>5</v>
      </c>
      <c r="AS39">
        <f>AS38+74</f>
        <v>366</v>
      </c>
      <c r="AU39">
        <f>AU38+-1</f>
        <v>2</v>
      </c>
      <c r="AW39">
        <f>M39+Q39+U39+Y39+AC39+AG39+AK39+AO39+AS39</f>
        <v>8781</v>
      </c>
      <c r="AX39">
        <f>N39+R39+V39+Z39+AD39+AH39+AL39+AP39+AT39</f>
        <v>1418</v>
      </c>
      <c r="AY39">
        <f>O39+S39+W39+AA39+AE39+AI39+AM39+AQ39+AU39</f>
        <v>335</v>
      </c>
      <c r="BA39" s="6">
        <v>43881</v>
      </c>
      <c r="BB39">
        <v>13</v>
      </c>
      <c r="BC39">
        <f>(BB39/BB38)-1</f>
        <v>0</v>
      </c>
    </row>
    <row r="40" spans="1:66" ht="19.5">
      <c r="C40">
        <f>H39*D40</f>
        <v>1003.000000034434</v>
      </c>
      <c r="D40">
        <v>0.11422389249999999</v>
      </c>
      <c r="E40" t="s">
        <v>15</v>
      </c>
      <c r="F40" s="6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M40+Q40+U40+Y40+AC40+AG40+AK40+AO40+AS40</f>
        <v>9784</v>
      </c>
      <c r="M40">
        <f>M39+23</f>
        <v>315</v>
      </c>
      <c r="N40">
        <f>N39+5</f>
        <v>25</v>
      </c>
      <c r="O40">
        <f>O39+1</f>
        <v>13</v>
      </c>
      <c r="Q40">
        <f>Q39+181</f>
        <v>1471</v>
      </c>
      <c r="R40">
        <f>R39+25</f>
        <v>276</v>
      </c>
      <c r="S40">
        <f>S39+7</f>
        <v>75</v>
      </c>
      <c r="U40">
        <f>U39+238</f>
        <v>2183</v>
      </c>
      <c r="V40">
        <f>V39+19</f>
        <v>447</v>
      </c>
      <c r="W40">
        <f>W39+8</f>
        <v>78</v>
      </c>
      <c r="Y40">
        <f>Y39+465</f>
        <v>4882</v>
      </c>
      <c r="Z40">
        <f>Z39+-1</f>
        <v>664</v>
      </c>
      <c r="AA40">
        <f>AA39+23</f>
        <v>178</v>
      </c>
      <c r="AC40">
        <f>AC39+31</f>
        <v>205</v>
      </c>
      <c r="AD40">
        <f>AD39+-2</f>
        <v>26</v>
      </c>
      <c r="AE40">
        <f>AE39+5</f>
        <v>14</v>
      </c>
      <c r="AG40">
        <f>AG39+17</f>
        <v>145</v>
      </c>
      <c r="AH40">
        <f>AH39+0</f>
        <v>7</v>
      </c>
      <c r="AI40">
        <f>AI39+0</f>
        <v>13</v>
      </c>
      <c r="AK40">
        <f>AK39+3</f>
        <v>52</v>
      </c>
      <c r="AL40">
        <f>AL39+1</f>
        <v>4</v>
      </c>
      <c r="AM40">
        <f>AM39+0</f>
        <v>1</v>
      </c>
      <c r="AO40">
        <f>AO39+19</f>
        <v>139</v>
      </c>
      <c r="AP40">
        <f>AP39+-1</f>
        <v>15</v>
      </c>
      <c r="AQ40">
        <f>AQ39+1</f>
        <v>6</v>
      </c>
      <c r="AS40">
        <f>AS39+26</f>
        <v>392</v>
      </c>
      <c r="AU40">
        <f>AU39+0</f>
        <v>2</v>
      </c>
      <c r="AW40">
        <f>M40+Q40+U40+Y40+AC40+AG40+AK40+AO40+AS40</f>
        <v>9784</v>
      </c>
      <c r="AX40">
        <f>N40+R40+V40+Z40+AD40+AH40+AL40+AP40+AT40</f>
        <v>1464</v>
      </c>
      <c r="AY40">
        <f>O40+S40+W40+AA40+AE40+AI40+AM40+AQ40+AU40</f>
        <v>380</v>
      </c>
      <c r="BA40" s="6">
        <v>43882</v>
      </c>
      <c r="BB40">
        <v>15</v>
      </c>
      <c r="BC40">
        <f>(BB40/BB39)-1</f>
        <v>0.15384615384615374</v>
      </c>
    </row>
    <row r="41" spans="1:66" ht="19.5">
      <c r="C41">
        <f>H40*D41</f>
        <v>753.99999999757006</v>
      </c>
      <c r="D41">
        <v>0.077064595257599997</v>
      </c>
      <c r="E41" t="s">
        <v>16</v>
      </c>
      <c r="F41" s="6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M41+Q41+U41+Y41+AC41+AG41+AK41+AO41+AS41</f>
        <v>10538</v>
      </c>
      <c r="M41">
        <f>M40+31</f>
        <v>346</v>
      </c>
      <c r="N41">
        <f>N40+7</f>
        <v>32</v>
      </c>
      <c r="O41">
        <f>O40+3</f>
        <v>16</v>
      </c>
      <c r="Q41">
        <f>Q40+144</f>
        <v>1615</v>
      </c>
      <c r="R41">
        <f>R40+20</f>
        <v>296</v>
      </c>
      <c r="S41">
        <f>S40+13</f>
        <v>88</v>
      </c>
      <c r="U41">
        <f>U40+200</f>
        <v>2383</v>
      </c>
      <c r="V41">
        <f>V40+46</f>
        <v>493</v>
      </c>
      <c r="W41">
        <f>W40+20</f>
        <v>98</v>
      </c>
      <c r="Y41">
        <f>Y40+298</f>
        <v>5180</v>
      </c>
      <c r="Z41">
        <f>Z40+21</f>
        <v>685</v>
      </c>
      <c r="AA41">
        <f>AA40+25</f>
        <v>203</v>
      </c>
      <c r="AC41">
        <f>AC40+35</f>
        <v>240</v>
      </c>
      <c r="AD41">
        <f>AD40+2</f>
        <v>28</v>
      </c>
      <c r="AE41">
        <f>AE40+3</f>
        <v>17</v>
      </c>
      <c r="AG41">
        <f>AG40+7</f>
        <v>152</v>
      </c>
      <c r="AH41">
        <f>AH40+-1</f>
        <v>6</v>
      </c>
      <c r="AI41">
        <f>AI40+1</f>
        <v>14</v>
      </c>
      <c r="AK41">
        <f>AK40+7</f>
        <v>59</v>
      </c>
      <c r="AL41">
        <f>AL40+1</f>
        <v>5</v>
      </c>
      <c r="AM41">
        <f>AM40+0</f>
        <v>1</v>
      </c>
      <c r="AO41">
        <f>AO40+17</f>
        <v>156</v>
      </c>
      <c r="AP41">
        <f>AP40+2</f>
        <v>17</v>
      </c>
      <c r="AQ41">
        <f>AQ40+1</f>
        <v>7</v>
      </c>
      <c r="AS41">
        <f>AS40+15</f>
        <v>407</v>
      </c>
      <c r="AU41">
        <f>AU40+2</f>
        <v>4</v>
      </c>
      <c r="AW41">
        <f>M41+Q41+U41+Y41+AC41+AG41+AK41+AO41+AS41</f>
        <v>10538</v>
      </c>
      <c r="AX41">
        <f>N41+R41+V41+Z41+AD41+AH41+AL41+AP41+AT41</f>
        <v>1562</v>
      </c>
      <c r="AY41">
        <f>O41+S41+W41+AA41+AE41+AI41+AM41+AQ41+AU41</f>
        <v>448</v>
      </c>
      <c r="BA41" s="6">
        <v>43883</v>
      </c>
      <c r="BB41">
        <v>15</v>
      </c>
      <c r="BC41">
        <f>(BB41/BB40)-1</f>
        <v>0</v>
      </c>
    </row>
    <row r="42" spans="1:66" ht="19.5">
      <c r="C42">
        <f>H41*D42</f>
        <v>971.99999999678664</v>
      </c>
      <c r="D42">
        <f>0.092237616246000007</f>
        <v>0.092237616246000007</v>
      </c>
      <c r="E42" t="s">
        <v>17</v>
      </c>
      <c r="F42" s="6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M42+Q42+U42+Y42+AC42+AG42+AK42+AO42+AS42</f>
        <v>11510</v>
      </c>
      <c r="M42">
        <f>M41+42</f>
        <v>388</v>
      </c>
      <c r="N42">
        <f>N41+6</f>
        <v>38</v>
      </c>
      <c r="O42">
        <f>O41+4</f>
        <v>20</v>
      </c>
      <c r="Q42">
        <f>Q41+217</f>
        <v>1832</v>
      </c>
      <c r="R42">
        <f>R41+15</f>
        <v>311</v>
      </c>
      <c r="S42">
        <f>S41+13</f>
        <v>101</v>
      </c>
      <c r="U42">
        <f>U41+332</f>
        <v>2715</v>
      </c>
      <c r="V42">
        <f>V41+21</f>
        <v>514</v>
      </c>
      <c r="W42">
        <f>W41+9</f>
        <v>107</v>
      </c>
      <c r="Y42">
        <f>Y41+227</f>
        <v>5407</v>
      </c>
      <c r="Z42">
        <f>Z41+-9</f>
        <v>676</v>
      </c>
      <c r="AA42">
        <f>AA41+17</f>
        <v>220</v>
      </c>
      <c r="AC42">
        <f>AC41+50</f>
        <v>290</v>
      </c>
      <c r="AD42">
        <f>AD41+-1</f>
        <v>27</v>
      </c>
      <c r="AE42">
        <f>AE41+1</f>
        <v>18</v>
      </c>
      <c r="AG42">
        <f>AG41+19</f>
        <v>171</v>
      </c>
      <c r="AH42">
        <f>AH41+1</f>
        <v>7</v>
      </c>
      <c r="AI42">
        <f>AI41+1</f>
        <v>15</v>
      </c>
      <c r="AK42">
        <f>AK41+7</f>
        <v>66</v>
      </c>
      <c r="AL42">
        <f>AL41+-1</f>
        <v>4</v>
      </c>
      <c r="AM42">
        <f>AM41+0</f>
        <v>1</v>
      </c>
      <c r="AO42">
        <f>AO41+29</f>
        <v>185</v>
      </c>
      <c r="AP42">
        <f>AP41+-1</f>
        <v>16</v>
      </c>
      <c r="AQ42">
        <f>AQ41+0</f>
        <v>7</v>
      </c>
      <c r="AS42">
        <f>AS41+49</f>
        <v>456</v>
      </c>
      <c r="AU42">
        <f>AU41+1</f>
        <v>5</v>
      </c>
      <c r="AW42">
        <f>M42+Q42+U42+Y42+AC42+AG42+AK42+AO42+AS42</f>
        <v>11510</v>
      </c>
      <c r="AX42">
        <f>N42+R42+V42+Z42+AD42+AH42+AL42+AP42+AT42</f>
        <v>1593</v>
      </c>
      <c r="AY42">
        <f>O42+S42+W42+AA42+AE42+AI42+AM42+AQ42+AU42</f>
        <v>494</v>
      </c>
      <c r="BA42" s="6">
        <v>43884</v>
      </c>
      <c r="BB42">
        <v>15</v>
      </c>
      <c r="BC42">
        <f>(BB42/BB41)-1</f>
        <v>0</v>
      </c>
    </row>
    <row r="43" spans="1:66" ht="19.5">
      <c r="C43">
        <f>H42*D43</f>
        <v>524.99999999669217</v>
      </c>
      <c r="D43">
        <f>0.045612510859999997</f>
        <v>0.045612510859999997</v>
      </c>
      <c r="E43" t="s">
        <v>11</v>
      </c>
      <c r="F43" s="6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M43+Q43+U43+Y43+AC43+AG43+AK43+AO43+AS43</f>
        <v>12035</v>
      </c>
      <c r="M43">
        <f>M42+15</f>
        <v>403</v>
      </c>
      <c r="N43">
        <f>N42+1</f>
        <v>39</v>
      </c>
      <c r="O43">
        <f>O42+4</f>
        <v>24</v>
      </c>
      <c r="Q43">
        <f>Q42+82</f>
        <v>1914</v>
      </c>
      <c r="R43">
        <f>R42+22</f>
        <v>333</v>
      </c>
      <c r="S43">
        <f>S42+15</f>
        <v>116</v>
      </c>
      <c r="U43">
        <f>U42+231</f>
        <v>2946</v>
      </c>
      <c r="V43">
        <f>V42+21</f>
        <v>535</v>
      </c>
      <c r="W43">
        <f>W42+12</f>
        <v>119</v>
      </c>
      <c r="Y43">
        <f>Y42+127</f>
        <v>5534</v>
      </c>
      <c r="Z43">
        <f>Z42+12</f>
        <v>688</v>
      </c>
      <c r="AA43">
        <f>AA42+28</f>
        <v>248</v>
      </c>
      <c r="AC43">
        <f>AC42+9</f>
        <v>299</v>
      </c>
      <c r="AD43">
        <f>AD42+5</f>
        <v>32</v>
      </c>
      <c r="AE43">
        <f>AE42+0</f>
        <v>18</v>
      </c>
      <c r="AG43">
        <f>AG42+11</f>
        <v>182</v>
      </c>
      <c r="AH43">
        <f>AH42+0</f>
        <v>7</v>
      </c>
      <c r="AI43">
        <f>AI42+2</f>
        <v>17</v>
      </c>
      <c r="AK43">
        <f>AK42+0</f>
        <v>66</v>
      </c>
      <c r="AL43">
        <f>AL42+0</f>
        <v>4</v>
      </c>
      <c r="AM43">
        <f>AM42+0</f>
        <v>1</v>
      </c>
      <c r="AO43">
        <f>AO42+5</f>
        <v>190</v>
      </c>
      <c r="AP43">
        <f>AP42+0</f>
        <v>16</v>
      </c>
      <c r="AQ43">
        <f>AQ42+0</f>
        <v>7</v>
      </c>
      <c r="AS43">
        <f>AS42+45</f>
        <v>501</v>
      </c>
      <c r="AU43">
        <f>AU42+-1</f>
        <v>4</v>
      </c>
      <c r="AW43">
        <f>M43+Q43+U43+Y43+AC43+AG43+AK43+AO43+AS43</f>
        <v>12035</v>
      </c>
      <c r="AX43">
        <f>N43+R43+V43+Z43+AD43+AH43+AL43+AP43+AT43</f>
        <v>1654</v>
      </c>
      <c r="AY43">
        <f>O43+S43+W43+AA43+AE43+AI43+AM43+AQ43+AU43</f>
        <v>554</v>
      </c>
      <c r="BA43" s="6">
        <v>43885</v>
      </c>
      <c r="BB43">
        <v>51</v>
      </c>
      <c r="BC43">
        <f>(BB43/BB42)-1</f>
        <v>2.3999999999999999</v>
      </c>
    </row>
    <row r="44" spans="1:66" ht="19.5">
      <c r="C44">
        <f>H43*D44</f>
        <v>1346.0000000008024</v>
      </c>
      <c r="D44">
        <f>0.11184046531</f>
        <v>0.11184046531</v>
      </c>
      <c r="E44" t="s">
        <v>12</v>
      </c>
      <c r="F44" s="6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M44+Q44+U44+Y44+AC44+AG44+AK44+AO44+AS44</f>
        <v>13381</v>
      </c>
      <c r="M44">
        <f>M43+43</f>
        <v>446</v>
      </c>
      <c r="N44">
        <f>N43+-2</f>
        <v>37</v>
      </c>
      <c r="O44">
        <f>O43+0</f>
        <v>24</v>
      </c>
      <c r="Q44">
        <f>Q43+329</f>
        <v>2243</v>
      </c>
      <c r="R44">
        <f>R43+28</f>
        <v>361</v>
      </c>
      <c r="S44">
        <f>S43+17</f>
        <v>133</v>
      </c>
      <c r="U44">
        <f>U43+412</f>
        <v>3358</v>
      </c>
      <c r="V44">
        <f>V43+45</f>
        <v>580</v>
      </c>
      <c r="W44">
        <f>W43+16</f>
        <v>135</v>
      </c>
      <c r="Y44">
        <f>Y43+470</f>
        <v>6004</v>
      </c>
      <c r="Z44">
        <f>Z43+22</f>
        <v>710</v>
      </c>
      <c r="AA44">
        <f>AA43+14</f>
        <v>262</v>
      </c>
      <c r="AC44">
        <f>AC43+40</f>
        <v>339</v>
      </c>
      <c r="AD44">
        <f>AD43+3</f>
        <v>35</v>
      </c>
      <c r="AE44">
        <f>AE43+1</f>
        <v>19</v>
      </c>
      <c r="AG44">
        <f>AG43+13</f>
        <v>195</v>
      </c>
      <c r="AH44">
        <f>AH43+6</f>
        <v>13</v>
      </c>
      <c r="AI44">
        <f>AI43+0</f>
        <v>17</v>
      </c>
      <c r="AK44">
        <f>AK43+17</f>
        <v>83</v>
      </c>
      <c r="AL44">
        <f>AL43+0</f>
        <v>4</v>
      </c>
      <c r="AM44">
        <f>AM43+0</f>
        <v>1</v>
      </c>
      <c r="AO44">
        <f>AO43+32</f>
        <v>222</v>
      </c>
      <c r="AP44">
        <f>AP43+4</f>
        <v>20</v>
      </c>
      <c r="AQ44">
        <f>AQ43+0</f>
        <v>7</v>
      </c>
      <c r="AS44">
        <f>AS43+-10</f>
        <v>491</v>
      </c>
      <c r="AU44">
        <f>AU43+0</f>
        <v>4</v>
      </c>
      <c r="AW44">
        <f>M44+Q44+U44+Y44+AC44+AG44+AK44+AO44+AS44</f>
        <v>13381</v>
      </c>
      <c r="AX44">
        <f>N44+R44+V44+Z44+AD44+AH44+AL44+AP44+AT44</f>
        <v>1760</v>
      </c>
      <c r="AY44">
        <f>O44+S44+W44+AA44+AE44+AI44+AM44+AQ44+AU44</f>
        <v>602</v>
      </c>
      <c r="BA44" s="6">
        <v>43886</v>
      </c>
      <c r="BB44">
        <v>51</v>
      </c>
      <c r="BC44">
        <f>(BB44/BB43)-1</f>
        <v>0</v>
      </c>
    </row>
    <row r="45" spans="1:66" ht="19.5">
      <c r="C45">
        <f>H44*D45</f>
        <v>607.99999999230567</v>
      </c>
      <c r="D45">
        <f>0.045437560719999999</f>
        <v>0.045437560719999999</v>
      </c>
      <c r="E45" t="s">
        <v>13</v>
      </c>
      <c r="F45" s="6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M45+Q45+U45+Y45+AC45+AG45+AK45+AO45+AS45</f>
        <v>13989</v>
      </c>
      <c r="M45">
        <f>M44+14</f>
        <v>460</v>
      </c>
      <c r="N45">
        <f>N44+-2</f>
        <v>35</v>
      </c>
      <c r="O45">
        <f>O44+5</f>
        <v>29</v>
      </c>
      <c r="Q45">
        <f>Q44+127</f>
        <v>2370</v>
      </c>
      <c r="R45">
        <f>R44+8</f>
        <v>369</v>
      </c>
      <c r="S45">
        <f>S44+20</f>
        <v>153</v>
      </c>
      <c r="U45">
        <f>U44+185</f>
        <v>3543</v>
      </c>
      <c r="V45">
        <f>V44+-8</f>
        <v>572</v>
      </c>
      <c r="W45">
        <f>W44+16</f>
        <v>151</v>
      </c>
      <c r="Y45">
        <f>Y44+209</f>
        <v>6213</v>
      </c>
      <c r="Z45">
        <f>Z44+21</f>
        <v>731</v>
      </c>
      <c r="AA45">
        <f>AA44+25</f>
        <v>287</v>
      </c>
      <c r="AC45">
        <f>AC44+16</f>
        <v>355</v>
      </c>
      <c r="AD45">
        <f>AD44+3</f>
        <v>38</v>
      </c>
      <c r="AE45">
        <f>AE44+2</f>
        <v>21</v>
      </c>
      <c r="AG45">
        <f>AG44+6</f>
        <v>201</v>
      </c>
      <c r="AH45">
        <f>AH44+-1</f>
        <v>12</v>
      </c>
      <c r="AI45">
        <f>AI44+1</f>
        <v>18</v>
      </c>
      <c r="AK45">
        <f>AK44+4</f>
        <v>87</v>
      </c>
      <c r="AL45">
        <f>AL44+1</f>
        <v>5</v>
      </c>
      <c r="AM45">
        <f>AM44+0</f>
        <v>1</v>
      </c>
      <c r="AO45">
        <f>AO44+5</f>
        <v>227</v>
      </c>
      <c r="AP45">
        <f>AP44+-3</f>
        <v>17</v>
      </c>
      <c r="AQ45">
        <f>AQ44+0</f>
        <v>7</v>
      </c>
      <c r="AS45">
        <f>AS44+42</f>
        <v>533</v>
      </c>
      <c r="AU45">
        <f>AU44+0</f>
        <v>4</v>
      </c>
      <c r="AW45">
        <f>M45+Q45+U45+Y45+AC45+AG45+AK45+AO45+AS45</f>
        <v>13989</v>
      </c>
      <c r="AX45">
        <f>N45+R45+V45+Z45+AD45+AH45+AL45+AP45+AT45</f>
        <v>1779</v>
      </c>
      <c r="AY45">
        <f>O45+S45+W45+AA45+AE45+AI45+AM45+AQ45+AU45</f>
        <v>671</v>
      </c>
      <c r="BA45" s="6">
        <v>43887</v>
      </c>
      <c r="BB45">
        <v>57</v>
      </c>
      <c r="BC45">
        <f>(BB45/BB44)-1</f>
        <v>0.11764705882352944</v>
      </c>
    </row>
    <row r="46" spans="1:66" ht="19.5">
      <c r="C46">
        <f>H45*D46</f>
        <v>765.99999999069723</v>
      </c>
      <c r="D46">
        <f>0.054757309313999997</f>
        <v>0.054757309313999997</v>
      </c>
      <c r="E46" t="s">
        <v>14</v>
      </c>
      <c r="F46" s="6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M46+Q46+U46+Y46+AC46+AG46+AK46+AO46+AS46</f>
        <v>14755</v>
      </c>
      <c r="M46">
        <f>M45+30</f>
        <v>490</v>
      </c>
      <c r="N46">
        <f>N45+-3</f>
        <v>32</v>
      </c>
      <c r="O46">
        <f>O45+6</f>
        <v>35</v>
      </c>
      <c r="Q46">
        <f>Q45+200</f>
        <v>2570</v>
      </c>
      <c r="R46">
        <f>R45+33</f>
        <v>402</v>
      </c>
      <c r="S46">
        <f>S45+60</f>
        <v>213</v>
      </c>
      <c r="U46">
        <f>U45+215</f>
        <v>3758</v>
      </c>
      <c r="V46">
        <f>V45+40</f>
        <v>612</v>
      </c>
      <c r="W46">
        <f>W45+44</f>
        <v>195</v>
      </c>
      <c r="Y46">
        <f>Y45+267</f>
        <v>6480</v>
      </c>
      <c r="Z46">
        <f>Z45+53</f>
        <v>784</v>
      </c>
      <c r="AA46">
        <f>AA45+78</f>
        <v>365</v>
      </c>
      <c r="AC46">
        <f>AC45+24</f>
        <v>379</v>
      </c>
      <c r="AD46">
        <f>AD45+2</f>
        <v>40</v>
      </c>
      <c r="AE46">
        <f>AE45+7</f>
        <v>28</v>
      </c>
      <c r="AG46">
        <f>AG45+15</f>
        <v>216</v>
      </c>
      <c r="AH46">
        <f>AH45+-1</f>
        <v>11</v>
      </c>
      <c r="AI46">
        <f>AI45+4</f>
        <v>22</v>
      </c>
      <c r="AK46">
        <f>AK45+2</f>
        <v>89</v>
      </c>
      <c r="AL46">
        <f>AL45+1</f>
        <v>6</v>
      </c>
      <c r="AM46">
        <f>AM45+0</f>
        <v>1</v>
      </c>
      <c r="AO46">
        <f>AO45+9</f>
        <v>236</v>
      </c>
      <c r="AP46">
        <f>AP45+4</f>
        <v>21</v>
      </c>
      <c r="AQ46">
        <f>AQ45+0</f>
        <v>7</v>
      </c>
      <c r="AS46">
        <f>AS45+4</f>
        <v>537</v>
      </c>
      <c r="AU46">
        <f>AU45+-2</f>
        <v>2</v>
      </c>
      <c r="AW46">
        <f>M46+Q46+U46+Y46+AC46+AG46+AK46+AO46+AS46</f>
        <v>14755</v>
      </c>
      <c r="AX46">
        <f>N46+R46+V46+Z46+AD46+AH46+AL46+AP46+AT46</f>
        <v>1908</v>
      </c>
      <c r="AY46">
        <f>O46+S46+W46+AA46+AE46+AI46+AM46+AQ46+AU46</f>
        <v>868</v>
      </c>
      <c r="BA46" s="6">
        <v>43888</v>
      </c>
      <c r="BB46">
        <v>58</v>
      </c>
      <c r="BC46">
        <f>(BB46/BB45)-1</f>
        <v>0.017543859649122862</v>
      </c>
    </row>
    <row r="47" spans="1:66" ht="19.5">
      <c r="C47">
        <f>H46*D47</f>
        <v>1128.9999999990926</v>
      </c>
      <c r="D47">
        <f>0.076516435107</f>
        <v>0.076516435107</v>
      </c>
      <c r="E47" t="s">
        <v>15</v>
      </c>
      <c r="F47" s="6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M47+Q47+U47+Y47+AC47+AG47+AK47+AO47+AS47</f>
        <v>15884</v>
      </c>
      <c r="M47">
        <f>M46+45</f>
        <v>535</v>
      </c>
      <c r="N47">
        <f>N46+-5</f>
        <v>27</v>
      </c>
      <c r="O47">
        <f>O46+9</f>
        <v>44</v>
      </c>
      <c r="Q47">
        <f>Q46+289</f>
        <v>2859</v>
      </c>
      <c r="R47">
        <f>R46+18</f>
        <v>420</v>
      </c>
      <c r="S47">
        <f>S46+30</f>
        <v>243</v>
      </c>
      <c r="T47" t="inlineStr">
        <is>
          <t>UPDATED - finished this line's entry and won't require further update.</t>
        </is>
      </c>
      <c r="U47">
        <f>U46+405</f>
        <v>4163</v>
      </c>
      <c r="V47">
        <f>V46+1</f>
        <v>613</v>
      </c>
      <c r="W47">
        <f>W46+19</f>
        <v>214</v>
      </c>
      <c r="Y47">
        <f>Y46+336</f>
        <v>6816</v>
      </c>
      <c r="Z47">
        <f>Z46+3</f>
        <v>787</v>
      </c>
      <c r="AA47">
        <f>AA46+41</f>
        <v>406</v>
      </c>
      <c r="AC47">
        <f>AC46+15</f>
        <v>394</v>
      </c>
      <c r="AD47">
        <f>AD46+-1</f>
        <v>39</v>
      </c>
      <c r="AE47">
        <f>AE46+2</f>
        <v>30</v>
      </c>
      <c r="AG47">
        <f>AG46+25</f>
        <v>241</v>
      </c>
      <c r="AH47">
        <f>AH46+0</f>
        <v>11</v>
      </c>
      <c r="AI47">
        <f>AI46+0</f>
        <v>22</v>
      </c>
      <c r="AK47">
        <f>AK46+-2</f>
        <v>87</v>
      </c>
      <c r="AL47">
        <f>AL46+0</f>
        <v>6</v>
      </c>
      <c r="AM47">
        <f>AM46+0</f>
        <v>1</v>
      </c>
      <c r="AO47">
        <f>AO46+19</f>
        <v>255</v>
      </c>
      <c r="AP47">
        <f>AP46+2</f>
        <v>23</v>
      </c>
      <c r="AQ47">
        <f>AQ46+2</f>
        <v>9</v>
      </c>
      <c r="AS47">
        <f>AS46+-3</f>
        <v>534</v>
      </c>
      <c r="AU47">
        <f>AU46+0</f>
        <v>2</v>
      </c>
      <c r="AW47">
        <f>M47+Q47+U47+Y47+AC47+AG47+AK47+AO47+AS47</f>
        <v>15884</v>
      </c>
      <c r="AX47">
        <f>N47+R47+V47+Z47+AD47+AH47+AL47+AP47+AT47</f>
        <v>1926</v>
      </c>
      <c r="AY47">
        <f>O47+S47+W47+AA47+AE47+AI47+AM47+AQ47+AU47</f>
        <v>971</v>
      </c>
      <c r="AZ47" t="inlineStr">
        <is>
          <t>CORRECT - no errors seen.  Ready for permanent record.</t>
        </is>
      </c>
      <c r="BA47" s="6">
        <v>43889</v>
      </c>
      <c r="BB47">
        <v>60</v>
      </c>
      <c r="BC47">
        <f>(BB47/BB46)-1</f>
        <v>0.034482758620689724</v>
      </c>
    </row>
    <row r="48" spans="1:66" ht="19.5">
      <c r="C48">
        <f>H47*D48</f>
        <v>925.00000005193579</v>
      </c>
      <c r="D48">
        <f>0.05823470159</f>
        <v>0.05823470159</v>
      </c>
      <c r="E48" t="s">
        <v>16</v>
      </c>
      <c r="F48" s="6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M48+Q48+U48+Y48+AC48+AG48+AK48+AO48+AS48</f>
        <v>16809</v>
      </c>
      <c r="L48" t="inlineStr">
        <is>
          <t>NEW: want to insert a second day, here.</t>
        </is>
      </c>
      <c r="M48">
        <f>M47+34</f>
        <v>569</v>
      </c>
      <c r="N48">
        <f>N47+1</f>
        <v>28</v>
      </c>
      <c r="O48">
        <f>O47+2</f>
        <v>46</v>
      </c>
      <c r="Q48">
        <f>Q47+156</f>
        <v>3015</v>
      </c>
      <c r="R48">
        <f>R47+-10</f>
        <v>410</v>
      </c>
      <c r="S48">
        <f>S47+23</f>
        <v>266</v>
      </c>
      <c r="T48" t="inlineStr">
        <is>
          <t>PROPOSED - open to proposal now - subject to revision.</t>
        </is>
      </c>
      <c r="U48">
        <f>U47+357</f>
        <v>4520</v>
      </c>
      <c r="V48">
        <f>V47+20</f>
        <v>633</v>
      </c>
      <c r="W48">
        <f>W47+15</f>
        <v>229</v>
      </c>
      <c r="Y48">
        <f>Y47+330</f>
        <v>7146</v>
      </c>
      <c r="Z48">
        <f>Z47+10</f>
        <v>797</v>
      </c>
      <c r="AA48">
        <f>AA47+19</f>
        <v>425</v>
      </c>
      <c r="AC48">
        <f>AC47+28</f>
        <v>422</v>
      </c>
      <c r="AD48">
        <f>AD47+-2</f>
        <v>37</v>
      </c>
      <c r="AE48">
        <f>AE47+2</f>
        <v>32</v>
      </c>
      <c r="AG48">
        <f>AG47+17</f>
        <v>258</v>
      </c>
      <c r="AH48">
        <f>AH47+1</f>
        <v>12</v>
      </c>
      <c r="AI48">
        <f>AI47+2</f>
        <v>24</v>
      </c>
      <c r="AK48">
        <f>AK47+5</f>
        <v>92</v>
      </c>
      <c r="AL48">
        <f>AL47+1</f>
        <v>7</v>
      </c>
      <c r="AM48">
        <f>AM47+1</f>
        <v>2</v>
      </c>
      <c r="AO48">
        <f>AO47+37</f>
        <v>292</v>
      </c>
      <c r="AP48">
        <f>AP47+-1</f>
        <v>22</v>
      </c>
      <c r="AQ48">
        <f>AQ47+1</f>
        <v>10</v>
      </c>
      <c r="AS48">
        <f>AS47+-39</f>
        <v>495</v>
      </c>
      <c r="AU48">
        <f>AU47+0</f>
        <v>2</v>
      </c>
      <c r="AW48">
        <f>M48+Q48+U48+Y48+AC48+AG48+AK48+AO48+AS48</f>
        <v>16809</v>
      </c>
      <c r="AX48">
        <f>N48+R48+V48+Z48+AD48+AH48+AL48+AP48+AT48</f>
        <v>1946</v>
      </c>
      <c r="AY48">
        <f>O48+S48+W48+AA48+AE48+AI48+AM48+AQ48+AU48</f>
        <v>1036</v>
      </c>
      <c r="BA48" s="6">
        <v>43890</v>
      </c>
      <c r="BB48">
        <v>68</v>
      </c>
      <c r="BC48">
        <f>(BB48/BB47)-1</f>
        <v>0.1333333333333333</v>
      </c>
    </row>
    <row r="49" spans="1:66" ht="19.5">
      <c r="C49">
        <f>H48*D49</f>
        <v>881.86225137451368</v>
      </c>
      <c r="D49">
        <f>D48/1.1100000000000001</f>
        <v>0.052463695126126121</v>
      </c>
      <c r="E49" t="s">
        <v>17</v>
      </c>
      <c r="F49" t="inlineStr">
        <is>
          <t>day two</t>
        </is>
      </c>
      <c r="G49" s="2">
        <f>H49*15</f>
        <v>265362.93377046322</v>
      </c>
      <c r="H49">
        <f>H48+C49</f>
        <v>17690.862251364215</v>
      </c>
      <c r="I49" s="1"/>
      <c r="J49">
        <v>732197</v>
      </c>
      <c r="K49" s="1"/>
      <c r="M49" s="1"/>
      <c r="N49" s="1"/>
      <c r="O49" s="1"/>
      <c r="Q49" s="1"/>
      <c r="R49" s="1"/>
      <c r="S49" s="1"/>
      <c r="U49" s="1"/>
      <c r="V49" s="1"/>
      <c r="W49" s="1"/>
      <c r="Y49" s="1"/>
      <c r="Z49" s="1"/>
      <c r="AA49" s="1"/>
      <c r="AC49" s="1"/>
      <c r="AD49" s="1"/>
      <c r="AE49" s="1"/>
      <c r="AG49" s="1"/>
      <c r="AH49" s="1"/>
      <c r="AI49" s="1"/>
      <c r="AK49" s="1"/>
      <c r="AL49" s="1"/>
      <c r="AM49" s="1"/>
      <c r="AO49" s="1"/>
      <c r="AP49" s="1"/>
      <c r="AQ49" s="1"/>
      <c r="AS49" s="1"/>
      <c r="AT49" s="1"/>
      <c r="AU49" s="1"/>
      <c r="AW49" s="1"/>
      <c r="AX49" s="1"/>
      <c r="AY49" s="1"/>
      <c r="BA49" s="6">
        <v>43891</v>
      </c>
      <c r="BB49">
        <v>74</v>
      </c>
      <c r="BC49">
        <f>(BB49/BB48)-1</f>
        <v>0.088235294117646967</v>
      </c>
    </row>
    <row r="50" spans="1:66" ht="19.5">
      <c r="C50">
        <f>H49*D50</f>
        <v>836.15135466113986</v>
      </c>
      <c r="D50">
        <f>D49/1.1100000000000001</f>
        <v>0.047264590203717219</v>
      </c>
      <c r="E50" t="s">
        <v>11</v>
      </c>
      <c r="F50" t="inlineStr">
        <is>
          <t>day three</t>
        </is>
      </c>
      <c r="G50" s="2">
        <f>H50*15</f>
        <v>277905.20409038028</v>
      </c>
      <c r="H50">
        <f>H49+C50</f>
        <v>18527.013606025354</v>
      </c>
      <c r="I50" s="1"/>
      <c r="J50" s="1"/>
      <c r="K50" s="1"/>
      <c r="M50" s="1"/>
      <c r="N50" s="1"/>
      <c r="O50" s="1"/>
      <c r="Q50" s="1"/>
      <c r="R50" s="1"/>
      <c r="S50" s="1"/>
      <c r="U50" s="1"/>
      <c r="V50" s="1"/>
      <c r="W50" s="1"/>
      <c r="Y50" s="1"/>
      <c r="Z50" s="1"/>
      <c r="AA50" s="1"/>
      <c r="AC50" s="1"/>
      <c r="AD50" s="1"/>
      <c r="AE50" s="1"/>
      <c r="AG50" s="1"/>
      <c r="AH50" s="1"/>
      <c r="AI50" s="1"/>
      <c r="AK50" s="1"/>
      <c r="AL50" s="1"/>
      <c r="AM50" s="1"/>
      <c r="AO50" s="1"/>
      <c r="AP50" s="1"/>
      <c r="AQ50" s="1"/>
      <c r="AS50" s="1"/>
      <c r="AT50" s="1"/>
      <c r="AU50" s="1"/>
      <c r="AW50" s="1"/>
      <c r="AX50" s="1"/>
      <c r="AY50" s="1"/>
      <c r="BA50" s="6">
        <v>43892</v>
      </c>
      <c r="BB50">
        <v>98</v>
      </c>
      <c r="BC50">
        <f>(BB50/BB49)-1</f>
        <v>0.32432432432432434</v>
      </c>
    </row>
    <row r="51" spans="1:66" ht="19.5">
      <c r="C51">
        <f>H50*D51</f>
        <v>788.89342863737079</v>
      </c>
      <c r="D51">
        <f>D50/1.1100000000000001</f>
        <v>0.042580711895240736</v>
      </c>
      <c r="E51" t="s">
        <v>12</v>
      </c>
      <c r="F51" t="inlineStr">
        <is>
          <t>day four</t>
        </is>
      </c>
      <c r="G51" s="2">
        <f>H51*15</f>
        <v>289738.60551994084</v>
      </c>
      <c r="H51">
        <f>H50+C51</f>
        <v>19315.907034662723</v>
      </c>
      <c r="I51" s="1"/>
      <c r="J51" s="1"/>
      <c r="K51" s="1"/>
      <c r="L51" t="inlineStr">
        <is>
          <t>total (entry):</t>
        </is>
      </c>
      <c r="M51">
        <v>569</v>
      </c>
      <c r="N51">
        <v>28</v>
      </c>
      <c r="O51">
        <v>46</v>
      </c>
      <c r="Q51">
        <v>3015</v>
      </c>
      <c r="R51">
        <v>410</v>
      </c>
      <c r="S51">
        <v>266</v>
      </c>
      <c r="U51">
        <v>4520</v>
      </c>
      <c r="V51">
        <v>633</v>
      </c>
      <c r="W51">
        <v>229</v>
      </c>
      <c r="Y51">
        <v>7146</v>
      </c>
      <c r="Z51">
        <v>797</v>
      </c>
      <c r="AA51">
        <v>425</v>
      </c>
      <c r="AC51">
        <v>422</v>
      </c>
      <c r="AD51">
        <v>37</v>
      </c>
      <c r="AE51">
        <v>32</v>
      </c>
      <c r="AG51">
        <v>258</v>
      </c>
      <c r="AH51">
        <v>12</v>
      </c>
      <c r="AI51">
        <v>24</v>
      </c>
      <c r="AK51">
        <v>92</v>
      </c>
      <c r="AL51">
        <v>7</v>
      </c>
      <c r="AM51">
        <v>2</v>
      </c>
      <c r="AO51">
        <v>292</v>
      </c>
      <c r="AP51">
        <v>22</v>
      </c>
      <c r="AQ51">
        <v>10</v>
      </c>
      <c r="AS51">
        <v>495</v>
      </c>
      <c r="AU51">
        <v>2</v>
      </c>
      <c r="AW51">
        <v>16809</v>
      </c>
      <c r="AX51">
        <v>1946</v>
      </c>
      <c r="AY51">
        <v>1036</v>
      </c>
      <c r="BA51" s="6">
        <v>43893</v>
      </c>
      <c r="BB51">
        <v>118</v>
      </c>
      <c r="BC51">
        <f>(BB51/BB50)-1</f>
        <v>0.20408163265306123</v>
      </c>
    </row>
    <row r="52" spans="1:66" ht="19.5">
      <c r="C52">
        <f>H51*D52</f>
        <v>740.97754273714156</v>
      </c>
      <c r="D52">
        <f>D51/1.1100000000000001</f>
        <v>0.038361001707424083</v>
      </c>
      <c r="E52" t="s">
        <v>13</v>
      </c>
      <c r="F52" t="inlineStr">
        <is>
          <t>day five</t>
        </is>
      </c>
      <c r="G52" s="2">
        <f>H52*15</f>
        <v>300853.26866099797</v>
      </c>
      <c r="H52">
        <f>H51+C52</f>
        <v>20056.884577399866</v>
      </c>
      <c r="I52" s="1"/>
      <c r="J52" s="1"/>
      <c r="K52" s="1"/>
      <c r="L52" t="inlineStr">
        <is>
          <t>ext. Difference:</t>
        </is>
      </c>
      <c r="M52">
        <f>M51-M47</f>
        <v>34</v>
      </c>
      <c r="N52">
        <f>N51-N47</f>
        <v>1</v>
      </c>
      <c r="O52">
        <f>O51-O47</f>
        <v>2</v>
      </c>
      <c r="Q52">
        <f>Q51-Q47</f>
        <v>156</v>
      </c>
      <c r="R52">
        <f>R51-R47</f>
        <v>-10</v>
      </c>
      <c r="S52">
        <f>S51-S47</f>
        <v>23</v>
      </c>
      <c r="U52">
        <f>U51-U47</f>
        <v>357</v>
      </c>
      <c r="V52">
        <f>V51-V47</f>
        <v>20</v>
      </c>
      <c r="W52">
        <f>W51-W47</f>
        <v>15</v>
      </c>
      <c r="Y52">
        <f>Y51-Y47</f>
        <v>330</v>
      </c>
      <c r="Z52">
        <f>Z51-Z47</f>
        <v>10</v>
      </c>
      <c r="AA52">
        <f>AA51-AA47</f>
        <v>19</v>
      </c>
      <c r="AC52">
        <f>AC51-AC47</f>
        <v>28</v>
      </c>
      <c r="AD52">
        <f>AD51-AD47</f>
        <v>-2</v>
      </c>
      <c r="AE52">
        <f>AE51-AE47</f>
        <v>2</v>
      </c>
      <c r="AG52">
        <f>AG51-AG47</f>
        <v>17</v>
      </c>
      <c r="AH52">
        <f>AH51-AH47</f>
        <v>1</v>
      </c>
      <c r="AI52">
        <f>AI51-AI47</f>
        <v>2</v>
      </c>
      <c r="AK52">
        <f>AK51-AK47</f>
        <v>5</v>
      </c>
      <c r="AL52">
        <f>AL51-AL47</f>
        <v>1</v>
      </c>
      <c r="AM52">
        <f>AM51-AM47</f>
        <v>1</v>
      </c>
      <c r="AO52">
        <f>AO51-AO47</f>
        <v>37</v>
      </c>
      <c r="AP52">
        <f>AP51-AP47</f>
        <v>-1</v>
      </c>
      <c r="AQ52">
        <f>AQ51-AQ47</f>
        <v>1</v>
      </c>
      <c r="AS52">
        <f>AS51-AS47</f>
        <v>-39</v>
      </c>
      <c r="AU52">
        <f>AU51-AU47</f>
        <v>0</v>
      </c>
      <c r="AW52">
        <f>AW51-AW47</f>
        <v>925</v>
      </c>
      <c r="AX52">
        <f>AX51-AX47</f>
        <v>20</v>
      </c>
      <c r="AY52">
        <f>AY51-AY47</f>
        <v>65</v>
      </c>
      <c r="BA52" s="6">
        <v>43894</v>
      </c>
      <c r="BB52">
        <v>149</v>
      </c>
      <c r="BC52">
        <f>(BB52/BB51)-1</f>
        <v>0.26271186440677963</v>
      </c>
    </row>
    <row r="53" spans="1:66" ht="19.5">
      <c r="C53">
        <f>H52*D53</f>
        <v>693.15512028760713</v>
      </c>
      <c r="D53">
        <f>D52/1.1100000000000001</f>
        <v>0.034559460997679349</v>
      </c>
      <c r="E53" t="s">
        <v>14</v>
      </c>
      <c r="F53" t="inlineStr">
        <is>
          <t>above: moving target</t>
        </is>
      </c>
      <c r="G53" s="2">
        <f>H53*15</f>
        <v>311250.59546531207</v>
      </c>
      <c r="H53">
        <f>H52+C53</f>
        <v>20750.039697687473</v>
      </c>
      <c r="J53" t="inlineStr">
        <is>
          <t>*preliminary*</t>
        </is>
      </c>
      <c r="K53" s="1"/>
      <c r="L53" t="inlineStr">
        <is>
          <t>int. Difference:</t>
        </is>
      </c>
      <c r="M53">
        <f>M48-M47</f>
        <v>34</v>
      </c>
      <c r="N53">
        <f>N48-N47</f>
        <v>1</v>
      </c>
      <c r="O53">
        <f>O48-O47</f>
        <v>2</v>
      </c>
      <c r="Q53">
        <f>Q48-Q47</f>
        <v>156</v>
      </c>
      <c r="R53">
        <f>R48-R47</f>
        <v>-10</v>
      </c>
      <c r="S53">
        <f>S48-S47</f>
        <v>23</v>
      </c>
      <c r="U53">
        <f>U48-U47</f>
        <v>357</v>
      </c>
      <c r="V53">
        <f>V48-V47</f>
        <v>20</v>
      </c>
      <c r="W53">
        <f>W48-W47</f>
        <v>15</v>
      </c>
      <c r="Y53">
        <f>Y48-Y47</f>
        <v>330</v>
      </c>
      <c r="Z53">
        <f>Z48-Z47</f>
        <v>10</v>
      </c>
      <c r="AA53">
        <f>AA48-AA47</f>
        <v>19</v>
      </c>
      <c r="AC53">
        <f>AC48-AC47</f>
        <v>28</v>
      </c>
      <c r="AD53">
        <f>AD48-AD47</f>
        <v>-2</v>
      </c>
      <c r="AE53">
        <f>AE48-AE47</f>
        <v>2</v>
      </c>
      <c r="AG53">
        <f>AG48-AG47</f>
        <v>17</v>
      </c>
      <c r="AH53">
        <f>AH48-AH47</f>
        <v>1</v>
      </c>
      <c r="AI53">
        <f>AI48-AI47</f>
        <v>2</v>
      </c>
      <c r="AK53">
        <f>AK48-AK47</f>
        <v>5</v>
      </c>
      <c r="AL53">
        <f>AL48-AL47</f>
        <v>1</v>
      </c>
      <c r="AM53">
        <f>AM48-AM47</f>
        <v>1</v>
      </c>
      <c r="AO53">
        <f>AO48-AO47</f>
        <v>37</v>
      </c>
      <c r="AP53">
        <f>AP48-AP47</f>
        <v>-1</v>
      </c>
      <c r="AQ53">
        <f>AQ48-AQ47</f>
        <v>1</v>
      </c>
      <c r="AS53">
        <f>AS48-AS47</f>
        <v>-39</v>
      </c>
      <c r="AU53">
        <f>AU48-AU47</f>
        <v>0</v>
      </c>
      <c r="AW53">
        <f>AW48-AW47</f>
        <v>925</v>
      </c>
      <c r="AX53">
        <f>AX48-AX47</f>
        <v>20</v>
      </c>
      <c r="AY53">
        <f>AY48-AY47</f>
        <v>65</v>
      </c>
      <c r="BA53" s="6">
        <v>43895</v>
      </c>
      <c r="BB53">
        <v>217</v>
      </c>
      <c r="BC53">
        <f>(BB53/BB52)-1</f>
        <v>0.4563758389261745</v>
      </c>
    </row>
    <row r="54" spans="1:66" ht="19.5">
      <c r="C54">
        <f>H53*D54</f>
        <v>646.04521408335881</v>
      </c>
      <c r="D54">
        <f>D53/1.1100000000000001</f>
        <v>0.03113464954745887</v>
      </c>
      <c r="E54" t="s">
        <v>15</v>
      </c>
      <c r="F54" s="6">
        <v>43944</v>
      </c>
      <c r="G54" s="2">
        <f>H54*15</f>
        <v>320941.27367656247</v>
      </c>
      <c r="H54">
        <f>H53+C54</f>
        <v>21396.084911770831</v>
      </c>
      <c r="I54" s="1"/>
      <c r="J54" s="1"/>
      <c r="K54" s="1"/>
      <c r="BA54" s="6">
        <v>43896</v>
      </c>
      <c r="BB54">
        <v>262</v>
      </c>
      <c r="BC54">
        <f>(BB54/BB53)-1</f>
        <v>0.20737327188940102</v>
      </c>
    </row>
    <row r="55" spans="1:66" ht="19.5">
      <c r="C55">
        <f>H54*D55</f>
        <v>600.14378866275422</v>
      </c>
      <c r="D55">
        <f>D54/1.1100000000000001</f>
        <v>0.028049233826539521</v>
      </c>
      <c r="E55" t="s">
        <v>16</v>
      </c>
      <c r="F55" s="6">
        <v>43945</v>
      </c>
      <c r="G55" s="2">
        <f>H55*15</f>
        <v>329943.43050650379</v>
      </c>
      <c r="H55">
        <f>H54+C55</f>
        <v>21996.228700433585</v>
      </c>
      <c r="I55" s="1"/>
      <c r="J55" s="1"/>
      <c r="BA55" s="6">
        <v>43897</v>
      </c>
      <c r="BB55">
        <v>402</v>
      </c>
      <c r="BC55">
        <f>(BB55/BB54)-1</f>
        <v>0.53435114503816794</v>
      </c>
    </row>
    <row r="56" spans="1:66" ht="19.5">
      <c r="C56">
        <f>H55*D56</f>
        <v>555.83546136982079</v>
      </c>
      <c r="D56">
        <f>D55/1.1100000000000001</f>
        <v>0.025269580023909475</v>
      </c>
      <c r="E56" t="s">
        <v>17</v>
      </c>
      <c r="F56" s="6">
        <v>43946</v>
      </c>
      <c r="G56" s="2">
        <f>H56*15</f>
        <v>338280.9624270511</v>
      </c>
      <c r="H56">
        <f>H55+C56</f>
        <v>22552.064161803406</v>
      </c>
      <c r="I56" t="inlineStr">
        <is>
          <t>&lt;&lt; transmission under 2.6 percent growth (per day)</t>
        </is>
      </c>
      <c r="J56" s="1"/>
      <c r="K56" t="inlineStr">
        <is>
          <t>TODAY:</t>
        </is>
      </c>
      <c r="M56" s="3">
        <f>(M48/M47)-1</f>
        <v>0.063551401869158974</v>
      </c>
      <c r="N56" s="3">
        <f>(N48/N47)-1</f>
        <v>0.037037037037036979</v>
      </c>
      <c r="O56" s="3">
        <f>(O48/O47)-1</f>
        <v>0.045454545454545414</v>
      </c>
      <c r="P56" s="3"/>
      <c r="Q56" s="3">
        <f>(Q48/Q47)-1</f>
        <v>0.054564533053515163</v>
      </c>
      <c r="R56" s="3">
        <f>(R48/R47)-1</f>
        <v>-0.023809523809523836</v>
      </c>
      <c r="S56" s="3">
        <f>(S48/S47)-1</f>
        <v>0.094650205761316775</v>
      </c>
      <c r="T56" s="3"/>
      <c r="U56" s="3">
        <f>(U48/U47)-1</f>
        <v>0.085755464809031956</v>
      </c>
      <c r="V56" s="3">
        <f>(V48/V47)-1</f>
        <v>0.032626427406198921</v>
      </c>
      <c r="W56" s="3">
        <f>(W48/W47)-1</f>
        <v>0.070093457943925186</v>
      </c>
      <c r="X56" s="3"/>
      <c r="Y56" s="3">
        <f>(Y48/Y47)-1</f>
        <v>0.048415492957746498</v>
      </c>
      <c r="Z56" s="3">
        <f>(Z48/Z47)-1</f>
        <v>0.01270648030495547</v>
      </c>
      <c r="AA56" s="3">
        <f>(AA48/AA47)-1</f>
        <v>0.046798029556650356</v>
      </c>
      <c r="AB56" s="3"/>
      <c r="AC56" s="3">
        <f>(AC48/AC47)-1</f>
        <v>0.071065989847715727</v>
      </c>
      <c r="AD56" s="3">
        <f>(AD48/AD47)-1</f>
        <v>-0.051282051282051322</v>
      </c>
      <c r="AE56" s="3">
        <f>(AE48/AE47)-1</f>
        <v>0.066666666666666652</v>
      </c>
      <c r="AF56" s="3"/>
      <c r="AG56" s="3">
        <f>(AG48/AG47)-1</f>
        <v>0.070539419087136901</v>
      </c>
      <c r="AH56" s="3">
        <f>(AH48/AH47)-1</f>
        <v>0.090909090909090828</v>
      </c>
      <c r="AI56" s="3">
        <f>(AI48/AI47)-1</f>
        <v>0.090909090909090828</v>
      </c>
      <c r="AJ56" s="3"/>
      <c r="AK56" s="3">
        <f>(AK48/AK47)-1</f>
        <v>0.057471264367816133</v>
      </c>
      <c r="AL56" s="3">
        <f>(AL48/AL47)-1</f>
        <v>0.16666666666666674</v>
      </c>
      <c r="AM56" s="3">
        <f>(AM48/AM47)-1</f>
        <v>1</v>
      </c>
      <c r="AN56" s="3"/>
      <c r="AO56" s="3">
        <f>(AO48/AO47)-1</f>
        <v>0.1450980392156862</v>
      </c>
      <c r="AP56" s="3">
        <f>(AP48/AP47)-1</f>
        <v>-0.043478260869565188</v>
      </c>
      <c r="AQ56" s="3">
        <f>(AQ48/AQ47)-1</f>
        <v>0.11111111111111116</v>
      </c>
      <c r="AR56" s="3"/>
      <c r="AS56" s="3">
        <f>(AS48/AS47)-1</f>
        <v>-0.073033707865168496</v>
      </c>
      <c r="AT56" s="3"/>
      <c r="AU56" s="3">
        <f>(AU48/AU47)-1</f>
        <v>0</v>
      </c>
      <c r="AV56" s="3"/>
      <c r="AW56" s="3">
        <f>(AW48/AW47)-1</f>
        <v>0.058234701586502124</v>
      </c>
      <c r="AX56" s="3">
        <f>(AX48/AX47)-1</f>
        <v>0.010384215991692702</v>
      </c>
      <c r="AY56" s="3">
        <f>(AY48/AY47)-1</f>
        <v>0.066941297631307961</v>
      </c>
      <c r="BA56" s="6">
        <v>43898</v>
      </c>
      <c r="BB56">
        <v>518</v>
      </c>
      <c r="BC56">
        <f>(BB56/BB55)-1</f>
        <v>0.28855721393034828</v>
      </c>
    </row>
    <row r="57" spans="1:66" ht="19.5">
      <c r="C57">
        <f>H56*D57</f>
        <v>569.88119004103214</v>
      </c>
      <c r="D57">
        <f>D56</f>
        <v>0.025269580023909475</v>
      </c>
      <c r="E57" t="s">
        <v>11</v>
      </c>
      <c r="F57" s="6">
        <v>43947</v>
      </c>
      <c r="G57" s="2">
        <f>H57*15</f>
        <v>346829.1802776666</v>
      </c>
      <c r="H57">
        <f>H56+C57</f>
        <v>23121.945351844439</v>
      </c>
      <c r="I57" t="inlineStr">
        <is>
          <t>(near three percent and arbitrarily chosen)</t>
        </is>
      </c>
      <c r="J57" s="1"/>
      <c r="BA57" s="6">
        <v>43899</v>
      </c>
      <c r="BB57">
        <v>583</v>
      </c>
      <c r="BC57">
        <f>(BB57/BB56)-1</f>
        <v>0.12548262548262556</v>
      </c>
    </row>
    <row r="58" spans="1:66" ht="19.5">
      <c r="C58">
        <f>H57*D58</f>
        <v>584.2818483768948</v>
      </c>
      <c r="D58">
        <f>D57</f>
        <v>0.025269580023909475</v>
      </c>
      <c r="E58" t="s">
        <v>12</v>
      </c>
      <c r="F58" s="6">
        <v>43948</v>
      </c>
      <c r="G58" s="2">
        <f>H58*15</f>
        <v>355593.40800331999</v>
      </c>
      <c r="H58">
        <f>H57+C58</f>
        <v>23706.227200221332</v>
      </c>
      <c r="J58" s="1"/>
      <c r="BA58" s="6">
        <v>43900</v>
      </c>
      <c r="BB58">
        <v>959</v>
      </c>
      <c r="BC58">
        <f>(BB58/BB57)-1</f>
        <v>0.64493996569468259</v>
      </c>
    </row>
    <row r="59" spans="1:66" ht="19.5">
      <c r="C59">
        <f>H58*D59</f>
        <v>599.04640530097242</v>
      </c>
      <c r="D59">
        <f>D58</f>
        <v>0.025269580023909475</v>
      </c>
      <c r="E59" t="s">
        <v>13</v>
      </c>
      <c r="F59" s="6">
        <v>43949</v>
      </c>
      <c r="G59" s="2">
        <f>H59*15</f>
        <v>364579.10408283456</v>
      </c>
      <c r="H59">
        <f>H58+C59</f>
        <v>24305.273605522303</v>
      </c>
      <c r="I59" s="1"/>
      <c r="J59" s="1"/>
      <c r="K59" t="inlineStr">
        <is>
          <t>Yesterday:</t>
        </is>
      </c>
      <c r="M59" s="3">
        <f>0.091999999999999998</f>
        <v>0.091999999999999998</v>
      </c>
      <c r="N59" s="3">
        <f>-0.156</f>
        <v>-0.156</v>
      </c>
      <c r="O59" s="3">
        <f>0.25700000000000001</f>
        <v>0.25700000000000001</v>
      </c>
      <c r="P59" s="3"/>
      <c r="Q59" s="3">
        <f>0.112</f>
        <v>0.112</v>
      </c>
      <c r="R59" s="3">
        <f>0.044999999999999998</f>
        <v>0.044999999999999998</v>
      </c>
      <c r="S59" s="3">
        <f>0.14099999999999999</f>
        <v>0.14099999999999999</v>
      </c>
      <c r="T59" s="3"/>
      <c r="U59" s="3">
        <f>0.108</f>
        <v>0.108</v>
      </c>
      <c r="V59" s="3">
        <f>0.0016000000000000001</f>
        <v>0.0016000000000000001</v>
      </c>
      <c r="W59" s="3">
        <f>0.097000000000000003</f>
        <v>0.097000000000000003</v>
      </c>
      <c r="X59" s="3"/>
      <c r="Y59" s="3">
        <f>0.051999999999999998</f>
        <v>0.051999999999999998</v>
      </c>
      <c r="Z59" s="3">
        <f>0.0040000000000000001</f>
        <v>0.0040000000000000001</v>
      </c>
      <c r="AA59" s="3">
        <f>0.112</f>
        <v>0.112</v>
      </c>
      <c r="AB59" s="3"/>
      <c r="AC59" s="3">
        <f>0.040000000000000001</f>
        <v>0.040000000000000001</v>
      </c>
      <c r="AD59" s="3">
        <f>-0.025000000000000001</f>
        <v>-0.025000000000000001</v>
      </c>
      <c r="AE59" s="3">
        <f>0.070999999999999994</f>
        <v>0.070999999999999994</v>
      </c>
      <c r="AF59" s="3"/>
      <c r="AG59" s="3">
        <f>0.11600000000000001</f>
        <v>0.11600000000000001</v>
      </c>
      <c r="AH59" s="3">
        <f>0</f>
        <v>0</v>
      </c>
      <c r="AI59" s="3">
        <f>0</f>
        <v>0</v>
      </c>
      <c r="AJ59" s="3"/>
      <c r="AK59" s="3">
        <f>-0.021999999999999999</f>
        <v>-0.021999999999999999</v>
      </c>
      <c r="AL59" s="3">
        <f>0</f>
        <v>0</v>
      </c>
      <c r="AM59" s="3">
        <f>0</f>
        <v>0</v>
      </c>
      <c r="AN59" s="3"/>
      <c r="AO59" s="3">
        <f>0.081000000000000003</f>
        <v>0.081000000000000003</v>
      </c>
      <c r="AP59" s="3">
        <f>0.095000000000000001</f>
        <v>0.095000000000000001</v>
      </c>
      <c r="AQ59" s="3">
        <f>0.28599999999999998</f>
        <v>0.28599999999999998</v>
      </c>
      <c r="AR59" s="3"/>
      <c r="AS59" s="3">
        <f>-0.0060000000000000001</f>
        <v>-0.0060000000000000001</v>
      </c>
      <c r="AT59" s="3"/>
      <c r="AU59" s="3">
        <f>0</f>
        <v>0</v>
      </c>
      <c r="AV59" s="3"/>
      <c r="AW59" s="3">
        <f>0.076999999999999999</f>
        <v>0.076999999999999999</v>
      </c>
      <c r="AX59" s="3">
        <f>0.0089999999999999993</f>
        <v>0.0089999999999999993</v>
      </c>
      <c r="AY59" s="3">
        <f>0.11899999999999999</f>
        <v>0.11899999999999999</v>
      </c>
      <c r="BA59" s="6">
        <v>43901</v>
      </c>
      <c r="BB59">
        <v>1281</v>
      </c>
      <c r="BC59">
        <f>(BB59/BB58)-1</f>
        <v>0.33576642335766427</v>
      </c>
    </row>
    <row r="60" spans="1:66" ht="19.5">
      <c r="C60">
        <f>H59*D60</f>
        <v>614.18405637776061</v>
      </c>
      <c r="D60">
        <f>D59</f>
        <v>0.025269580023909475</v>
      </c>
      <c r="E60" t="s">
        <v>14</v>
      </c>
      <c r="F60" s="6">
        <v>43950</v>
      </c>
      <c r="G60" s="2">
        <f>H60*15</f>
        <v>373791.86492850096</v>
      </c>
      <c r="H60">
        <f>H59+C60</f>
        <v>24919.457661900065</v>
      </c>
      <c r="I60" s="1"/>
      <c r="J60" s="1"/>
      <c r="O60" s="1"/>
      <c r="Q60" s="1"/>
      <c r="R60" s="1"/>
      <c r="S60" s="1"/>
      <c r="U60" s="1"/>
      <c r="V60" s="1"/>
      <c r="W60" s="1"/>
      <c r="Y60" s="1"/>
      <c r="Z60" s="1"/>
      <c r="AA60" s="1"/>
      <c r="AC60" s="1"/>
      <c r="AD60" s="1"/>
      <c r="AE60" s="1"/>
      <c r="AG60" s="1"/>
      <c r="AH60" s="1"/>
      <c r="AI60" s="1"/>
      <c r="BA60" s="6">
        <v>43902</v>
      </c>
      <c r="BB60">
        <v>1663</v>
      </c>
      <c r="BC60">
        <f>(BB60/BB59)-1</f>
        <v>0.29820452771272454</v>
      </c>
    </row>
    <row r="61" spans="1:66" ht="19.5">
      <c r="C61">
        <f>H60*D61</f>
        <v>629.70422953980778</v>
      </c>
      <c r="D61">
        <f>D60</f>
        <v>0.025269580023909475</v>
      </c>
      <c r="E61" t="s">
        <v>15</v>
      </c>
      <c r="F61" s="6">
        <v>43951</v>
      </c>
      <c r="G61" s="2">
        <f>H61*15</f>
        <v>383237.42837159807</v>
      </c>
      <c r="H61">
        <f>H60+C61</f>
        <v>25549.161891439871</v>
      </c>
      <c r="J61" s="1"/>
      <c r="O61" s="1"/>
      <c r="Q61" s="1"/>
      <c r="R61" s="1"/>
      <c r="S61" s="1"/>
      <c r="U61" s="1"/>
      <c r="V61" s="1"/>
      <c r="W61" s="1"/>
      <c r="Y61" s="1"/>
      <c r="Z61" s="1"/>
      <c r="AA61" s="1"/>
      <c r="AC61" s="1"/>
      <c r="AD61" s="1"/>
      <c r="AE61" s="1"/>
      <c r="AG61" s="1"/>
      <c r="AH61" s="1"/>
      <c r="AI61" s="1"/>
      <c r="AU61" t="inlineStr">
        <is>
          <t>r: +3</t>
        </is>
      </c>
      <c r="AW61">
        <f>AW60+766</f>
        <v>766</v>
      </c>
      <c r="AX61">
        <f>AX60+129</f>
        <v>129</v>
      </c>
      <c r="AY61">
        <f>AY60+197</f>
        <v>197</v>
      </c>
      <c r="BA61" s="6">
        <v>43903</v>
      </c>
      <c r="BB61">
        <v>2179</v>
      </c>
      <c r="BC61">
        <f>(BB61/BB60)-1</f>
        <v>0.31028262176788934</v>
      </c>
    </row>
    <row r="62" spans="1:66" ht="19.5">
      <c r="C62">
        <f>H61*D62</f>
        <v>645.61659095955815</v>
      </c>
      <c r="D62">
        <f>D61</f>
        <v>0.025269580023909475</v>
      </c>
      <c r="E62" t="s">
        <v>16</v>
      </c>
      <c r="F62" s="6">
        <v>43952</v>
      </c>
      <c r="G62" s="2">
        <f>H62*15</f>
        <v>392921.67723599146</v>
      </c>
      <c r="H62">
        <f>H61+C62</f>
        <v>26194.77848239943</v>
      </c>
      <c r="I62" t="inlineStr">
        <is>
          <t>&lt;&lt; 393 thousand (15x measured)</t>
        </is>
      </c>
      <c r="AL62" t="inlineStr">
        <is>
          <t>any zero-to-positive int gets the 'r: +n' entry.</t>
        </is>
      </c>
      <c r="BA62" s="6">
        <v>43904</v>
      </c>
      <c r="BB62">
        <v>2727</v>
      </c>
      <c r="BC62">
        <f>(BB62/BB61)-1</f>
        <v>0.25149150986691149</v>
      </c>
    </row>
    <row r="63" spans="1:66" ht="19.5">
      <c r="C63">
        <f>H62*D63</f>
        <v>661.93105106957444</v>
      </c>
      <c r="D63">
        <f>D62</f>
        <v>0.025269580023909475</v>
      </c>
      <c r="E63" t="s">
        <v>17</v>
      </c>
      <c r="F63" s="6">
        <v>43953</v>
      </c>
      <c r="G63" s="2">
        <f>H63*15</f>
        <v>402850.6430020351</v>
      </c>
      <c r="H63">
        <f>H62+C63</f>
        <v>26856.709533469006</v>
      </c>
      <c r="P63" t="inlineStr">
        <is>
          <t>older Source: https://portal.ct.gov/Coronavirus/Pages/Governors-Press-Releases</t>
        </is>
      </c>
      <c r="BA63" s="6">
        <v>43905</v>
      </c>
      <c r="BB63">
        <v>3499</v>
      </c>
      <c r="BC63">
        <f>(BB63/BB62)-1</f>
        <v>0.28309497616428314</v>
      </c>
    </row>
    <row r="64" spans="1:66" ht="19.5">
      <c r="C64">
        <f>H63*D64</f>
        <v>678.65777073488755</v>
      </c>
      <c r="D64">
        <f>D63</f>
        <v>0.025269580023909475</v>
      </c>
      <c r="E64" t="s">
        <v>11</v>
      </c>
      <c r="F64" s="6">
        <v>43954</v>
      </c>
      <c r="G64" s="2">
        <f>H64*15</f>
        <v>413030.50956305838</v>
      </c>
      <c r="H64">
        <f>H63+C64</f>
        <v>27535.367304203894</v>
      </c>
      <c r="J64" s="1"/>
      <c r="BA64" s="6">
        <v>43906</v>
      </c>
      <c r="BB64">
        <v>4632</v>
      </c>
      <c r="BC64">
        <f>(BB64/BB63)-1</f>
        <v>0.32380680194341238</v>
      </c>
    </row>
    <row r="65" spans="1:66" ht="19.5">
      <c r="C65">
        <f>H64*D65</f>
        <v>695.80716758132075</v>
      </c>
      <c r="D65">
        <f>D64</f>
        <v>0.025269580023909475</v>
      </c>
      <c r="E65" t="s">
        <v>12</v>
      </c>
      <c r="F65" s="6">
        <v>43955</v>
      </c>
      <c r="G65" s="2">
        <f>H65*15</f>
        <v>423467.6170767782</v>
      </c>
      <c r="H65">
        <f>H64+C65</f>
        <v>28231.174471785213</v>
      </c>
      <c r="J65" s="1" t="inlineStr">
        <is>
          <t>The (near) three percent (above) is not especially in agreement with</t>
        </is>
      </c>
      <c r="P65" t="inlineStr">
        <is>
          <t>recent Source: https://portal.ct.gov/-/media/Coronavirus/CTDPHCOVID19summary3312020.pdf?la=en</t>
        </is>
      </c>
      <c r="BA65" s="6">
        <v>43907</v>
      </c>
      <c r="BB65">
        <v>6421</v>
      </c>
      <c r="BC65">
        <f>(BB65/BB64)-1</f>
        <v>0.38622625215889461</v>
      </c>
    </row>
    <row r="66" spans="1:66" ht="19.5">
      <c r="C66">
        <f>H65*D66</f>
        <v>713.38992248372676</v>
      </c>
      <c r="D66">
        <f>D65</f>
        <v>0.025269580023909475</v>
      </c>
      <c r="E66" t="s">
        <v>13</v>
      </c>
      <c r="F66" s="6">
        <v>43956</v>
      </c>
      <c r="G66" s="2">
        <f>H66*15</f>
        <v>434168.46591403405</v>
      </c>
      <c r="H66">
        <f>H65+C66</f>
        <v>28944.564394268938</v>
      </c>
      <c r="J66" s="1" t="inlineStr">
        <is>
          <t>the best national figure (outdated now:   4.7 percent growth in 24 hours)</t>
        </is>
      </c>
      <c r="P66" t="inlineStr">
        <is>
          <t>recent Source: https://portal.ct.gov/Office-of-the-Governor/News/Press-Releases/2020/04-2020/Governor-Lamont-Coronavirus-Update-April-16</t>
        </is>
      </c>
      <c r="BA66" s="6">
        <v>43908</v>
      </c>
      <c r="BB66">
        <v>7783</v>
      </c>
      <c r="BC66">
        <f>(BB66/BB65)-1</f>
        <v>0.21211649275813738</v>
      </c>
    </row>
    <row r="67" spans="1:66" ht="19.5">
      <c r="C67">
        <f>H66*D67</f>
        <v>731.41698621817977</v>
      </c>
      <c r="D67">
        <f>D66</f>
        <v>0.025269580023909475</v>
      </c>
      <c r="E67" t="s">
        <v>14</v>
      </c>
      <c r="F67" s="6">
        <v>43957</v>
      </c>
      <c r="G67" s="2">
        <f>H67*15</f>
        <v>445139.72070730681</v>
      </c>
      <c r="H67">
        <f>H66+C67</f>
        <v>29675.981380487119</v>
      </c>
      <c r="J67" s="1" t="inlineStr">
        <is>
          <t>near the 19 April 2020 time mark.</t>
        </is>
      </c>
      <c r="Q67" s="1"/>
      <c r="R67" s="1"/>
      <c r="S67" s="1"/>
      <c r="U67" s="1"/>
      <c r="V67" s="1"/>
      <c r="W67" s="1"/>
      <c r="Y67" s="1"/>
      <c r="Z67" s="1"/>
      <c r="AA67" s="1"/>
      <c r="AC67" s="1"/>
      <c r="BA67" s="6">
        <v>43909</v>
      </c>
      <c r="BB67">
        <v>13677</v>
      </c>
      <c r="BC67">
        <f>(BB67/BB66)-1</f>
        <v>0.75729153282795836</v>
      </c>
    </row>
    <row r="68" spans="1:66" ht="19.5">
      <c r="C68">
        <f>H67*D68</f>
        <v>749.8995862822668</v>
      </c>
      <c r="D68">
        <f>D67</f>
        <v>0.025269580023909475</v>
      </c>
      <c r="E68" t="s">
        <v>15</v>
      </c>
      <c r="F68" s="6">
        <v>43958</v>
      </c>
      <c r="G68" s="2">
        <f>H68*15</f>
        <v>456388.21450154076</v>
      </c>
      <c r="H68">
        <f>H67+C68</f>
        <v>30425.880966769386</v>
      </c>
      <c r="P68" t="inlineStr">
        <is>
          <t>export: $ ssconvert -T Gnumeric_stf:stf_csv thisfile.gnumeric thisfile.csv</t>
        </is>
      </c>
      <c r="BA68" s="6">
        <v>43910</v>
      </c>
      <c r="BB68">
        <v>19100</v>
      </c>
      <c r="BC68">
        <f>(BB68/BB67)-1</f>
        <v>0.39650508152372588</v>
      </c>
    </row>
    <row r="69" spans="1:66" ht="19.5">
      <c r="C69">
        <f>H68*D69</f>
        <v>768.84923388772313</v>
      </c>
      <c r="D69">
        <f>D68</f>
        <v>0.025269580023909475</v>
      </c>
      <c r="E69" t="s">
        <v>16</v>
      </c>
      <c r="F69" s="6">
        <v>43959</v>
      </c>
      <c r="G69" s="2">
        <f>H69*15</f>
        <v>467920.95300985663</v>
      </c>
      <c r="H69">
        <f>H68+C69</f>
        <v>31194.730200657108</v>
      </c>
      <c r="BA69" s="6">
        <v>43911</v>
      </c>
      <c r="BB69">
        <v>25489</v>
      </c>
      <c r="BC69">
        <f>(BB69/BB68)-1</f>
        <v>0.33450261780104706</v>
      </c>
    </row>
    <row r="70" spans="1:66" ht="19.5">
      <c r="C70">
        <f>H69*D70</f>
        <v>788.27773112977047</v>
      </c>
      <c r="D70">
        <f>D69</f>
        <v>0.025269580023909475</v>
      </c>
      <c r="E70" t="s">
        <v>17</v>
      </c>
      <c r="F70" s="6">
        <v>43960</v>
      </c>
      <c r="G70" s="2">
        <f>H70*15</f>
        <v>479745.11897680321</v>
      </c>
      <c r="H70">
        <f>H69+C70</f>
        <v>31983.00793178688</v>
      </c>
      <c r="P70" t="inlineStr">
        <is>
          <t>March 31: Hospitalization by county presented in a graphic (only?)</t>
        </is>
      </c>
      <c r="BA70" s="6">
        <v>43912</v>
      </c>
      <c r="BB70">
        <v>33276</v>
      </c>
      <c r="BC70">
        <f>(BB70/BB69)-1</f>
        <v>0.30550433520342102</v>
      </c>
    </row>
    <row r="71" spans="1:66" ht="19.5">
      <c r="C71">
        <f>H70*D71</f>
        <v>808.19717833762002</v>
      </c>
      <c r="D71">
        <f>D70</f>
        <v>0.025269580023909475</v>
      </c>
      <c r="E71" t="s">
        <v>11</v>
      </c>
      <c r="F71" s="6">
        <v>43961</v>
      </c>
      <c r="G71" s="2">
        <f>H71*15</f>
        <v>491868.07665186754</v>
      </c>
      <c r="H71">
        <f>H70+C71</f>
        <v>32791.205110124502</v>
      </c>
      <c r="BA71" s="6">
        <v>43913</v>
      </c>
      <c r="BB71">
        <v>43847</v>
      </c>
      <c r="BC71">
        <f>(BB71/BB70)-1</f>
        <v>0.31767640341387193</v>
      </c>
    </row>
    <row r="72" spans="1:66" ht="19.5">
      <c r="C72">
        <f>H71*D72</f>
        <v>828.6199816107204</v>
      </c>
      <c r="D72">
        <f>D71</f>
        <v>0.025269580023909475</v>
      </c>
      <c r="E72" t="s">
        <v>12</v>
      </c>
      <c r="F72" s="6">
        <v>43962</v>
      </c>
      <c r="G72" s="2">
        <f>H72*15</f>
        <v>504297.37637602829</v>
      </c>
      <c r="H72">
        <f>H71+C72</f>
        <v>33619.82509173522</v>
      </c>
      <c r="P72" t="inlineStr">
        <is>
          <t>31 March 23:09 UTC: many cosmetic changes, columns deleted (or added).</t>
        </is>
      </c>
      <c r="BA72" s="6">
        <v>43914</v>
      </c>
      <c r="BB72">
        <v>53740</v>
      </c>
      <c r="BC72">
        <f>(BB72/BB71)-1</f>
        <v>0.22562547038565928</v>
      </c>
    </row>
    <row r="73" spans="1:66" ht="19.5">
      <c r="C73">
        <f>H72*D73</f>
        <v>849.55886054544283</v>
      </c>
      <c r="D73">
        <f>D72</f>
        <v>0.025269580023909475</v>
      </c>
      <c r="E73" t="s">
        <v>13</v>
      </c>
      <c r="F73" s="6">
        <v>43963</v>
      </c>
      <c r="G73" s="2">
        <f>H73*15</f>
        <v>517040.75928420987</v>
      </c>
      <c r="H73">
        <f>H72+C73</f>
        <v>34469.383952280659</v>
      </c>
      <c r="J73" s="1"/>
      <c r="P73" t="inlineStr">
        <is>
          <t>Hopefully, no major corruption of data/forumlas present after these major edits.</t>
        </is>
      </c>
      <c r="BA73" s="6">
        <v>43915</v>
      </c>
      <c r="BB73">
        <v>65778</v>
      </c>
      <c r="BC73">
        <f>(BB73/BB72)-1</f>
        <v>0.22400446594715295</v>
      </c>
    </row>
    <row r="74" spans="1:66" ht="19.5">
      <c r="C74">
        <f>H73*D74</f>
        <v>871.02685615701716</v>
      </c>
      <c r="D74">
        <f>D73</f>
        <v>0.025269580023909475</v>
      </c>
      <c r="E74" t="s">
        <v>14</v>
      </c>
      <c r="F74" s="6">
        <v>43964</v>
      </c>
      <c r="G74" s="2">
        <f>H74*15</f>
        <v>530106.16212656512</v>
      </c>
      <c r="H74">
        <f>H73+C74</f>
        <v>35340.410808437678</v>
      </c>
      <c r="J74" s="1"/>
      <c r="BA74" s="6">
        <v>43916</v>
      </c>
      <c r="BB74">
        <v>83836</v>
      </c>
      <c r="BC74">
        <f>(BB74/BB73)-1</f>
        <v>0.27452947794095284</v>
      </c>
    </row>
    <row r="75" spans="1:66" ht="19.5">
      <c r="C75">
        <f>H74*D75</f>
        <v>893.03733900165128</v>
      </c>
      <c r="D75">
        <f>D74</f>
        <v>0.025269580023909475</v>
      </c>
      <c r="E75" t="s">
        <v>15</v>
      </c>
      <c r="F75" s="6">
        <v>43965</v>
      </c>
      <c r="G75" s="2"/>
      <c r="H75">
        <f>H74+C75</f>
        <v>36233.448147439332</v>
      </c>
      <c r="P75" t="inlineStr">
        <is>
          <t>1 April: Column D now formatted as percentile</t>
        </is>
      </c>
      <c r="BA75" s="6">
        <v>43917</v>
      </c>
      <c r="BB75">
        <v>101657</v>
      </c>
      <c r="BC75">
        <f>(BB75/BB74)-1</f>
        <v>0.21256977909251407</v>
      </c>
    </row>
    <row r="76" spans="1:66" ht="19.5">
      <c r="C76">
        <f>H75*D76</f>
        <v>915.60401750389269</v>
      </c>
      <c r="D76">
        <f>D75</f>
        <v>0.025269580023909475</v>
      </c>
      <c r="E76" t="s">
        <v>16</v>
      </c>
      <c r="F76" s="6">
        <v>43966</v>
      </c>
      <c r="G76" s="2"/>
      <c r="H76">
        <f>H75+C76</f>
        <v>37149.052164943227</v>
      </c>
      <c r="J76" s="1"/>
      <c r="P76" t="inlineStr">
        <is>
          <t>7 April: 1.09 becomes 1.11 for arbitrary growth reduction supposition expressed in Column D (Multiplier).</t>
        </is>
      </c>
      <c r="BA76" s="6">
        <v>43918</v>
      </c>
      <c r="BB76">
        <v>121478</v>
      </c>
      <c r="BC76">
        <f>(BB76/BB75)-1</f>
        <v>0.19497919474310677</v>
      </c>
    </row>
    <row r="77" spans="1:66" ht="19.5">
      <c r="C77">
        <f>H76*D77</f>
        <v>938.74094649442043</v>
      </c>
      <c r="D77">
        <f>D76</f>
        <v>0.025269580023909475</v>
      </c>
      <c r="E77" t="s">
        <v>17</v>
      </c>
      <c r="F77" s="6">
        <v>43966</v>
      </c>
      <c r="G77" s="2"/>
      <c r="H77">
        <f>H76+C77</f>
        <v>38087.793111437648</v>
      </c>
      <c r="P77" t="inlineStr">
        <is>
          <t>7 April: Column G goes from 100x to 50x (arbitrary value chosen)</t>
        </is>
      </c>
      <c r="BA77" s="6">
        <v>43919</v>
      </c>
      <c r="BB77">
        <v>140886</v>
      </c>
      <c r="BC77">
        <f>(BB77/BB76)-1</f>
        <v>0.15976555425673777</v>
      </c>
    </row>
    <row r="78" spans="1:66" ht="19.5">
      <c r="C78">
        <f>H77*D78</f>
        <v>962.46253596358167</v>
      </c>
      <c r="D78">
        <f>D77</f>
        <v>0.025269580023909475</v>
      </c>
      <c r="E78" t="s">
        <v>11</v>
      </c>
      <c r="F78" s="6">
        <v>43968</v>
      </c>
      <c r="G78" s="2"/>
      <c r="H78">
        <f>H77+C78</f>
        <v>39050.255647401231</v>
      </c>
      <c r="Q78" t="inlineStr">
        <is>
          <t>(the 100x scaling factor was also arbitrary)</t>
        </is>
      </c>
      <c r="BA78" s="6">
        <v>43920</v>
      </c>
      <c r="BB78">
        <v>161807</v>
      </c>
      <c r="BC78">
        <f>(BB78/BB77)-1</f>
        <v>0.14849594707777913</v>
      </c>
    </row>
    <row r="79" spans="1:66" ht="19.5">
      <c r="C79">
        <f>H78*D79</f>
        <v>986.78356003612828</v>
      </c>
      <c r="D79">
        <f>D78</f>
        <v>0.025269580023909475</v>
      </c>
      <c r="E79" t="s">
        <v>12</v>
      </c>
      <c r="F79" s="6">
        <v>43969</v>
      </c>
      <c r="G79" s="2"/>
      <c r="H79">
        <f>H78+C79</f>
        <v>40037.039207437359</v>
      </c>
      <c r="P79" t="inlineStr">
        <is>
          <t>7 April: Litchfield County is doubling its Confirmed cases every 6.5 days or so.</t>
        </is>
      </c>
      <c r="BA79" s="6">
        <v>43921</v>
      </c>
      <c r="BB79">
        <v>188172</v>
      </c>
      <c r="BC79">
        <f>(BB79/BB78)-1</f>
        <v>0.16294103468947574</v>
      </c>
    </row>
    <row r="80" spans="1:66" ht="19.5">
      <c r="C80">
        <f>H79*D80</f>
        <v>1011.7191661727395</v>
      </c>
      <c r="D80">
        <f>D79</f>
        <v>0.025269580023909475</v>
      </c>
      <c r="E80" t="s">
        <v>13</v>
      </c>
      <c r="F80" s="6">
        <v>43970</v>
      </c>
      <c r="G80" s="2"/>
      <c r="H80">
        <f>H79+C80</f>
        <v>41048.758373610101</v>
      </c>
      <c r="Q80" t="inlineStr">
        <is>
          <t>(own analysis; ignorant and simplistic, there, on Litchfield Cty doublings. ;)</t>
        </is>
      </c>
      <c r="BA80" s="6">
        <v>43922</v>
      </c>
      <c r="BB80">
        <v>213372</v>
      </c>
      <c r="BC80">
        <f>(BB80/BB79)-1</f>
        <v>0.13392003061029278</v>
      </c>
    </row>
    <row r="81" spans="1:66" ht="19.5">
      <c r="C81">
        <f>H80*D81</f>
        <v>1037.2848846040645</v>
      </c>
      <c r="D81">
        <f>D80</f>
        <v>0.025269580023909475</v>
      </c>
      <c r="E81" t="s">
        <v>14</v>
      </c>
      <c r="F81" s="6">
        <v>43971</v>
      </c>
      <c r="G81" s="2"/>
      <c r="H81">
        <f>H80+C81</f>
        <v>42086.043258214166</v>
      </c>
      <c r="J81" s="1"/>
      <c r="P81" t="inlineStr">
        <is>
          <t>9 April: USA Confirmed (far columns, right) now expressed in 3 digits (up from 2 digits, formerly).</t>
        </is>
      </c>
      <c r="BA81" s="6">
        <v>43923</v>
      </c>
      <c r="BB81">
        <v>243453</v>
      </c>
      <c r="BC81">
        <f>(BB81/BB80)-1</f>
        <v>0.1409791350317755</v>
      </c>
    </row>
    <row r="82" spans="1:66" ht="19.5">
      <c r="C82">
        <f>H81*D82</f>
        <v>1063.4966380031588</v>
      </c>
      <c r="D82">
        <f>D81</f>
        <v>0.025269580023909475</v>
      </c>
      <c r="E82" t="s">
        <v>15</v>
      </c>
      <c r="F82" s="6">
        <v>43972</v>
      </c>
      <c r="G82" s="2"/>
      <c r="H82">
        <f>H81+C82</f>
        <v>43149.539896217328</v>
      </c>
      <c r="Q82" t="inlineStr">
        <is>
          <t>This reflects that they've reached consistently below 10 percent, and so</t>
        </is>
      </c>
      <c r="BA82" s="6">
        <v>43924</v>
      </c>
      <c r="BB82">
        <v>275586</v>
      </c>
      <c r="BC82">
        <f>(BB82/BB81)-1</f>
        <v>0.13198851523702726</v>
      </c>
    </row>
    <row r="83" spans="1:66" ht="19.5">
      <c r="C83">
        <f>H82*D83</f>
        <v>1090.3707514023383</v>
      </c>
      <c r="D83">
        <f>D82</f>
        <v>0.025269580023909475</v>
      </c>
      <c r="E83" t="s">
        <v>16</v>
      </c>
      <c r="F83" s="6">
        <v>43973</v>
      </c>
      <c r="G83" s="2"/>
      <c r="H83">
        <f>H82+C83</f>
        <v>44239.910647619668</v>
      </c>
      <c r="Q83" t="inlineStr">
        <is>
          <t>require another digit of precision (the decimal point has moved</t>
        </is>
      </c>
      <c r="BA83" s="6">
        <v>43925</v>
      </c>
      <c r="BB83">
        <v>308850</v>
      </c>
      <c r="BC83">
        <f>(BB83/BB82)-1</f>
        <v>0.12070279332041545</v>
      </c>
    </row>
    <row r="84" spans="1:66" ht="19.5">
      <c r="C84">
        <f>H83*D84</f>
        <v>1117.92396236063</v>
      </c>
      <c r="D84">
        <f>D83</f>
        <v>0.025269580023909475</v>
      </c>
      <c r="E84" t="s">
        <v>17</v>
      </c>
      <c r="F84" s="6">
        <v>43974</v>
      </c>
      <c r="G84" s="2"/>
      <c r="H84">
        <f>H83+C84</f>
        <v>45357.834609980302</v>
      </c>
      <c r="Q84" t="inlineStr">
        <is>
          <t>over one place)</t>
        </is>
      </c>
      <c r="BA84" s="6">
        <v>43926</v>
      </c>
      <c r="BB84">
        <v>337072</v>
      </c>
      <c r="BC84" s="7">
        <f>(BB84/BB83)-1</f>
        <v>0.091377691435972075</v>
      </c>
      <c r="BE84" t="inlineStr">
        <is>
          <t>Under ten percent - add one more digit of precision for context</t>
        </is>
      </c>
    </row>
    <row r="85" spans="1:66" ht="19.5">
      <c r="C85">
        <f>H84*D85</f>
        <v>1146.1734313881479</v>
      </c>
      <c r="D85">
        <f>D84</f>
        <v>0.025269580023909475</v>
      </c>
      <c r="E85" t="s">
        <v>11</v>
      </c>
      <c r="F85" s="6">
        <v>43975</v>
      </c>
      <c r="G85" s="2"/>
      <c r="H85">
        <f>H84+C85</f>
        <v>46504.008041368448</v>
      </c>
      <c r="P85" t="inlineStr">
        <is>
          <t>9 April: Have not kept up with the state epidemiologist's estimate</t>
        </is>
      </c>
      <c r="BA85" s="6">
        <v>43927</v>
      </c>
      <c r="BB85">
        <v>366667</v>
      </c>
      <c r="BC85" s="7">
        <f>(BB85/BB84)-1</f>
        <v>0.087800232591256577</v>
      </c>
    </row>
    <row r="86" spans="1:66" ht="19.5">
      <c r="C86">
        <f>H85*D86</f>
        <v>1175.1367526338897</v>
      </c>
      <c r="D86">
        <f>D85</f>
        <v>0.025269580023909475</v>
      </c>
      <c r="E86" t="s">
        <v>12</v>
      </c>
      <c r="F86" s="6">
        <v>43976</v>
      </c>
      <c r="G86" s="2"/>
      <c r="H86">
        <f>H85+C86</f>
        <v>47679.144794002335</v>
      </c>
      <c r="Q86" t="inlineStr">
        <is>
          <t>of the multiplier factor (Confirmed and tested vs estimated true count of cases</t>
        </is>
      </c>
      <c r="BA86" s="6">
        <v>43928</v>
      </c>
      <c r="BB86">
        <v>396223</v>
      </c>
      <c r="BC86" s="7">
        <f>(BB86/BB85)-1</f>
        <v>0.080607199448000433</v>
      </c>
    </row>
    <row r="87" spans="1:66" ht="19.5">
      <c r="C87">
        <f>H86*D87</f>
        <v>1204.8319648436088</v>
      </c>
      <c r="D87">
        <f>D86</f>
        <v>0.025269580023909475</v>
      </c>
      <c r="E87" t="s">
        <v>13</v>
      </c>
      <c r="F87" s="6">
        <v>43977</v>
      </c>
      <c r="G87" s="2"/>
      <c r="H87">
        <f>H86+C87</f>
        <v>48883.976758845944</v>
      </c>
      <c r="J87" s="1"/>
      <c r="Q87" t="inlineStr">
        <is>
          <t>in the state of Connecticut) and (therefore) still using a '50x' multiplier,</t>
        </is>
      </c>
      <c r="BA87" s="6">
        <v>43929</v>
      </c>
      <c r="BB87">
        <v>429052</v>
      </c>
      <c r="BC87" s="7">
        <f>(BB87/BB86)-1</f>
        <v>0.0828548569871006</v>
      </c>
    </row>
    <row r="88" spans="1:66" ht="19.5">
      <c r="C88">
        <f>H87*D88</f>
        <v>1235.2775625945885</v>
      </c>
      <c r="D88">
        <f>D87</f>
        <v>0.025269580023909475</v>
      </c>
      <c r="E88" t="s">
        <v>14</v>
      </c>
      <c r="F88" s="6">
        <v>43978</v>
      </c>
      <c r="G88" s="2"/>
      <c r="H88">
        <f>H87+C88</f>
        <v>50119.25432144053</v>
      </c>
      <c r="J88" s="1"/>
      <c r="Q88" t="inlineStr">
        <is>
          <t>with no particular justification for this figure.</t>
        </is>
      </c>
      <c r="BA88" s="6">
        <v>43930</v>
      </c>
      <c r="BB88">
        <v>461437</v>
      </c>
      <c r="BC88" s="7">
        <f>(BB88/BB87)-1</f>
        <v>0.07548036135480074</v>
      </c>
    </row>
    <row r="89" spans="1:66" ht="19.5">
      <c r="C89">
        <f>H88*D89</f>
        <v>1266.4925078143121</v>
      </c>
      <c r="D89">
        <f>D88</f>
        <v>0.025269580023909475</v>
      </c>
      <c r="E89" t="s">
        <v>15</v>
      </c>
      <c r="F89" s="6">
        <v>43979</v>
      </c>
      <c r="G89" s="2"/>
      <c r="H89">
        <f>H88+C89</f>
        <v>51385.746829254844</v>
      </c>
      <c r="J89" s="1"/>
      <c r="P89" t="inlineStr">
        <is>
          <t>12 April: demoted from 50x to 35x (measured) transmission multiplier.</t>
        </is>
      </c>
      <c r="BA89" s="6">
        <v>43931</v>
      </c>
      <c r="BB89">
        <v>496535</v>
      </c>
      <c r="BC89" s="7">
        <f>(BB89/BB88)-1</f>
        <v>0.076062387714899371</v>
      </c>
    </row>
    <row r="90" spans="1:66" ht="19.5">
      <c r="C90">
        <f>H89*D90</f>
        <v>1298.4962415902078</v>
      </c>
      <c r="D90">
        <f>D89</f>
        <v>0.025269580023909475</v>
      </c>
      <c r="E90" t="s">
        <v>16</v>
      </c>
      <c r="F90" s="6">
        <v>43980</v>
      </c>
      <c r="G90" s="2"/>
      <c r="H90">
        <f>H89+C90</f>
        <v>52684.243070845048</v>
      </c>
      <c r="Q90" t="inlineStr">
        <is>
          <t>Reference value only - please do not quote it in any context.</t>
        </is>
      </c>
      <c r="BA90" s="6">
        <v>43932</v>
      </c>
      <c r="BB90">
        <v>526396</v>
      </c>
      <c r="BC90" s="7">
        <f>(BB90/BB89)-1</f>
        <v>0.060138761618012904</v>
      </c>
    </row>
    <row r="91" spans="1:66" ht="19.5">
      <c r="C91">
        <f>H90*D91</f>
        <v>1331.3086962778173</v>
      </c>
      <c r="D91">
        <f>D90</f>
        <v>0.025269580023909475</v>
      </c>
      <c r="E91" t="s">
        <v>17</v>
      </c>
      <c r="F91" s="6">
        <v>43981</v>
      </c>
      <c r="G91" s="2"/>
      <c r="H91">
        <f>H90+C91</f>
        <v>54015.551767122866</v>
      </c>
      <c r="Q91" t="inlineStr">
        <is>
          <t>(Assign some other value to it, based on some other</t>
        </is>
      </c>
      <c r="BA91" s="6">
        <v>43933</v>
      </c>
      <c r="BB91">
        <v>555313</v>
      </c>
      <c r="BC91" s="7">
        <f>(BB91/BB90)-1</f>
        <v>0.054933928069362148</v>
      </c>
    </row>
    <row r="92" spans="1:66" ht="19.5">
      <c r="C92">
        <f>H91*D92</f>
        <v>1364.950307914936</v>
      </c>
      <c r="D92">
        <f>D91</f>
        <v>0.025269580023909475</v>
      </c>
      <c r="E92" t="s">
        <v>11</v>
      </c>
      <c r="F92" s="6">
        <v>43982</v>
      </c>
      <c r="G92" s="2"/>
      <c r="H92">
        <f>H91+C92</f>
        <v>55380.502075037803</v>
      </c>
      <c r="Q92" t="inlineStr">
        <is>
          <t>findings than given here).</t>
        </is>
      </c>
      <c r="BA92" s="6">
        <v>43934</v>
      </c>
      <c r="BB92">
        <v>580619</v>
      </c>
      <c r="BC92" s="7">
        <f>(BB92/BB91)-1</f>
        <v>0.045570696165946112</v>
      </c>
    </row>
    <row r="93" spans="1:66" ht="19.5">
      <c r="C93">
        <f>H92*D93</f>
        <v>1399.4420289494524</v>
      </c>
      <c r="D93">
        <f>D92</f>
        <v>0.025269580023909475</v>
      </c>
      <c r="E93" t="s">
        <v>12</v>
      </c>
      <c r="F93" s="6">
        <v>43983</v>
      </c>
      <c r="G93" s="2"/>
      <c r="H93">
        <f>H92+C93</f>
        <v>56779.944103987254</v>
      </c>
      <c r="P93" t="inlineStr">
        <is>
          <t>15 April: formalized entry (column L labels added)</t>
        </is>
      </c>
      <c r="BA93" s="6">
        <v>43935</v>
      </c>
      <c r="BB93">
        <v>607670</v>
      </c>
      <c r="BC93" s="7">
        <f>(BB93/BB92)-1</f>
        <v>0.046589932468624085</v>
      </c>
    </row>
    <row r="94" spans="1:66" ht="19.5">
      <c r="C94">
        <f>H93*D94</f>
        <v>1434.805341288813</v>
      </c>
      <c r="D94">
        <f>D93</f>
        <v>0.025269580023909475</v>
      </c>
      <c r="E94" t="s">
        <v>13</v>
      </c>
      <c r="F94" s="6">
        <v>43984</v>
      </c>
      <c r="G94" s="2"/>
      <c r="H94">
        <f>H93+C94</f>
        <v>58214.749445276066</v>
      </c>
      <c r="P94" t="inlineStr">
        <is>
          <t>17 April: formatting fixes esp. Comma separation</t>
        </is>
      </c>
      <c r="BA94" s="6">
        <v>43936</v>
      </c>
      <c r="BB94">
        <v>636350</v>
      </c>
      <c r="BC94" s="7">
        <f>(BB94/BB93)-1</f>
        <v>0.047196669244820466</v>
      </c>
    </row>
    <row r="95" spans="1:66" ht="19.5">
      <c r="C95">
        <f>H94*D95</f>
        <v>1471.0622696792432</v>
      </c>
      <c r="D95">
        <f>D94</f>
        <v>0.025269580023909475</v>
      </c>
      <c r="E95" t="s">
        <v>14</v>
      </c>
      <c r="F95" s="6">
        <v>43985</v>
      </c>
      <c r="G95" s="2"/>
      <c r="H95">
        <f>H94+C95</f>
        <v>59685.811714955307</v>
      </c>
      <c r="P95" t="inlineStr">
        <is>
          <t>19 April: Y Axis Major ticks now 1024 (exact power of two)</t>
        </is>
      </c>
      <c r="BA95" s="6">
        <v>43937</v>
      </c>
      <c r="BB95">
        <v>667801</v>
      </c>
      <c r="BC95" s="7">
        <f>(BB95/BB94)-1</f>
        <v>0.049424059086980332</v>
      </c>
    </row>
    <row r="96" spans="1:66" ht="19.5">
      <c r="C96">
        <f>H95*D96</f>
        <v>1508.2353954230568</v>
      </c>
      <c r="D96">
        <f>D95</f>
        <v>0.025269580023909475</v>
      </c>
      <c r="E96" t="s">
        <v>15</v>
      </c>
      <c r="F96" s="6">
        <v>43986</v>
      </c>
      <c r="G96" s="2"/>
      <c r="H96">
        <f>H95+C96</f>
        <v>61194.047110378364</v>
      </c>
      <c r="P96" t="inlineStr">
        <is>
          <t>19 April: The graph was easy enough to maintain and so is included, standard, now.</t>
        </is>
      </c>
      <c r="AZ96" t="inlineStr">
        <is>
          <t>May be current (likely to be):</t>
        </is>
      </c>
      <c r="BA96" s="6">
        <v>43938</v>
      </c>
      <c r="BB96">
        <v>699706</v>
      </c>
      <c r="BC96" s="7">
        <f>(BB96/BB95)-1</f>
        <v>0.04777620878075961</v>
      </c>
      <c r="BE96" t="inlineStr">
        <is>
          <t>preliminary or provisional</t>
        </is>
      </c>
    </row>
    <row r="97" spans="1:66" ht="19.5">
      <c r="C97">
        <f>H96*D97</f>
        <v>1546.3478704425925</v>
      </c>
      <c r="D97">
        <f>D96</f>
        <v>0.025269580023909475</v>
      </c>
      <c r="E97" t="s">
        <v>16</v>
      </c>
      <c r="F97" s="6">
        <v>43987</v>
      </c>
      <c r="G97" s="2"/>
      <c r="H97">
        <f>H96+C97</f>
        <v>62740.394980820958</v>
      </c>
      <c r="O97" s="1"/>
      <c r="P97" t="inlineStr">
        <is>
          <t>19 April: Column G goes from 35x to 15x (arbitrary value chosen)</t>
        </is>
      </c>
      <c r="Q97" s="1"/>
      <c r="R97" s="1"/>
      <c r="S97" s="1"/>
      <c r="U97" s="1"/>
      <c r="V97" s="1"/>
      <c r="W97" s="1"/>
      <c r="Y97" s="1"/>
      <c r="Z97" s="1"/>
      <c r="AA97" s="1"/>
      <c r="AC97" s="1"/>
      <c r="AD97" s="1"/>
      <c r="AE97" s="1"/>
      <c r="AG97" s="1"/>
      <c r="AH97" s="1"/>
      <c r="AI97" s="1"/>
      <c r="AZ97" t="inlineStr">
        <is>
          <t>TENTATIVE</t>
        </is>
      </c>
      <c r="BA97" s="6">
        <v>43939</v>
      </c>
      <c r="BB97">
        <v>732197</v>
      </c>
      <c r="BC97" s="7">
        <f>(BB97/BB96)-1</f>
        <v>0.04643521707688647</v>
      </c>
      <c r="BE97" t="inlineStr">
        <is>
          <t>(early return on this LINE 97)</t>
        </is>
      </c>
    </row>
    <row r="98" spans="1:66" ht="19.5">
      <c r="C98">
        <f>H97*D98</f>
        <v>1585.4234316995435</v>
      </c>
      <c r="D98">
        <f>D97</f>
        <v>0.025269580023909475</v>
      </c>
      <c r="E98" t="s">
        <v>17</v>
      </c>
      <c r="F98" s="6">
        <v>43988</v>
      </c>
      <c r="G98" s="2"/>
      <c r="H98">
        <f>H97+C98</f>
        <v>64325.818412520501</v>
      </c>
      <c r="O98" s="1"/>
      <c r="Q98" s="1"/>
      <c r="R98" s="1"/>
      <c r="S98" s="1"/>
      <c r="U98" s="1"/>
      <c r="V98" s="1"/>
      <c r="W98" s="1"/>
      <c r="Y98" s="1"/>
      <c r="Z98" s="1"/>
      <c r="AA98" s="1"/>
      <c r="AC98" s="1"/>
      <c r="AD98" s="1"/>
      <c r="AE98" s="1"/>
      <c r="AG98" s="1"/>
      <c r="AH98" s="1"/>
      <c r="AI98" s="1"/>
      <c r="BB98" s="1"/>
    </row>
    <row r="99" spans="1:66" ht="19.5">
      <c r="C99">
        <f>H98*D99</f>
        <v>1625.4864159786564</v>
      </c>
      <c r="D99">
        <f>D98</f>
        <v>0.025269580023909475</v>
      </c>
      <c r="E99" t="s">
        <v>11</v>
      </c>
      <c r="F99" s="6">
        <v>43989</v>
      </c>
      <c r="G99" s="2"/>
      <c r="H99">
        <f>H98+C99</f>
        <v>65951.304828499153</v>
      </c>
      <c r="O99" s="1"/>
      <c r="Q99" s="1"/>
      <c r="R99" s="1"/>
      <c r="S99" s="1"/>
      <c r="U99" s="1"/>
      <c r="V99" s="1"/>
      <c r="W99" s="1"/>
      <c r="Y99" s="1"/>
      <c r="Z99" s="1"/>
      <c r="AA99" s="1"/>
      <c r="AC99" s="1"/>
      <c r="AD99" s="1"/>
      <c r="AE99" s="1"/>
      <c r="AG99" s="1"/>
      <c r="AH99" s="1"/>
      <c r="AI99" s="1"/>
      <c r="BE99" t="inlineStr">
        <is>
          <t>The 699,706 number is unique in</t>
        </is>
      </c>
    </row>
    <row r="100" spans="1:66" ht="19.5">
      <c r="C100">
        <f>H99*D100</f>
        <v>1666.5617750450067</v>
      </c>
      <c r="D100">
        <f>D99</f>
        <v>0.025269580023909475</v>
      </c>
      <c r="E100" t="s">
        <v>12</v>
      </c>
      <c r="F100" s="6">
        <v>43990</v>
      </c>
      <c r="G100" s="2"/>
      <c r="H100">
        <f>H99+C100</f>
        <v>67617.866603544157</v>
      </c>
      <c r="O100" s="1"/>
      <c r="Q100" s="1"/>
      <c r="R100" s="1"/>
      <c r="S100" s="1"/>
      <c r="U100" s="1"/>
      <c r="V100" s="1"/>
      <c r="W100" s="1"/>
      <c r="Y100" s="1"/>
      <c r="Z100" s="1"/>
      <c r="AA100" s="1"/>
      <c r="AC100" s="1"/>
      <c r="AD100" s="1"/>
      <c r="AE100" s="1"/>
      <c r="AG100" s="1"/>
      <c r="AH100" s="1"/>
      <c r="AI100" s="1"/>
      <c r="BE100" t="inlineStr">
        <is>
          <t>this series, as the first unreliable</t>
        </is>
      </c>
    </row>
    <row r="101" spans="1:66" ht="19.5">
      <c r="C101">
        <f>H100*D101</f>
        <v>1708.6750911842951</v>
      </c>
      <c r="D101">
        <f>D100</f>
        <v>0.025269580023909475</v>
      </c>
      <c r="E101" t="s">
        <v>13</v>
      </c>
      <c r="F101" s="6">
        <v>43991</v>
      </c>
      <c r="G101" s="2"/>
      <c r="H101">
        <f>H100+C101</f>
        <v>69326.541694728454</v>
      </c>
      <c r="P101" t="inlineStr">
        <is>
          <t>General:</t>
        </is>
      </c>
      <c r="BE101" t="inlineStr">
        <is>
          <t>value in the series.</t>
        </is>
      </c>
    </row>
    <row r="102" spans="1:66" ht="19.5">
      <c r="C102">
        <f>H101*D102</f>
        <v>1751.8525931358374</v>
      </c>
      <c r="D102">
        <f>D101</f>
        <v>0.025269580023909475</v>
      </c>
      <c r="E102" t="s">
        <v>14</v>
      </c>
      <c r="F102" s="6">
        <v>43992</v>
      </c>
      <c r="G102" s="2"/>
      <c r="H102">
        <f>H101+C102</f>
        <v>71078.394287864285</v>
      </c>
      <c r="Q102" t="inlineStr">
        <is>
          <t>Latency:</t>
        </is>
      </c>
    </row>
    <row r="103" spans="1:66" ht="19.5">
      <c r="C103">
        <f>H102*D103</f>
        <v>1796.1211724281766</v>
      </c>
      <c r="D103">
        <f>D102</f>
        <v>0.025269580023909475</v>
      </c>
      <c r="E103" t="s">
        <v>15</v>
      </c>
      <c r="F103" s="6">
        <v>43993</v>
      </c>
      <c r="G103" s="2"/>
      <c r="H103">
        <f>H102+C103</f>
        <v>72874.515460292459</v>
      </c>
      <c r="R103" t="inlineStr">
        <is>
          <t>Confirmed: infected 5-7 days ago.</t>
        </is>
      </c>
      <c r="BE103" t="inlineStr">
        <is>
          <t>It may in fact become a reliable value,</t>
        </is>
      </c>
    </row>
    <row r="104" spans="1:66" ht="19.5">
      <c r="C104">
        <f>H103*D104</f>
        <v>1841.5084001274886</v>
      </c>
      <c r="D104">
        <f>D103</f>
        <v>0.025269580023909475</v>
      </c>
      <c r="E104" t="s">
        <v>16</v>
      </c>
      <c r="F104" s="6">
        <v>43994</v>
      </c>
      <c r="G104" s="2"/>
      <c r="H104">
        <f>H103+C104</f>
        <v>74716.023860419955</v>
      </c>
      <c r="BE104" t="inlineStr">
        <is>
          <t>24 hours later - it is assumed that once</t>
        </is>
      </c>
    </row>
    <row r="105" spans="1:66" ht="19.5">
      <c r="C105">
        <f>H104*D105</f>
        <v>1888.0425440092117</v>
      </c>
      <c r="D105">
        <f>D104</f>
        <v>0.025269580023909475</v>
      </c>
      <c r="E105" t="s">
        <v>17</v>
      </c>
      <c r="F105" s="6">
        <v>43995</v>
      </c>
      <c r="G105" s="2"/>
      <c r="H105">
        <f>H104+C105</f>
        <v>76604.066404429163</v>
      </c>
      <c r="R105" t="inlineStr">
        <is>
          <t>Hospitalized: infected 1-3 weeks ago.</t>
        </is>
      </c>
      <c r="BE105" t="inlineStr">
        <is>
          <t>the value that follows it has been issued,</t>
        </is>
      </c>
    </row>
    <row r="106" spans="1:66" ht="19.5">
      <c r="C106">
        <f>H105*D106</f>
        <v>1935.7525861635982</v>
      </c>
      <c r="D106">
        <f>D105</f>
        <v>0.025269580023909475</v>
      </c>
      <c r="E106" t="s">
        <v>11</v>
      </c>
      <c r="F106" s="6">
        <v>43996</v>
      </c>
      <c r="G106" s="2"/>
      <c r="H106">
        <f>H105+C106</f>
        <v>78539.818990592757</v>
      </c>
      <c r="BE106" t="inlineStr">
        <is>
          <t>its value will not change again (and, at</t>
        </is>
      </c>
    </row>
    <row r="107" spans="1:66" ht="19.5">
      <c r="C107">
        <f>H106*D107</f>
        <v>1984.6682410461488</v>
      </c>
      <c r="D107">
        <f>D106</f>
        <v>0.025269580023909475</v>
      </c>
      <c r="E107" t="s">
        <v>12</v>
      </c>
      <c r="F107" s="6">
        <v>43997</v>
      </c>
      <c r="G107" s="2"/>
      <c r="H107">
        <f>H106+C107</f>
        <v>80524.487231638908</v>
      </c>
      <c r="R107" t="inlineStr">
        <is>
          <t>Death: infected 3-4 weeks ago.</t>
        </is>
      </c>
      <c r="BE107" t="inlineStr">
        <is>
          <t>that time, it will become a reliable</t>
        </is>
      </c>
    </row>
    <row r="108" spans="1:66" ht="19.5">
      <c r="C108">
        <f>H107*D108</f>
        <v>2034.8199739841762</v>
      </c>
      <c r="D108">
        <f>D107</f>
        <v>0.025269580023909475</v>
      </c>
      <c r="E108" t="s">
        <v>13</v>
      </c>
      <c r="F108" s="6">
        <v>43998</v>
      </c>
      <c r="G108" s="2"/>
      <c r="H108">
        <f>H107+C108</f>
        <v>82559.307205623089</v>
      </c>
      <c r="BB108" s="1"/>
      <c r="BC108" s="1"/>
      <c r="BE108" t="inlineStr">
        <is>
          <t>value in this series).</t>
        </is>
      </c>
    </row>
    <row r="109" spans="1:66" ht="19.5">
      <c r="C109">
        <f>H108*D109</f>
        <v>2086.2390201510188</v>
      </c>
      <c r="D109">
        <f>D108</f>
        <v>0.025269580023909475</v>
      </c>
      <c r="E109" t="s">
        <v>14</v>
      </c>
      <c r="F109" s="6">
        <v>43999</v>
      </c>
      <c r="G109" s="2"/>
      <c r="H109">
        <f>H108+C109</f>
        <v>84645.546225774102</v>
      </c>
      <c r="J109" s="4" t="inlineStr">
        <is>
          <t>Rows: 9 thru 48</t>
        </is>
      </c>
      <c r="S109" t="inlineStr">
        <is>
          <t>Source: Osterholm, 8 April 2020 (podcast).</t>
        </is>
      </c>
      <c r="BB109" s="1"/>
    </row>
    <row r="110" spans="1:66" ht="19.5">
      <c r="C110">
        <f>H109*D110</f>
        <v>2138.9574040197272</v>
      </c>
      <c r="D110">
        <f>D109</f>
        <v>0.025269580023909475</v>
      </c>
      <c r="E110" t="s">
        <v>15</v>
      </c>
      <c r="F110" s="6">
        <v>44000</v>
      </c>
      <c r="G110" s="2"/>
      <c r="H110">
        <f>H109+C110</f>
        <v>86784.503629793835</v>
      </c>
      <c r="BB110" s="1"/>
      <c r="BC110" s="1"/>
    </row>
    <row r="111" spans="1:66" ht="19.5">
      <c r="C111">
        <f>H110*D111</f>
        <v>2193.0079593083378</v>
      </c>
      <c r="D111">
        <f>D110</f>
        <v>0.025269580023909475</v>
      </c>
      <c r="E111" t="s">
        <v>16</v>
      </c>
      <c r="F111" s="6">
        <v>44001</v>
      </c>
      <c r="G111" s="2"/>
      <c r="H111">
        <f>H110+C111</f>
        <v>88977.511589102171</v>
      </c>
      <c r="J111" s="1"/>
      <c r="K111" s="1"/>
      <c r="T111" t="inlineStr">
        <is>
          <t>https://twitter.com/CIDRAP/status/1248291432202407939</t>
        </is>
      </c>
    </row>
    <row r="112" spans="1:66" ht="19.5">
      <c r="C112">
        <f>H111*D112</f>
        <v>2248.42434942915</v>
      </c>
      <c r="D112">
        <f>D111</f>
        <v>0.025269580023909475</v>
      </c>
      <c r="E112" t="s">
        <v>17</v>
      </c>
      <c r="F112" s="6">
        <v>44002</v>
      </c>
      <c r="G112" s="2"/>
      <c r="H112">
        <f>H111+C112</f>
        <v>91225.935938531315</v>
      </c>
      <c r="J112" s="1"/>
      <c r="K112" s="1"/>
    </row>
    <row r="113" spans="1:66" ht="19.5">
      <c r="C113">
        <f>H112*D113</f>
        <v>2305.2410884547562</v>
      </c>
      <c r="D113">
        <f>D112</f>
        <v>0.025269580023909475</v>
      </c>
      <c r="E113" t="s">
        <v>11</v>
      </c>
      <c r="F113" s="6">
        <v>44003</v>
      </c>
      <c r="G113" s="2"/>
      <c r="H113">
        <f>H112+C113</f>
        <v>93531.177026986072</v>
      </c>
      <c r="J113" s="1"/>
      <c r="K113" s="1"/>
      <c r="U113" t="inlineStr">
        <is>
          <t>Episode 3 of Osterholm Update:</t>
        </is>
      </c>
    </row>
    <row r="114" spans="1:66" ht="19.5">
      <c r="C114">
        <f>H113*D114</f>
        <v>2363.4935626138681</v>
      </c>
      <c r="D114">
        <f>D113</f>
        <v>0.025269580023909475</v>
      </c>
      <c r="E114" t="s">
        <v>12</v>
      </c>
      <c r="F114" s="6">
        <v>44004</v>
      </c>
      <c r="G114" s="2"/>
      <c r="H114">
        <f>H113+C114</f>
        <v>95894.670589599933</v>
      </c>
      <c r="J114" s="1"/>
      <c r="K114" s="1"/>
    </row>
    <row r="115" spans="1:66" ht="19.5">
      <c r="C115">
        <f>H114*D115</f>
        <v>2423.2180523303341</v>
      </c>
      <c r="D115">
        <f>D114</f>
        <v>0.025269580023909475</v>
      </c>
      <c r="E115" t="s">
        <v>13</v>
      </c>
      <c r="F115" s="6">
        <v>44005</v>
      </c>
      <c r="G115" s="2"/>
      <c r="H115">
        <f>H114+C115</f>
        <v>98317.888641930273</v>
      </c>
      <c r="J115" s="1"/>
      <c r="K115" s="1"/>
      <c r="V115" t="inlineStr">
        <is>
          <t>http://ow.ly/d5Gk30qwD7o #Coronavirus</t>
        </is>
      </c>
    </row>
    <row r="116" spans="1:66" ht="19.5">
      <c r="C116">
        <f>H115*D116</f>
        <v>2484.4517548190775</v>
      </c>
      <c r="D116">
        <f>D115</f>
        <v>0.025269580023909475</v>
      </c>
      <c r="E116" t="s">
        <v>14</v>
      </c>
      <c r="F116" s="6">
        <v>44006</v>
      </c>
      <c r="G116" s="2"/>
      <c r="H116">
        <f>H115+C116</f>
        <v>100802.34039674935</v>
      </c>
      <c r="J116" s="1"/>
      <c r="K116" s="1"/>
    </row>
    <row r="117" spans="1:66" ht="19.5">
      <c r="C117">
        <f>H116*D117</f>
        <v>2547.2328072530204</v>
      </c>
      <c r="D117">
        <f>D116</f>
        <v>0.025269580023909475</v>
      </c>
      <c r="E117" t="s">
        <v>15</v>
      </c>
      <c r="F117" s="6">
        <v>44007</v>
      </c>
      <c r="G117" s="2"/>
      <c r="H117">
        <f>H116+C117</f>
        <v>103349.57320400237</v>
      </c>
      <c r="V117" t="inlineStr">
        <is>
          <t>#COVID19 is now live:</t>
        </is>
      </c>
    </row>
    <row r="118" spans="1:66" ht="19.5">
      <c r="C118">
        <f>H117*D118</f>
        <v>2611.6003105154282</v>
      </c>
      <c r="D118">
        <f>D117</f>
        <v>0.025269580023909475</v>
      </c>
      <c r="E118" t="s">
        <v>16</v>
      </c>
      <c r="F118" s="6">
        <v>44008</v>
      </c>
      <c r="G118" s="2"/>
      <c r="H118">
        <f>H117+C118</f>
        <v>105961.1735145178</v>
      </c>
      <c r="V118" t="inlineStr">
        <is>
          <t>"Preparing For What's To Come,"</t>
        </is>
      </c>
    </row>
    <row r="119" spans="1:66" ht="19.5">
      <c r="C119">
        <f>H118*D119</f>
        <v>2677.5943535524648</v>
      </c>
      <c r="D119">
        <f>D118</f>
        <v>0.025269580023909475</v>
      </c>
      <c r="E119" t="s">
        <v>17</v>
      </c>
      <c r="F119" s="6">
        <v>44009</v>
      </c>
      <c r="G119" s="2"/>
      <c r="H119">
        <f>H118+C119</f>
        <v>108638.76786807027</v>
      </c>
      <c r="V119" t="inlineStr">
        <is>
          <t>in which Dr. Osterholm discusses the US situation,</t>
        </is>
      </c>
    </row>
    <row r="120" spans="1:66" ht="19.5">
      <c r="C120">
        <f>H119*D120</f>
        <v>2745.2560383411269</v>
      </c>
      <c r="D120">
        <f>D119</f>
        <v>0.025269580023909475</v>
      </c>
      <c r="E120" t="s">
        <v>11</v>
      </c>
      <c r="F120" s="6">
        <v>44010</v>
      </c>
      <c r="G120" s="2"/>
      <c r="H120">
        <f>H119+C120</f>
        <v>111384.0239064114</v>
      </c>
      <c r="V120" t="inlineStr">
        <is>
          <t>the potential for subsequent waves, racial</t>
        </is>
      </c>
    </row>
    <row r="121" spans="1:66" ht="19.5">
      <c r="C121">
        <f>H120*D121</f>
        <v>2814.6275054881089</v>
      </c>
      <c r="D121">
        <f>D120</f>
        <v>0.025269580023909475</v>
      </c>
      <c r="E121" t="s">
        <v>12</v>
      </c>
      <c r="F121" s="6">
        <v>44011</v>
      </c>
      <c r="G121" s="2"/>
      <c r="H121">
        <f>H120+C121</f>
        <v>114198.65141189951</v>
      </c>
      <c r="V121" t="inlineStr">
        <is>
          <t>and gender disparities,</t>
        </is>
      </c>
    </row>
    <row r="122" spans="1:66" ht="19.5">
      <c r="C122">
        <f>H121*D122</f>
        <v>2885.7519604755375</v>
      </c>
      <c r="D122">
        <f>D121</f>
        <v>0.025269580023909475</v>
      </c>
      <c r="E122" t="s">
        <v>13</v>
      </c>
      <c r="F122" s="6">
        <v>44012</v>
      </c>
      <c r="G122" s="2"/>
      <c r="H122">
        <f>H121+C122</f>
        <v>117084.40337237505</v>
      </c>
      <c r="V122" t="inlineStr">
        <is>
          <t>and the use of masks by the public</t>
        </is>
      </c>
    </row>
    <row r="123" spans="1:66" ht="19.5">
      <c r="C123">
        <f>H122*D123</f>
        <v>2958.6737005699279</v>
      </c>
      <c r="D123">
        <f>D122</f>
        <v>0.025269580023909475</v>
      </c>
      <c r="E123" t="s">
        <v>14</v>
      </c>
      <c r="F123" s="6">
        <v>44013</v>
      </c>
      <c r="G123" s="2"/>
      <c r="H123">
        <f>H122+C123</f>
        <v>120043.07707294497</v>
      </c>
    </row>
    <row r="124" spans="1:66" ht="19.5">
      <c r="C124">
        <f>H123*D124</f>
        <v>3033.4381424111157</v>
      </c>
      <c r="D124">
        <f>D123</f>
        <v>0.025269580023909475</v>
      </c>
      <c r="E124" t="s">
        <v>15</v>
      </c>
      <c r="F124" s="6">
        <v>44014</v>
      </c>
      <c r="G124" s="2"/>
      <c r="H124">
        <f>H123+C124</f>
        <v>123076.51521535609</v>
      </c>
    </row>
    <row r="125" spans="1:66" ht="19.5">
      <c r="C125">
        <f>H124*D125</f>
        <v>3110.0918502983527</v>
      </c>
      <c r="D125">
        <f>D124</f>
        <v>0.025269580023909475</v>
      </c>
      <c r="E125" t="s">
        <v>16</v>
      </c>
      <c r="F125" s="6">
        <v>44015</v>
      </c>
      <c r="G125" s="2"/>
      <c r="H125">
        <f>H124+C125</f>
        <v>126186.60706565445</v>
      </c>
      <c r="AG125" s="1"/>
    </row>
    <row r="126" spans="1:66" ht="19.5">
      <c r="C126">
        <f>H125*D126</f>
        <v>3188.6825651911759</v>
      </c>
      <c r="D126">
        <f>D125</f>
        <v>0.025269580023909475</v>
      </c>
      <c r="E126" t="s">
        <v>17</v>
      </c>
      <c r="F126" s="6">
        <v>44016</v>
      </c>
      <c r="G126" s="2"/>
      <c r="H126">
        <f>H125+C126</f>
        <v>129375.28963084563</v>
      </c>
    </row>
    <row r="127" spans="1:66" ht="19.5">
      <c r="C127">
        <f>H126*D127</f>
        <v>3269.2592344431191</v>
      </c>
      <c r="D127">
        <f>D126</f>
        <v>0.025269580023909475</v>
      </c>
      <c r="E127" t="s">
        <v>11</v>
      </c>
      <c r="F127" s="6">
        <v>44017</v>
      </c>
      <c r="G127" s="2"/>
      <c r="H127">
        <f>H126+C127</f>
        <v>132644.54886528876</v>
      </c>
    </row>
    <row r="128" spans="1:66" ht="19.5">
      <c r="C128">
        <f>H127*D128</f>
        <v>3351.872042286785</v>
      </c>
      <c r="D128">
        <f>D127</f>
        <v>0.025269580023909475</v>
      </c>
      <c r="E128" t="s">
        <v>12</v>
      </c>
      <c r="F128" s="6">
        <v>44018</v>
      </c>
      <c r="G128" s="2"/>
      <c r="H128">
        <f>H127+C128</f>
        <v>135996.42090757555</v>
      </c>
    </row>
    <row r="129" spans="1:66" ht="19.5">
      <c r="C129">
        <f>H128*D129</f>
        <v>3436.5724410892558</v>
      </c>
      <c r="D129">
        <f>D128</f>
        <v>0.025269580023909475</v>
      </c>
      <c r="E129" t="s">
        <v>13</v>
      </c>
      <c r="F129" s="6">
        <v>44019</v>
      </c>
      <c r="G129" s="2"/>
      <c r="H129">
        <f>H128+C129</f>
        <v>139432.99334866481</v>
      </c>
    </row>
    <row r="130" spans="1:66" ht="19.5">
      <c r="C130">
        <f>H129*D130</f>
        <v>3523.4131833973229</v>
      </c>
      <c r="D130">
        <f>D129</f>
        <v>0.025269580023909475</v>
      </c>
      <c r="E130" t="s">
        <v>14</v>
      </c>
      <c r="F130" s="6">
        <v>44020</v>
      </c>
      <c r="G130" s="2"/>
      <c r="H130">
        <f>H129+C130</f>
        <v>142956.40653206213</v>
      </c>
    </row>
    <row r="131" spans="1:66" ht="19.5">
      <c r="C131">
        <f>H130*D131</f>
        <v>3612.4483547924792</v>
      </c>
      <c r="D131">
        <f>D130</f>
        <v>0.025269580023909475</v>
      </c>
      <c r="E131" t="s">
        <v>15</v>
      </c>
      <c r="F131" s="6">
        <v>44021</v>
      </c>
      <c r="G131" s="2"/>
      <c r="H131">
        <f>H130+C131</f>
        <v>146568.85488685462</v>
      </c>
    </row>
    <row r="132" spans="1:66" ht="19.5">
      <c r="C132">
        <f>H131*D132</f>
        <v>3703.7334075761482</v>
      </c>
      <c r="D132">
        <f>D131</f>
        <v>0.025269580023909475</v>
      </c>
      <c r="E132" t="s">
        <v>16</v>
      </c>
      <c r="F132" s="6">
        <v>44022</v>
      </c>
      <c r="H132">
        <f>H131+C132</f>
        <v>150272.58829443078</v>
      </c>
    </row>
    <row r="133" spans="1:66" ht="19.5">
      <c r="C133">
        <f>H132*D133</f>
        <v>3797.3251953061208</v>
      </c>
      <c r="D133">
        <f>D132</f>
        <v>0.025269580023909475</v>
      </c>
      <c r="E133" t="s">
        <v>17</v>
      </c>
      <c r="F133" s="6">
        <v>44023</v>
      </c>
      <c r="H133">
        <f>H132+C133</f>
        <v>154069.91348973691</v>
      </c>
    </row>
    <row r="134" spans="1:66" ht="19.5">
      <c r="C134">
        <f>H133*D134</f>
        <v>3893.2820082057169</v>
      </c>
      <c r="D134">
        <f>D133</f>
        <v>0.025269580023909475</v>
      </c>
      <c r="E134" t="s">
        <v>11</v>
      </c>
      <c r="F134" s="6">
        <v>44024</v>
      </c>
      <c r="H134">
        <f>H133+C134</f>
        <v>157963.19549794262</v>
      </c>
    </row>
    <row r="135" spans="1:66" ht="19.5">
      <c r="C135">
        <f>H134*D135</f>
        <v>3991.6636094677178</v>
      </c>
      <c r="D135">
        <f>D134</f>
        <v>0.025269580023909475</v>
      </c>
      <c r="E135" t="s">
        <v>12</v>
      </c>
      <c r="F135" s="6">
        <v>44025</v>
      </c>
      <c r="H135">
        <f>H134+C135</f>
        <v>161954.85910741033</v>
      </c>
    </row>
    <row r="136" spans="1:66" ht="19.5">
      <c r="C136">
        <f>H135*D136</f>
        <v>4092.5312724756895</v>
      </c>
      <c r="D136">
        <f>D135</f>
        <v>0.025269580023909475</v>
      </c>
      <c r="E136" t="s">
        <v>13</v>
      </c>
      <c r="F136" s="6">
        <v>44026</v>
      </c>
      <c r="H136">
        <f>H135+C136</f>
        <v>166047.39037988603</v>
      </c>
    </row>
    <row r="137" spans="1:66" ht="19.5">
      <c r="C137">
        <f>H136*D137</f>
        <v>4195.9478189658666</v>
      </c>
      <c r="D137">
        <f>D136</f>
        <v>0.025269580023909475</v>
      </c>
      <c r="E137" t="s">
        <v>14</v>
      </c>
      <c r="F137" s="6">
        <v>44027</v>
      </c>
      <c r="H137">
        <f>H136+C137</f>
        <v>170243.33819885188</v>
      </c>
    </row>
    <row r="138" spans="1:66" ht="19.5">
      <c r="C138">
        <f>H137*D138</f>
        <v>4301.9776581533724</v>
      </c>
      <c r="D138">
        <f>D137</f>
        <v>0.025269580023909475</v>
      </c>
      <c r="E138" t="s">
        <v>15</v>
      </c>
      <c r="F138" s="6">
        <v>44028</v>
      </c>
      <c r="H138">
        <f>H137+C138</f>
        <v>174545.31585700525</v>
      </c>
    </row>
    <row r="139" spans="1:66" ht="19.5">
      <c r="C139">
        <f>H138*D139</f>
        <v>4410.6868268471499</v>
      </c>
      <c r="D139">
        <f>D138</f>
        <v>0.025269580023909475</v>
      </c>
      <c r="E139" t="s">
        <v>16</v>
      </c>
      <c r="F139" s="6">
        <v>44029</v>
      </c>
      <c r="H139">
        <f>H138+C139</f>
        <v>178956.00268385239</v>
      </c>
    </row>
    <row r="140" spans="1:66" ht="19.5">
      <c r="C140">
        <f>H139*D140</f>
        <v>4522.143030578567</v>
      </c>
      <c r="D140">
        <f>D139</f>
        <v>0.025269580023909475</v>
      </c>
      <c r="E140" t="s">
        <v>17</v>
      </c>
      <c r="F140" s="6">
        <v>44030</v>
      </c>
      <c r="H140">
        <f>H139+C140</f>
        <v>183478.14571443095</v>
      </c>
    </row>
    <row r="141" spans="1:66" ht="19.5">
      <c r="C141">
        <f>H140*D141</f>
        <v>4636.4156857693361</v>
      </c>
      <c r="D141">
        <f>D140</f>
        <v>0.025269580023909475</v>
      </c>
      <c r="E141" t="s">
        <v>11</v>
      </c>
      <c r="F141" s="6">
        <v>44031</v>
      </c>
      <c r="H141">
        <f>H140+C141</f>
        <v>188114.5614002003</v>
      </c>
    </row>
    <row r="142" spans="1:66" ht="19.5">
      <c r="C142">
        <f>H141*D142</f>
        <v>4753.5759629649938</v>
      </c>
      <c r="D142">
        <f>D141</f>
        <v>0.025269580023909475</v>
      </c>
      <c r="E142" t="s">
        <v>12</v>
      </c>
      <c r="F142" s="6">
        <v>44032</v>
      </c>
      <c r="H142">
        <f>H141+C142</f>
        <v>192868.1373631653</v>
      </c>
    </row>
    <row r="143" spans="1:66" ht="19.5">
      <c r="C143">
        <f>H142*D143</f>
        <v>4873.6968311608707</v>
      </c>
      <c r="D143">
        <f>D142</f>
        <v>0.025269580023909475</v>
      </c>
      <c r="E143" t="s">
        <v>13</v>
      </c>
      <c r="F143" s="6">
        <v>44033</v>
      </c>
      <c r="H143">
        <f>H142+C143</f>
        <v>197741.83419432616</v>
      </c>
    </row>
    <row r="144" spans="1:66" ht="19.5">
      <c r="C144">
        <f>H143*D144</f>
        <v>4996.8531032481642</v>
      </c>
      <c r="D144">
        <f>D143</f>
        <v>0.025269580023909475</v>
      </c>
      <c r="E144" t="s">
        <v>14</v>
      </c>
      <c r="F144" s="6">
        <v>44034</v>
      </c>
      <c r="H144">
        <f>H143+C144</f>
        <v>202738.68729757433</v>
      </c>
    </row>
    <row r="145" spans="1:66" ht="19.5">
      <c r="C145">
        <f>H144*D145</f>
        <v>5123.1214826084142</v>
      </c>
      <c r="D145">
        <f>D144</f>
        <v>0.025269580023909475</v>
      </c>
      <c r="E145" t="s">
        <v>15</v>
      </c>
      <c r="F145" s="6">
        <v>44035</v>
      </c>
      <c r="H145">
        <f>H144+C145</f>
        <v>207861.80878018274</v>
      </c>
    </row>
    <row r="146" spans="1:66" ht="19.5">
      <c r="C146">
        <f>H145*D146</f>
        <v>5252.5806108853967</v>
      </c>
      <c r="D146">
        <f>D145</f>
        <v>0.025269580023909475</v>
      </c>
      <c r="E146" t="s">
        <v>16</v>
      </c>
      <c r="F146" s="6">
        <v>44036</v>
      </c>
      <c r="H146">
        <f>H145+C146</f>
        <v>213114.38939106814</v>
      </c>
    </row>
    <row r="147" spans="1:66" ht="19.5">
      <c r="C147">
        <f>H146*D147</f>
        <v>5385.3111169642007</v>
      </c>
      <c r="D147">
        <f>D146</f>
        <v>0.025269580023909475</v>
      </c>
      <c r="E147" t="s">
        <v>17</v>
      </c>
      <c r="F147" s="6">
        <v>44037</v>
      </c>
      <c r="H147">
        <f>H146+C147</f>
        <v>218499.70050803234</v>
      </c>
    </row>
    <row r="148" spans="1:66" ht="19.5">
      <c r="C148">
        <f>H147*D148</f>
        <v>5521.3956671879769</v>
      </c>
      <c r="D148">
        <f>D147</f>
        <v>0.025269580023909475</v>
      </c>
      <c r="E148" t="s">
        <v>11</v>
      </c>
      <c r="F148" s="6">
        <v>44038</v>
      </c>
      <c r="H148">
        <f>H147+C148</f>
        <v>224021.09617522033</v>
      </c>
    </row>
    <row r="149" spans="1:66" ht="19.5">
      <c r="C149">
        <f>H148*D149</f>
        <v>5660.9190168436508</v>
      </c>
      <c r="D149">
        <f>D148</f>
        <v>0.025269580023909475</v>
      </c>
      <c r="E149" t="s">
        <v>12</v>
      </c>
      <c r="F149" s="6">
        <v>44039</v>
      </c>
      <c r="H149">
        <f>H148+C149</f>
        <v>229682.01519206399</v>
      </c>
    </row>
    <row r="150" spans="1:66" ht="19.5">
      <c r="C150">
        <f>H149*D150</f>
        <v>5803.9680629486529</v>
      </c>
      <c r="D150">
        <f>D149</f>
        <v>0.025269580023909475</v>
      </c>
      <c r="E150" t="s">
        <v>13</v>
      </c>
      <c r="F150" s="6">
        <v>44040</v>
      </c>
      <c r="H150">
        <f>H149+C150</f>
        <v>235485.98325501263</v>
      </c>
    </row>
    <row r="151" spans="1:66" ht="19.5">
      <c r="C151">
        <f>H150*D151</f>
        <v>5950.6318983715482</v>
      </c>
      <c r="D151">
        <f>D150</f>
        <v>0.025269580023909475</v>
      </c>
      <c r="E151" t="s">
        <v>14</v>
      </c>
      <c r="F151" s="6">
        <v>44041</v>
      </c>
      <c r="H151">
        <f>H150+C151</f>
        <v>241436.61515338419</v>
      </c>
    </row>
    <row r="152" spans="1:66" ht="19.5">
      <c r="C152">
        <f>H151*D152</f>
        <v>6101.0018673202767</v>
      </c>
      <c r="D152">
        <f>D151</f>
        <v>0.025269580023909475</v>
      </c>
      <c r="E152" t="s">
        <v>15</v>
      </c>
      <c r="F152" s="6">
        <v>44042</v>
      </c>
      <c r="H152">
        <f>H151+C152</f>
        <v>247537.61702070446</v>
      </c>
    </row>
    <row r="153" spans="1:66" ht="19.5">
      <c r="C153">
        <f>H152*D153</f>
        <v>6255.1716222325476</v>
      </c>
      <c r="D153">
        <f>D152</f>
        <v>0.025269580023909475</v>
      </c>
      <c r="E153" t="s">
        <v>16</v>
      </c>
      <c r="F153" s="6">
        <v>44043</v>
      </c>
      <c r="H153">
        <f>H152+C153</f>
        <v>253792.788642937</v>
      </c>
    </row>
    <row r="154" spans="1:66" ht="19.5">
      <c r="C154">
        <f>H153*D154</f>
        <v>6413.2371821038405</v>
      </c>
      <c r="D154">
        <f>D153</f>
        <v>0.025269580023909475</v>
      </c>
      <c r="E154" t="s">
        <v>17</v>
      </c>
      <c r="F154" s="6">
        <v>44044</v>
      </c>
      <c r="H154">
        <f>H153+C154</f>
        <v>260206.02582504085</v>
      </c>
    </row>
    <row r="155" spans="1:66" ht="19.5">
      <c r="C155">
        <f>H154*D155</f>
        <v>6575.2969922893253</v>
      </c>
      <c r="D155">
        <f>D154</f>
        <v>0.025269580023909475</v>
      </c>
      <c r="E155" t="s">
        <v>11</v>
      </c>
      <c r="F155" s="6">
        <v>44045</v>
      </c>
      <c r="H155">
        <f>H154+C155</f>
        <v>266781.32281733019</v>
      </c>
    </row>
    <row r="156" spans="1:66" ht="19.5">
      <c r="C156">
        <f>H155*D156</f>
        <v>6741.4519858169524</v>
      </c>
      <c r="D156">
        <f>D155</f>
        <v>0.025269580023909475</v>
      </c>
      <c r="E156" t="s">
        <v>12</v>
      </c>
      <c r="F156" s="6">
        <v>44046</v>
      </c>
      <c r="H156">
        <f>H155+C156</f>
        <v>273522.77480314713</v>
      </c>
    </row>
    <row r="157" spans="1:66" ht="19.5">
      <c r="C157">
        <f>H156*D157</f>
        <v>6911.8056462498962</v>
      </c>
      <c r="D157">
        <f>D156</f>
        <v>0.025269580023909475</v>
      </c>
      <c r="E157" t="s">
        <v>13</v>
      </c>
      <c r="F157" s="6">
        <v>44047</v>
      </c>
      <c r="H157">
        <f>H156+C157</f>
        <v>280434.58044939704</v>
      </c>
    </row>
    <row r="158" spans="1:66" ht="19.5">
      <c r="C158">
        <f>H157*D158</f>
        <v>7086.4640721375181</v>
      </c>
      <c r="D158">
        <f>D157</f>
        <v>0.025269580023909475</v>
      </c>
      <c r="E158" t="s">
        <v>14</v>
      </c>
      <c r="F158" s="6">
        <v>44048</v>
      </c>
      <c r="H158">
        <f>H157+C158</f>
        <v>287521.04452153458</v>
      </c>
    </row>
    <row r="159" spans="1:66" ht="19.5">
      <c r="C159">
        <f>H158*D159</f>
        <v>7265.5360430949568</v>
      </c>
      <c r="D159">
        <f>D158</f>
        <v>0.025269580023909475</v>
      </c>
      <c r="E159" t="s">
        <v>15</v>
      </c>
      <c r="F159" s="6">
        <v>44049</v>
      </c>
      <c r="H159">
        <f>H158+C159</f>
        <v>294786.58056462952</v>
      </c>
    </row>
    <row r="160" spans="1:66" ht="19.5">
      <c r="C160">
        <f>H159*D160</f>
        <v>7449.1330875525427</v>
      </c>
      <c r="D160">
        <f>D159</f>
        <v>0.025269580023909475</v>
      </c>
      <c r="E160" t="s">
        <v>16</v>
      </c>
      <c r="F160" s="6">
        <v>44050</v>
      </c>
      <c r="H160">
        <f>H159+C160</f>
        <v>302235.71365218208</v>
      </c>
    </row>
    <row r="161" spans="1:66" ht="19.5">
      <c r="C161">
        <f>H160*D161</f>
        <v>7637.3695522172047</v>
      </c>
      <c r="D161">
        <f>D160</f>
        <v>0.025269580023909475</v>
      </c>
      <c r="E161" t="s">
        <v>17</v>
      </c>
      <c r="F161" s="6">
        <v>44051</v>
      </c>
      <c r="H161">
        <f>H160+C161</f>
        <v>309873.08320439927</v>
      </c>
    </row>
    <row r="162" spans="1:66" ht="19.5">
      <c r="C162">
        <f>H161*D162</f>
        <v>7830.3626732891262</v>
      </c>
      <c r="D162">
        <f>D161</f>
        <v>0.025269580023909475</v>
      </c>
      <c r="E162" t="s">
        <v>11</v>
      </c>
      <c r="F162" s="6">
        <v>44052</v>
      </c>
      <c r="H162">
        <f>H161+C162</f>
        <v>317703.44587768841</v>
      </c>
    </row>
    <row r="163" spans="1:66" ht="19.5">
      <c r="C163">
        <f>H162*D163</f>
        <v>8028.23264947804</v>
      </c>
      <c r="D163">
        <f>D162</f>
        <v>0.025269580023909475</v>
      </c>
      <c r="E163" t="s">
        <v>12</v>
      </c>
      <c r="F163" s="6">
        <v>44053</v>
      </c>
      <c r="H163">
        <f>H162+C163</f>
        <v>325731.67852716643</v>
      </c>
    </row>
    <row r="164" spans="1:66" ht="19.5">
      <c r="C164">
        <f>H163*D164</f>
        <v>8231.1027168645869</v>
      </c>
      <c r="D164">
        <f>D163</f>
        <v>0.025269580023909475</v>
      </c>
      <c r="E164" t="s">
        <v>13</v>
      </c>
      <c r="F164" s="6">
        <v>44054</v>
      </c>
      <c r="H164">
        <f>H163+C164</f>
        <v>333962.78124403104</v>
      </c>
    </row>
    <row r="165" spans="1:66" ht="19.5">
      <c r="C165">
        <f>H164*D165</f>
        <v>8439.0992256534173</v>
      </c>
      <c r="D165">
        <f>D164</f>
        <v>0.025269580023909475</v>
      </c>
      <c r="E165" t="s">
        <v>14</v>
      </c>
      <c r="F165" s="6">
        <v>44055</v>
      </c>
      <c r="H165">
        <f>H164+C165</f>
        <v>342401.88046968443</v>
      </c>
    </row>
    <row r="166" spans="1:66" ht="19.5">
      <c r="C166">
        <f>H165*D166</f>
        <v>8652.351718865777</v>
      </c>
      <c r="D166">
        <f>D165</f>
        <v>0.025269580023909475</v>
      </c>
      <c r="E166" t="s">
        <v>15</v>
      </c>
      <c r="F166" s="6">
        <v>44056</v>
      </c>
      <c r="H166">
        <f>H165+C166</f>
        <v>351054.23218855023</v>
      </c>
    </row>
    <row r="167" spans="1:66" ht="19.5">
      <c r="C167">
        <f>H166*D167</f>
        <v>8870.9930130206667</v>
      </c>
      <c r="D167">
        <f>D166</f>
        <v>0.025269580023909475</v>
      </c>
      <c r="E167" t="s">
        <v>16</v>
      </c>
      <c r="F167" s="6">
        <v>44057</v>
      </c>
      <c r="H167">
        <f>H166+C167</f>
        <v>359925.22520157089</v>
      </c>
    </row>
    <row r="168" spans="1:66" ht="19.5">
      <c r="C168">
        <f>H167*D168</f>
        <v>9095.1592808547357</v>
      </c>
      <c r="D168">
        <f>D167</f>
        <v>0.025269580023909475</v>
      </c>
      <c r="E168" t="s">
        <v>17</v>
      </c>
      <c r="F168" s="6">
        <v>44058</v>
      </c>
      <c r="H168">
        <f>H167+C168</f>
        <v>369020.38448242564</v>
      </c>
    </row>
    <row r="169" spans="1:66" ht="19.5">
      <c r="C169">
        <f>H168*D169</f>
        <v>9324.9901361324974</v>
      </c>
      <c r="D169">
        <f>D168</f>
        <v>0.025269580023909475</v>
      </c>
      <c r="E169" t="s">
        <v>11</v>
      </c>
      <c r="F169" s="6">
        <v>44059</v>
      </c>
      <c r="H169">
        <f>H168+C169</f>
        <v>378345.37461855815</v>
      </c>
    </row>
    <row r="170" spans="1:66" ht="19.5">
      <c r="C170">
        <f>H169*D170</f>
        <v>9560.6287205996632</v>
      </c>
      <c r="D170">
        <f>D169</f>
        <v>0.025269580023909475</v>
      </c>
      <c r="E170" t="s">
        <v>12</v>
      </c>
      <c r="F170" s="6">
        <v>44060</v>
      </c>
      <c r="H170">
        <f>H169+C170</f>
        <v>387906.00333915779</v>
      </c>
    </row>
    <row r="171" spans="1:66" ht="19.5">
      <c r="C171">
        <f>H170*D171</f>
        <v>9802.2217931337436</v>
      </c>
      <c r="D171">
        <f>D170</f>
        <v>0.025269580023909475</v>
      </c>
      <c r="E171" t="s">
        <v>13</v>
      </c>
      <c r="F171" s="6">
        <v>44061</v>
      </c>
      <c r="H171">
        <f>H170+C171</f>
        <v>397708.22513229155</v>
      </c>
    </row>
    <row r="172" spans="1:66" ht="19.5">
      <c r="C172">
        <f>H171*D172</f>
        <v>10049.919821147447</v>
      </c>
      <c r="D172">
        <f>D171</f>
        <v>0.025269580023909475</v>
      </c>
      <c r="E172" t="s">
        <v>14</v>
      </c>
      <c r="F172" s="6">
        <v>44062</v>
      </c>
      <c r="H172">
        <f>H171+C172</f>
        <v>407758.14495343901</v>
      </c>
    </row>
    <row r="173" spans="1:66" ht="19.5">
      <c r="C173">
        <f>H172*D173</f>
        <v>10303.877074301807</v>
      </c>
      <c r="D173">
        <f>D172</f>
        <v>0.025269580023909475</v>
      </c>
      <c r="E173" t="s">
        <v>15</v>
      </c>
      <c r="F173" s="6">
        <v>44063</v>
      </c>
      <c r="H173">
        <f>H172+C173</f>
        <v>418062.02202774084</v>
      </c>
    </row>
    <row r="174" spans="1:66" ht="19.5">
      <c r="C174">
        <f>H173*D174</f>
        <v>10564.251720587403</v>
      </c>
      <c r="D174">
        <f>D173</f>
        <v>0.025269580023909475</v>
      </c>
      <c r="E174" t="s">
        <v>16</v>
      </c>
      <c r="F174" s="6">
        <v>44064</v>
      </c>
      <c r="H174">
        <f>H173+C174</f>
        <v>428626.27374832821</v>
      </c>
    </row>
    <row r="175" spans="1:66" ht="19.5">
      <c r="C175">
        <f>H174*D175</f>
        <v>10831.205924833508</v>
      </c>
      <c r="D175">
        <f>D174</f>
        <v>0.025269580023909475</v>
      </c>
      <c r="E175" t="s">
        <v>17</v>
      </c>
      <c r="F175" s="6">
        <v>44065</v>
      </c>
      <c r="H175">
        <f>H174+C175</f>
        <v>439457.4796731617</v>
      </c>
    </row>
    <row r="176" spans="1:66" ht="19.5">
      <c r="C176">
        <f>H175*D176</f>
        <v>11104.90594970653</v>
      </c>
      <c r="D176">
        <f>D175</f>
        <v>0.025269580023909475</v>
      </c>
      <c r="E176" t="s">
        <v>11</v>
      </c>
      <c r="F176" s="6">
        <v>44066</v>
      </c>
      <c r="H176">
        <f>H175+C176</f>
        <v>450562.3856228682</v>
      </c>
    </row>
    <row r="177" spans="1:66" ht="19.5">
      <c r="C177">
        <f>H176*D177</f>
        <v>11385.522259260628</v>
      </c>
      <c r="D177">
        <f>D176</f>
        <v>0.025269580023909475</v>
      </c>
      <c r="E177" t="s">
        <v>12</v>
      </c>
      <c r="F177" s="6">
        <v>44067</v>
      </c>
      <c r="H177">
        <f>H176+C177</f>
        <v>461947.90788212884</v>
      </c>
    </row>
    <row r="178" spans="1:66" ht="19.5">
      <c r="C178">
        <f>H177*D178</f>
        <v>11673.229625105017</v>
      </c>
      <c r="D178">
        <f>D177</f>
        <v>0.025269580023909475</v>
      </c>
      <c r="E178" t="s">
        <v>13</v>
      </c>
      <c r="F178" s="6">
        <v>44068</v>
      </c>
      <c r="H178">
        <f>H177+C178</f>
        <v>473621.13750723389</v>
      </c>
    </row>
    <row r="179" spans="1:66" ht="19.5">
      <c r="C179">
        <f>H178*D179</f>
        <v>11968.20723525408</v>
      </c>
      <c r="D179">
        <f>D178</f>
        <v>0.025269580023909475</v>
      </c>
      <c r="E179" t="s">
        <v>14</v>
      </c>
      <c r="F179" s="6">
        <v>44069</v>
      </c>
      <c r="H179">
        <f>H178+C179</f>
        <v>485589.34474248794</v>
      </c>
    </row>
    <row r="180" spans="1:66" ht="19.5">
      <c r="C180">
        <f>H179*D180</f>
        <v>12270.638805728066</v>
      </c>
      <c r="D180">
        <f>D179</f>
        <v>0.025269580023909475</v>
      </c>
      <c r="E180" t="s">
        <v>15</v>
      </c>
      <c r="F180" s="6">
        <v>44070</v>
      </c>
      <c r="H180">
        <f>H179+C180</f>
        <v>497859.983548216</v>
      </c>
    </row>
    <row r="181" spans="1:66" ht="19.5">
      <c r="C181">
        <f>H180*D181</f>
        <v>12580.712694973899</v>
      </c>
      <c r="D181">
        <f>D180</f>
        <v>0.025269580023909475</v>
      </c>
      <c r="E181" t="s">
        <v>16</v>
      </c>
      <c r="F181" s="6">
        <v>44071</v>
      </c>
      <c r="H181">
        <f>H180+C181</f>
        <v>510440.69624318992</v>
      </c>
    </row>
    <row r="182" spans="1:66" ht="19.5">
      <c r="C182">
        <f>H181*D182</f>
        <v>12898.622021177356</v>
      </c>
      <c r="D182">
        <f>D181</f>
        <v>0.025269580023909475</v>
      </c>
      <c r="E182" t="s">
        <v>17</v>
      </c>
      <c r="F182" s="6">
        <v>44072</v>
      </c>
      <c r="H182">
        <f>H181+C182</f>
        <v>523339.31826436729</v>
      </c>
    </row>
    <row r="183" spans="1:66" ht="19.5">
      <c r="C183">
        <f>H182*D183</f>
        <v>13224.564782539659</v>
      </c>
      <c r="D183">
        <f>D182</f>
        <v>0.025269580023909475</v>
      </c>
      <c r="E183" t="s">
        <v>11</v>
      </c>
      <c r="F183" s="6">
        <v>44073</v>
      </c>
      <c r="H183">
        <f>H182+C183</f>
        <v>536563.88304690691</v>
      </c>
    </row>
    <row r="184" spans="1:66" ht="19.5">
      <c r="C184">
        <f>H183*D184</f>
        <v>13558.743980593419</v>
      </c>
      <c r="D184">
        <f>D183</f>
        <v>0.025269580023909475</v>
      </c>
      <c r="E184" t="s">
        <v>12</v>
      </c>
      <c r="F184" s="6">
        <v>44074</v>
      </c>
      <c r="H184">
        <f>H183+C184</f>
        <v>550122.6270275003</v>
      </c>
    </row>
    <row r="185" spans="1:66" ht="19.5">
      <c r="C185">
        <f>H184*D185</f>
        <v>13901.367746634724</v>
      </c>
      <c r="D185">
        <f>D184</f>
        <v>0.025269580023909475</v>
      </c>
      <c r="E185" t="s">
        <v>13</v>
      </c>
      <c r="F185" s="6">
        <v>44075</v>
      </c>
      <c r="H185">
        <f>H184+C185</f>
        <v>564023.99477413506</v>
      </c>
    </row>
    <row r="186" spans="1:66" ht="19.5">
      <c r="C186">
        <f>H185*D186</f>
        <v>14252.649471350105</v>
      </c>
      <c r="D186">
        <f>D185</f>
        <v>0.025269580023909475</v>
      </c>
      <c r="E186" t="s">
        <v>14</v>
      </c>
      <c r="F186" s="6">
        <v>44076</v>
      </c>
      <c r="H186">
        <f>H185+C186</f>
        <v>578276.64424548519</v>
      </c>
    </row>
    <row r="187" spans="1:66" ht="19.5">
      <c r="C187">
        <f>H186*D187</f>
        <v>14612.807937719119</v>
      </c>
      <c r="D187">
        <f>D186</f>
        <v>0.025269580023909475</v>
      </c>
      <c r="E187" t="s">
        <v>15</v>
      </c>
      <c r="F187" s="6">
        <v>44077</v>
      </c>
      <c r="H187">
        <f>H186+C187</f>
        <v>592889.45218320435</v>
      </c>
    </row>
    <row r="188" spans="1:66" ht="19.5">
      <c r="C188">
        <f>H187*D188</f>
        <v>14982.067457275332</v>
      </c>
      <c r="D188">
        <f>D187</f>
        <v>0.025269580023909475</v>
      </c>
      <c r="E188" t="s">
        <v>16</v>
      </c>
      <c r="F188" s="6">
        <v>44078</v>
      </c>
      <c r="H188">
        <f>H187+C188</f>
        <v>607871.5196404797</v>
      </c>
    </row>
    <row r="189" spans="1:66" ht="19.5">
      <c r="C189">
        <f>H188*D189</f>
        <v>15360.658009810562</v>
      </c>
      <c r="D189">
        <f>D188</f>
        <v>0.025269580023909475</v>
      </c>
      <c r="E189" t="s">
        <v>17</v>
      </c>
      <c r="F189" s="6">
        <v>44079</v>
      </c>
      <c r="H189">
        <f>H188+C189</f>
        <v>623232.17765029031</v>
      </c>
    </row>
    <row r="190" spans="1:66" ht="19.5">
      <c r="C190">
        <f>H189*D190</f>
        <v>15748.815386609376</v>
      </c>
      <c r="D190">
        <f>D189</f>
        <v>0.025269580023909475</v>
      </c>
      <c r="E190" t="s">
        <v>11</v>
      </c>
      <c r="F190" s="6">
        <v>44080</v>
      </c>
      <c r="H190">
        <f>H189+C190</f>
        <v>638980.99303689972</v>
      </c>
    </row>
    <row r="191" spans="1:66" ht="19.5">
      <c r="C191">
        <f>H190*D191</f>
        <v>16146.78133730308</v>
      </c>
      <c r="D191">
        <f>D190</f>
        <v>0.025269580023909475</v>
      </c>
      <c r="E191" t="s">
        <v>12</v>
      </c>
      <c r="F191" s="6">
        <v>44081</v>
      </c>
      <c r="H191">
        <f>H190+C191</f>
        <v>655127.77437420283</v>
      </c>
    </row>
    <row r="192" spans="1:66" ht="19.5">
      <c r="C192">
        <f>H191*D192</f>
        <v>16554.803720434629</v>
      </c>
      <c r="D192">
        <f>D191</f>
        <v>0.025269580023909475</v>
      </c>
      <c r="E192" t="s">
        <v>13</v>
      </c>
      <c r="F192" s="6">
        <v>44082</v>
      </c>
      <c r="H192">
        <f>H191+C192</f>
        <v>671682.57809463749</v>
      </c>
    </row>
    <row r="193" spans="1:66" ht="19.5">
      <c r="C193">
        <f>H192*D193</f>
        <v>16973.136657828269</v>
      </c>
      <c r="D193">
        <f>D192</f>
        <v>0.025269580023909475</v>
      </c>
      <c r="E193" t="s">
        <v>14</v>
      </c>
      <c r="F193" s="6">
        <v>44083</v>
      </c>
      <c r="H193">
        <f>H192+C193</f>
        <v>688655.71475246572</v>
      </c>
    </row>
    <row r="194" spans="1:66" ht="19.5">
      <c r="C194">
        <f>H193*D194</f>
        <v>17402.04069286001</v>
      </c>
      <c r="D194">
        <f>D193</f>
        <v>0.025269580023909475</v>
      </c>
      <c r="E194" t="s">
        <v>15</v>
      </c>
      <c r="F194" s="6">
        <v>44084</v>
      </c>
      <c r="H194">
        <f>H193+C194</f>
        <v>706057.75544532575</v>
      </c>
    </row>
    <row r="195" spans="1:66" ht="19.5">
      <c r="C195">
        <f>H194*D195</f>
        <v>17841.782952727564</v>
      </c>
      <c r="D195">
        <f>D194</f>
        <v>0.025269580023909475</v>
      </c>
      <c r="E195" t="s">
        <v>16</v>
      </c>
      <c r="F195" s="6">
        <v>44085</v>
      </c>
      <c r="H195">
        <f>H194+C195</f>
        <v>723899.53839805326</v>
      </c>
    </row>
    <row r="196" spans="1:66" ht="19.5">
      <c r="C196">
        <f>H195*D196</f>
        <v>18292.637314820735</v>
      </c>
      <c r="D196">
        <f>D195</f>
        <v>0.025269580023909475</v>
      </c>
      <c r="E196" t="s">
        <v>17</v>
      </c>
      <c r="F196" s="6">
        <v>44086</v>
      </c>
      <c r="H196">
        <f>H195+C196</f>
        <v>742192.17571287404</v>
      </c>
    </row>
    <row r="197" spans="1:66" ht="19.5">
      <c r="C197">
        <f>H196*D197</f>
        <v>18754.884577295954</v>
      </c>
      <c r="D197">
        <f>D196</f>
        <v>0.025269580023909475</v>
      </c>
      <c r="E197" t="s">
        <v>11</v>
      </c>
      <c r="F197" s="6">
        <v>44087</v>
      </c>
      <c r="H197">
        <f>H196+C197</f>
        <v>760947.06029017002</v>
      </c>
    </row>
    <row r="198" spans="1:66" ht="19.5">
      <c r="C198">
        <f>H197*D198</f>
        <v>19228.812633961119</v>
      </c>
      <c r="D198">
        <f>D197</f>
        <v>0.025269580023909475</v>
      </c>
      <c r="E198" t="s">
        <v>12</v>
      </c>
      <c r="F198" s="6">
        <v>44088</v>
      </c>
      <c r="H198">
        <f>H197+C198</f>
        <v>780175.87292413111</v>
      </c>
    </row>
    <row r="199" spans="1:66" ht="19.5">
      <c r="C199">
        <f>H198*D199</f>
        <v>19714.716653579759</v>
      </c>
      <c r="D199">
        <f>D198</f>
        <v>0.025269580023909475</v>
      </c>
      <c r="E199" t="s">
        <v>13</v>
      </c>
      <c r="F199" s="6">
        <v>44089</v>
      </c>
      <c r="H199">
        <f>H198+C199</f>
        <v>799890.58957771084</v>
      </c>
    </row>
    <row r="200" spans="1:66" ht="19.5">
      <c r="C200">
        <f>H199*D200</f>
        <v>20212.899263706095</v>
      </c>
      <c r="D200">
        <f>D199</f>
        <v>0.025269580023909475</v>
      </c>
      <c r="E200" t="s">
        <v>14</v>
      </c>
      <c r="F200" s="6">
        <v>44090</v>
      </c>
      <c r="H200">
        <f>H199+C200</f>
        <v>820103.4888414169</v>
      </c>
    </row>
    <row r="201" spans="1:66" ht="19.5">
      <c r="C201">
        <f>H200*D201</f>
        <v>20723.670739165536</v>
      </c>
      <c r="D201">
        <f>D200</f>
        <v>0.025269580023909475</v>
      </c>
      <c r="E201" t="s">
        <v>15</v>
      </c>
      <c r="F201" s="6">
        <v>44091</v>
      </c>
      <c r="H201">
        <f>H200+C201</f>
        <v>840827.1595805824</v>
      </c>
    </row>
    <row r="202" spans="1:66" ht="19.5">
      <c r="C202">
        <f>H201*D202</f>
        <v>21247.349195298029</v>
      </c>
      <c r="D202">
        <f>D201</f>
        <v>0.025269580023909475</v>
      </c>
      <c r="E202" t="s">
        <v>16</v>
      </c>
      <c r="F202" s="6">
        <v>44092</v>
      </c>
      <c r="H202">
        <f>H201+C202</f>
        <v>862074.50877588044</v>
      </c>
    </row>
    <row r="203" spans="1:66" ht="19.5">
      <c r="C203">
        <f>H202*D203</f>
        <v>21784.26078608456</v>
      </c>
      <c r="D203">
        <f>D202</f>
        <v>0.025269580023909475</v>
      </c>
      <c r="E203" t="s">
        <v>17</v>
      </c>
      <c r="F203" s="6">
        <v>44093</v>
      </c>
      <c r="H203">
        <f>H202+C203</f>
        <v>883858.76956196502</v>
      </c>
    </row>
    <row r="204" spans="1:66" ht="19.5">
      <c r="C204">
        <f>H203*D204</f>
        <v>22334.73990728024</v>
      </c>
      <c r="D204">
        <f>D203</f>
        <v>0.025269580023909475</v>
      </c>
      <c r="E204" t="s">
        <v>11</v>
      </c>
      <c r="F204" s="6">
        <v>44094</v>
      </c>
      <c r="H204">
        <f>H203+C204</f>
        <v>906193.50946924521</v>
      </c>
    </row>
    <row r="205" spans="1:66" ht="19.5">
      <c r="C205">
        <f>H204*D205</f>
        <v>22899.129404680461</v>
      </c>
      <c r="D205">
        <f>D204</f>
        <v>0.025269580023909475</v>
      </c>
      <c r="E205" t="s">
        <v>12</v>
      </c>
      <c r="F205" s="6">
        <v>44095</v>
      </c>
      <c r="H205">
        <f>H204+C205</f>
        <v>929092.63887392567</v>
      </c>
    </row>
    <row r="206" spans="1:66" ht="19.5">
      <c r="C206">
        <f>H205*D206</f>
        <v>23477.780787649892</v>
      </c>
      <c r="D206">
        <f>D205</f>
        <v>0.025269580023909475</v>
      </c>
      <c r="E206" t="s">
        <v>13</v>
      </c>
      <c r="F206" s="6">
        <v>44096</v>
      </c>
      <c r="H206">
        <f>H205+C206</f>
        <v>952570.41966157558</v>
      </c>
    </row>
    <row r="207" spans="1:66" ht="19.5">
      <c r="C207">
        <f>H206*D207</f>
        <v>24071.054448047216</v>
      </c>
      <c r="D207">
        <f>D206</f>
        <v>0.025269580023909475</v>
      </c>
      <c r="E207" t="s">
        <v>14</v>
      </c>
      <c r="F207" s="6">
        <v>44097</v>
      </c>
      <c r="H207">
        <f>H206+C207</f>
        <v>976641.47410962277</v>
      </c>
    </row>
    <row r="208" spans="1:66" ht="19.5">
      <c r="C208">
        <f>H207*D208</f>
        <v>24679.319884682027</v>
      </c>
      <c r="D208">
        <f>D207</f>
        <v>0.025269580023909475</v>
      </c>
      <c r="E208" t="s">
        <v>15</v>
      </c>
      <c r="F208" s="6">
        <v>44098</v>
      </c>
      <c r="H208">
        <f>H207+C208</f>
        <v>1001320.7939943048</v>
      </c>
    </row>
    <row r="209" spans="1:66" ht="19.5">
      <c r="C209">
        <f>H208*D209</f>
        <v>25302.95593344366</v>
      </c>
      <c r="D209">
        <f>D208</f>
        <v>0.025269580023909475</v>
      </c>
      <c r="E209" t="s">
        <v>16</v>
      </c>
      <c r="F209" s="6">
        <v>44099</v>
      </c>
      <c r="H209">
        <f>H208+C209</f>
        <v>1026623.7499277485</v>
      </c>
    </row>
    <row r="210" spans="1:66" ht="19.5">
      <c r="C210">
        <f>H209*D210</f>
        <v>25942.351003245269</v>
      </c>
      <c r="D210">
        <f>D209</f>
        <v>0.025269580023909475</v>
      </c>
      <c r="E210" t="s">
        <v>17</v>
      </c>
      <c r="F210" s="6">
        <v>44100</v>
      </c>
      <c r="H210">
        <f>H209+C210</f>
        <v>1052566.1009309937</v>
      </c>
    </row>
    <row r="211" spans="1:66" ht="19.5">
      <c r="C211">
        <f>H210*D211</f>
        <v>26597.903317930122</v>
      </c>
      <c r="D211">
        <f>D210</f>
        <v>0.025269580023909475</v>
      </c>
      <c r="E211" t="s">
        <v>11</v>
      </c>
      <c r="F211" s="6">
        <v>44101</v>
      </c>
      <c r="H211">
        <f>H210+C211</f>
        <v>1079164.0042489239</v>
      </c>
    </row>
    <row r="212" spans="1:66" ht="19.5">
      <c r="C212">
        <f>H211*D212</f>
        <v>27270.021164290767</v>
      </c>
      <c r="D212">
        <f>D211</f>
        <v>0.025269580023909475</v>
      </c>
      <c r="E212" t="s">
        <v>12</v>
      </c>
      <c r="F212" s="6">
        <v>44102</v>
      </c>
      <c r="H212">
        <f>H211+C212</f>
        <v>1106434.0254132147</v>
      </c>
    </row>
    <row r="213" spans="1:66" ht="19.5">
      <c r="C213">
        <f>H212*D213</f>
        <v>27959.12314635552</v>
      </c>
      <c r="D213">
        <f>D212</f>
        <v>0.025269580023909475</v>
      </c>
      <c r="E213" t="s">
        <v>13</v>
      </c>
      <c r="F213" s="6">
        <v>44103</v>
      </c>
      <c r="H213">
        <f>H212+C213</f>
        <v>1134393.1485595703</v>
      </c>
    </row>
    <row r="214" spans="1:66" ht="19.5">
      <c r="C214">
        <f>H213*D214</f>
        <v>28665.638446100693</v>
      </c>
      <c r="D214">
        <f>D213</f>
        <v>0.025269580023909475</v>
      </c>
      <c r="E214" t="s">
        <v>14</v>
      </c>
      <c r="F214" s="6">
        <v>44104</v>
      </c>
      <c r="H214">
        <f>H213+C214</f>
        <v>1163058.7870056711</v>
      </c>
    </row>
    <row r="215" spans="1:66" ht="19.5">
      <c r="C215">
        <f>H214*D215</f>
        <v>29390.007090750889</v>
      </c>
      <c r="D215">
        <f>D214</f>
        <v>0.025269580023909475</v>
      </c>
      <c r="E215" t="s">
        <v>15</v>
      </c>
      <c r="F215" s="6">
        <v>44105</v>
      </c>
      <c r="H215">
        <f>H214+C215</f>
        <v>1192448.7940964219</v>
      </c>
    </row>
    <row r="216" spans="1:66" ht="19.5">
      <c r="C216">
        <f>H215*D216</f>
        <v>30132.680226833887</v>
      </c>
      <c r="D216">
        <f>D215</f>
        <v>0.025269580023909475</v>
      </c>
      <c r="E216" t="s">
        <v>16</v>
      </c>
      <c r="F216" s="6">
        <v>44106</v>
      </c>
      <c r="H216">
        <f>H215+C216</f>
        <v>1222581.4743232557</v>
      </c>
    </row>
    <row r="217" spans="1:66" ht="19.5">
      <c r="C217">
        <f>H216*D217</f>
        <v>30894.120401160737</v>
      </c>
      <c r="D217">
        <f>D216</f>
        <v>0.025269580023909475</v>
      </c>
      <c r="E217" t="s">
        <v>17</v>
      </c>
      <c r="F217" s="6">
        <v>44107</v>
      </c>
      <c r="H217">
        <f>H216+C217</f>
        <v>1253475.5947244165</v>
      </c>
    </row>
    <row r="218" spans="1:66" ht="19.5">
      <c r="C218">
        <f>H217*D218</f>
        <v>31674.801848906165</v>
      </c>
      <c r="D218">
        <f>D217</f>
        <v>0.025269580023909475</v>
      </c>
      <c r="E218" t="s">
        <v>11</v>
      </c>
      <c r="F218" s="6">
        <v>44108</v>
      </c>
      <c r="H218">
        <f>H217+C218</f>
        <v>1285150.3965733226</v>
      </c>
    </row>
    <row r="219" spans="1:66" ht="19.5">
      <c r="C219">
        <f>H218*D219</f>
        <v>32475.210788968572</v>
      </c>
      <c r="D219">
        <f>D218</f>
        <v>0.025269580023909475</v>
      </c>
      <c r="E219" t="s">
        <v>12</v>
      </c>
      <c r="F219" s="6">
        <v>44109</v>
      </c>
      <c r="H219">
        <f>H218+C219</f>
        <v>1317625.6073622911</v>
      </c>
    </row>
    <row r="220" spans="1:66" ht="19.5">
      <c r="C220">
        <f>H219*D220</f>
        <v>33295.845726793741</v>
      </c>
      <c r="D220">
        <f>D219</f>
        <v>0.025269580023909475</v>
      </c>
      <c r="E220" t="s">
        <v>13</v>
      </c>
      <c r="F220" s="6">
        <v>44110</v>
      </c>
      <c r="H220">
        <f>H219+C220</f>
        <v>1350921.4530890847</v>
      </c>
    </row>
    <row r="221" spans="1:66" ht="19.5">
      <c r="C221">
        <f>H220*D221</f>
        <v>34137.217764850699</v>
      </c>
      <c r="D221">
        <f>D220</f>
        <v>0.025269580023909475</v>
      </c>
      <c r="E221" t="s">
        <v>14</v>
      </c>
      <c r="F221" s="6">
        <v>44111</v>
      </c>
      <c r="H221">
        <f>H220+C221</f>
        <v>1385058.6708539354</v>
      </c>
    </row>
    <row r="222" spans="1:66" ht="19.5">
      <c r="C222">
        <f>H221*D222</f>
        <v>34999.850920953213</v>
      </c>
      <c r="D222">
        <f>D221</f>
        <v>0.025269580023909475</v>
      </c>
      <c r="E222" t="s">
        <v>15</v>
      </c>
      <c r="F222" s="6">
        <v>44112</v>
      </c>
      <c r="H222">
        <f>H221+C222</f>
        <v>1420058.5217748887</v>
      </c>
    </row>
    <row r="223" spans="1:66" ht="19.5">
      <c r="C223">
        <f>H222*D223</f>
        <v>35884.282454625143</v>
      </c>
      <c r="D223">
        <f>D222</f>
        <v>0.025269580023909475</v>
      </c>
      <c r="E223" t="s">
        <v>16</v>
      </c>
      <c r="F223" s="6">
        <v>44113</v>
      </c>
      <c r="H223">
        <f>H222+C223</f>
        <v>1455942.804229514</v>
      </c>
    </row>
    <row r="224" spans="1:66" ht="19.5">
      <c r="C224">
        <f>H223*D224</f>
        <v>36791.063201712866</v>
      </c>
      <c r="D224">
        <f>D223</f>
        <v>0.025269580023909475</v>
      </c>
      <c r="E224" t="s">
        <v>17</v>
      </c>
      <c r="F224" s="6">
        <v>44114</v>
      </c>
      <c r="H224">
        <f>H223+C224</f>
        <v>1492733.8674312269</v>
      </c>
    </row>
    <row r="225" spans="1:66" ht="19.5">
      <c r="C225">
        <f>H224*D225</f>
        <v>37720.757917453266</v>
      </c>
      <c r="D225">
        <f>D224</f>
        <v>0.025269580023909475</v>
      </c>
      <c r="E225" t="s">
        <v>11</v>
      </c>
      <c r="F225" s="6">
        <v>44115</v>
      </c>
      <c r="H225">
        <f>H224+C225</f>
        <v>1530454.6253486802</v>
      </c>
    </row>
    <row r="226" spans="1:66" ht="19.5">
      <c r="C226">
        <f>H225*D226</f>
        <v>38673.945628210866</v>
      </c>
      <c r="D226">
        <f>D225</f>
        <v>0.025269580023909475</v>
      </c>
      <c r="E226" t="s">
        <v>12</v>
      </c>
      <c r="F226" s="6">
        <v>44116</v>
      </c>
      <c r="H226">
        <f>H225+C226</f>
        <v>1569128.5709768911</v>
      </c>
    </row>
    <row r="227" spans="1:66" ht="19.5">
      <c r="C227">
        <f>H226*D227</f>
        <v>39651.219992103266</v>
      </c>
      <c r="D227">
        <f>D226</f>
        <v>0.025269580023909475</v>
      </c>
      <c r="E227" t="s">
        <v>13</v>
      </c>
      <c r="F227" s="6">
        <v>44117</v>
      </c>
      <c r="H227">
        <f>H226+C227</f>
        <v>1608779.7909689944</v>
      </c>
    </row>
    <row r="228" spans="1:66" ht="19.5">
      <c r="C228">
        <f>H227*D228</f>
        <v>40653.18966873936</v>
      </c>
      <c r="D228">
        <f>D227</f>
        <v>0.025269580023909475</v>
      </c>
      <c r="E228" t="s">
        <v>14</v>
      </c>
      <c r="F228" s="6">
        <v>44118</v>
      </c>
      <c r="H228">
        <f>H227+C228</f>
        <v>1649432.9806377338</v>
      </c>
    </row>
    <row r="229" spans="1:66" ht="19.5">
      <c r="C229">
        <f>H228*D229</f>
        <v>41680.478698300743</v>
      </c>
      <c r="D229">
        <f>D228</f>
        <v>0.025269580023909475</v>
      </c>
      <c r="E229" t="s">
        <v>15</v>
      </c>
      <c r="F229" s="6">
        <v>44119</v>
      </c>
      <c r="H229">
        <f>H228+C229</f>
        <v>1691113.4593360345</v>
      </c>
    </row>
    <row r="230" spans="1:66" ht="19.5">
      <c r="C230">
        <f>H229*D230</f>
        <v>42733.726890202306</v>
      </c>
      <c r="D230">
        <f>D229</f>
        <v>0.025269580023909475</v>
      </c>
      <c r="E230" t="s">
        <v>16</v>
      </c>
      <c r="F230" s="6">
        <v>44120</v>
      </c>
      <c r="H230">
        <f>H229+C230</f>
        <v>1733847.1862262369</v>
      </c>
    </row>
    <row r="231" spans="1:66" ht="19.5">
      <c r="C231">
        <f>H230*D231</f>
        <v>43813.590221574166</v>
      </c>
      <c r="D231">
        <f>D230</f>
        <v>0.025269580023909475</v>
      </c>
      <c r="E231" t="s">
        <v>17</v>
      </c>
      <c r="F231" s="6">
        <v>44121</v>
      </c>
      <c r="H231">
        <f>H230+C231</f>
        <v>1777660.7764478109</v>
      </c>
    </row>
    <row r="232" spans="1:66" ht="19.5">
      <c r="C232">
        <f>H231*D232</f>
        <v>44920.741245813013</v>
      </c>
      <c r="D232">
        <f>D231</f>
        <v>0.025269580023909475</v>
      </c>
      <c r="E232" t="s">
        <v>11</v>
      </c>
      <c r="F232" s="6">
        <v>44122</v>
      </c>
      <c r="H232">
        <f>H231+C232</f>
        <v>1822581.5176936239</v>
      </c>
    </row>
    <row r="233" spans="1:66" ht="19.5">
      <c r="C233">
        <f>H232*D233</f>
        <v>46055.869511457415</v>
      </c>
      <c r="D233">
        <f>D232</f>
        <v>0.025269580023909475</v>
      </c>
      <c r="E233" t="s">
        <v>12</v>
      </c>
      <c r="F233" s="6">
        <v>44123</v>
      </c>
      <c r="H233">
        <f>H232+C233</f>
        <v>1868637.3872050813</v>
      </c>
    </row>
    <row r="234" spans="1:66" ht="19.5">
      <c r="C234">
        <f>H233*D234</f>
        <v>47219.681991647914</v>
      </c>
      <c r="D234">
        <f>D233</f>
        <v>0.025269580023909475</v>
      </c>
      <c r="E234" t="s">
        <v>13</v>
      </c>
      <c r="F234" s="6">
        <v>44124</v>
      </c>
      <c r="H234">
        <f>H233+C234</f>
        <v>1915857.0691967292</v>
      </c>
    </row>
    <row r="235" spans="1:66" ht="19.5">
      <c r="C235">
        <f>H234*D235</f>
        <v>48412.903524439418</v>
      </c>
      <c r="D235">
        <f>D234</f>
        <v>0.025269580023909475</v>
      </c>
      <c r="E235" t="s">
        <v>14</v>
      </c>
      <c r="F235" s="6">
        <v>44125</v>
      </c>
      <c r="H235">
        <f>H234+C235</f>
        <v>1964269.9727211685</v>
      </c>
    </row>
    <row r="236" spans="1:66" ht="19.5">
      <c r="C236">
        <f>H235*D236</f>
        <v>49636.277264240052</v>
      </c>
      <c r="D236">
        <f>D235</f>
        <v>0.025269580023909475</v>
      </c>
      <c r="E236" t="s">
        <v>15</v>
      </c>
      <c r="F236" s="6">
        <v>44126</v>
      </c>
      <c r="H236">
        <f>H235+C236</f>
        <v>2013906.2499854085</v>
      </c>
    </row>
    <row r="237" spans="1:66" ht="19.5">
      <c r="C237">
        <f>H236*D237</f>
        <v>50890.565144657718</v>
      </c>
      <c r="D237">
        <f>D236</f>
        <v>0.025269580023909475</v>
      </c>
      <c r="E237" t="s">
        <v>16</v>
      </c>
      <c r="F237" s="6">
        <v>44127</v>
      </c>
      <c r="H237">
        <f>H236+C237</f>
        <v>2064796.8151300661</v>
      </c>
    </row>
    <row r="238" spans="1:66" ht="19.5">
      <c r="C238">
        <f>H237*D238</f>
        <v>52176.548353042621</v>
      </c>
      <c r="D238">
        <f>D237</f>
        <v>0.025269580023909475</v>
      </c>
      <c r="E238" t="s">
        <v>17</v>
      </c>
      <c r="F238" s="6">
        <v>44128</v>
      </c>
      <c r="H238">
        <f>H237+C238</f>
        <v>2116973.3634831086</v>
      </c>
    </row>
    <row r="239" spans="1:66" ht="19.5">
      <c r="C239">
        <f>H238*D239</f>
        <v>53495.027817021211</v>
      </c>
      <c r="D239">
        <f>D238</f>
        <v>0.025269580023909475</v>
      </c>
      <c r="E239" t="s">
        <v>11</v>
      </c>
      <c r="F239" s="6">
        <v>44129</v>
      </c>
      <c r="H239">
        <f>H238+C239</f>
        <v>2170468.3913001297</v>
      </c>
    </row>
    <row r="240" spans="1:66" ht="19.5">
      <c r="C240">
        <f>H239*D240</f>
        <v>54846.824703324688</v>
      </c>
      <c r="D240">
        <f>D239</f>
        <v>0.025269580023909475</v>
      </c>
      <c r="E240" t="s">
        <v>12</v>
      </c>
      <c r="F240" s="6">
        <v>44130</v>
      </c>
      <c r="H240">
        <f>H239+C240</f>
        <v>2225315.2160034543</v>
      </c>
    </row>
    <row r="241" spans="1:66" ht="19.5">
      <c r="C241">
        <f>H240*D241</f>
        <v>56232.780929222688</v>
      </c>
      <c r="D241">
        <f>D240</f>
        <v>0.025269580023909475</v>
      </c>
      <c r="E241" t="s">
        <v>13</v>
      </c>
      <c r="F241" s="6">
        <v>44131</v>
      </c>
      <c r="H241">
        <f>H240+C241</f>
        <v>2281547.996932677</v>
      </c>
    </row>
    <row r="242" spans="1:66" ht="19.5">
      <c r="C242">
        <f>H241*D242</f>
        <v>57653.75968688065</v>
      </c>
      <c r="D242">
        <f>D241</f>
        <v>0.025269580023909475</v>
      </c>
      <c r="E242" t="s">
        <v>14</v>
      </c>
      <c r="F242" s="6">
        <v>44132</v>
      </c>
      <c r="H242">
        <f>H241+C242</f>
        <v>2339201.7566195577</v>
      </c>
    </row>
    <row r="243" spans="1:66" ht="19.5">
      <c r="C243">
        <f>H242*D243</f>
        <v>59110.645980967529</v>
      </c>
      <c r="D243">
        <f>D242</f>
        <v>0.025269580023909475</v>
      </c>
      <c r="E243" t="s">
        <v>15</v>
      </c>
      <c r="F243" s="6">
        <v>44133</v>
      </c>
      <c r="H243">
        <f>H242+C243</f>
        <v>2398312.4026005254</v>
      </c>
    </row>
    <row r="244" spans="1:66" ht="19.5">
      <c r="C244">
        <f>H243*D244</f>
        <v>60604.347179848577</v>
      </c>
      <c r="D244">
        <f>D243</f>
        <v>0.025269580023909475</v>
      </c>
      <c r="E244" t="s">
        <v>16</v>
      </c>
      <c r="F244" s="6">
        <v>44134</v>
      </c>
      <c r="H244">
        <f>H243+C244</f>
        <v>2458916.7497803741</v>
      </c>
    </row>
    <row r="245" spans="1:66" ht="19.5">
      <c r="C245">
        <f>H244*D245</f>
        <v>62135.793580706551</v>
      </c>
      <c r="D245">
        <f>D244</f>
        <v>0.025269580023909475</v>
      </c>
      <c r="E245" t="s">
        <v>17</v>
      </c>
      <c r="F245" s="6">
        <v>44135</v>
      </c>
      <c r="H245">
        <f>H244+C245</f>
        <v>2521052.5433610808</v>
      </c>
    </row>
    <row r="246" spans="1:66" ht="19.5">
      <c r="C246">
        <f>H245*D246</f>
        <v>63705.938988943344</v>
      </c>
      <c r="D246">
        <f>D245</f>
        <v>0.025269580023909475</v>
      </c>
      <c r="E246" t="s">
        <v>11</v>
      </c>
      <c r="F246" s="6">
        <v>44136</v>
      </c>
      <c r="H246">
        <f>H245+C246</f>
        <v>2584758.4823500239</v>
      </c>
    </row>
    <row r="247" spans="1:66" ht="19.5">
      <c r="C247">
        <f>H246*D247</f>
        <v>65315.761312222734</v>
      </c>
      <c r="D247">
        <f>D246</f>
        <v>0.025269580023909475</v>
      </c>
      <c r="E247" t="s">
        <v>12</v>
      </c>
      <c r="F247" s="6">
        <v>44137</v>
      </c>
      <c r="H247">
        <f>H246+C247</f>
        <v>2650074.2436622465</v>
      </c>
    </row>
    <row r="248" spans="1:66" ht="19.5">
      <c r="C248">
        <f>H247*D248</f>
        <v>66966.263169524522</v>
      </c>
      <c r="D248">
        <f>D247</f>
        <v>0.025269580023909475</v>
      </c>
      <c r="E248" t="s">
        <v>13</v>
      </c>
      <c r="F248" s="6">
        <v>44138</v>
      </c>
      <c r="H248">
        <f>H247+C248</f>
        <v>2717040.5068317712</v>
      </c>
    </row>
    <row r="249" spans="1:66" ht="19.5">
      <c r="C249">
        <f>H248*D249</f>
        <v>68658.472515589005</v>
      </c>
      <c r="D249">
        <f>D248</f>
        <v>0.025269580023909475</v>
      </c>
      <c r="E249" t="s">
        <v>14</v>
      </c>
      <c r="F249" s="6">
        <v>44139</v>
      </c>
      <c r="H249">
        <f>H248+C249</f>
        <v>2785698.9793473603</v>
      </c>
    </row>
    <row r="250" spans="1:66" ht="19.5">
      <c r="C250">
        <f>H249*D250</f>
        <v>70393.443281141066</v>
      </c>
      <c r="D250">
        <f>D249</f>
        <v>0.025269580023909475</v>
      </c>
      <c r="E250" t="s">
        <v>15</v>
      </c>
      <c r="F250" s="6">
        <v>44140</v>
      </c>
      <c r="H250">
        <f>H249+C250</f>
        <v>2856092.4226285014</v>
      </c>
    </row>
    <row r="251" spans="1:66" ht="19.5">
      <c r="C251">
        <f>H250*D251</f>
        <v>72172.256029292403</v>
      </c>
      <c r="D251">
        <f>D250</f>
        <v>0.025269580023909475</v>
      </c>
      <c r="E251" t="s">
        <v>16</v>
      </c>
      <c r="F251" s="6">
        <v>44141</v>
      </c>
      <c r="H251">
        <f>H250+C251</f>
        <v>2928264.6786577939</v>
      </c>
    </row>
    <row r="252" spans="1:66" ht="19.5">
      <c r="C252">
        <f>H251*D252</f>
        <v>73996.018628530685</v>
      </c>
      <c r="D252">
        <f>D251</f>
        <v>0.025269580023909475</v>
      </c>
      <c r="E252" t="s">
        <v>17</v>
      </c>
      <c r="F252" s="6">
        <v>44142</v>
      </c>
      <c r="H252">
        <f>H251+C252</f>
        <v>3002260.6972863246</v>
      </c>
    </row>
    <row r="253" spans="1:66" ht="19.5">
      <c r="C253">
        <f>H252*D253</f>
        <v>75865.866942715045</v>
      </c>
      <c r="D253">
        <f>D252</f>
        <v>0.025269580023909475</v>
      </c>
      <c r="E253" t="s">
        <v>11</v>
      </c>
      <c r="F253" s="6">
        <v>44143</v>
      </c>
      <c r="H253">
        <f>H252+C253</f>
        <v>3078126.5642290395</v>
      </c>
    </row>
    <row r="254" spans="1:66" ht="19.5">
      <c r="C254">
        <f>H253*D254</f>
        <v>77782.96553850724</v>
      </c>
      <c r="D254">
        <f>D253</f>
        <v>0.025269580023909475</v>
      </c>
      <c r="E254" t="s">
        <v>12</v>
      </c>
      <c r="F254" s="6">
        <v>44144</v>
      </c>
      <c r="H254">
        <f>H253+C254</f>
        <v>3155909.5297675468</v>
      </c>
    </row>
    <row r="255" spans="1:66" ht="19.5">
      <c r="C255">
        <f>H254*D255</f>
        <v>79748.50841067954</v>
      </c>
      <c r="D255">
        <f>D254</f>
        <v>0.025269580023909475</v>
      </c>
      <c r="E255" t="s">
        <v>13</v>
      </c>
      <c r="F255" s="6">
        <v>44145</v>
      </c>
      <c r="H255">
        <f>H254+C255</f>
        <v>3235658.0381782264</v>
      </c>
    </row>
    <row r="256" spans="1:66" ht="19.5">
      <c r="C256">
        <f>H255*D256</f>
        <v>81763.719725750634</v>
      </c>
      <c r="D256">
        <f>D255</f>
        <v>0.025269580023909475</v>
      </c>
      <c r="E256" t="s">
        <v>14</v>
      </c>
      <c r="F256" s="6">
        <v>44146</v>
      </c>
      <c r="H256">
        <f>H255+C256</f>
        <v>3317421.7579039773</v>
      </c>
    </row>
    <row r="257" spans="1:66" ht="19.5">
      <c r="C257">
        <f>H256*D257</f>
        <v>83829.854584412999</v>
      </c>
      <c r="D257">
        <f>D256</f>
        <v>0.025269580023909475</v>
      </c>
      <c r="E257" t="s">
        <v>15</v>
      </c>
      <c r="F257" s="6">
        <v>44147</v>
      </c>
      <c r="H257">
        <f>H256+C257</f>
        <v>3401251.6124883904</v>
      </c>
    </row>
    <row r="258" spans="1:66" ht="19.5">
      <c r="C258">
        <f>H257*D258</f>
        <v>85948.199803226526</v>
      </c>
      <c r="D258">
        <f>D257</f>
        <v>0.025269580023909475</v>
      </c>
      <c r="E258" t="s">
        <v>16</v>
      </c>
      <c r="F258" s="6">
        <v>44148</v>
      </c>
      <c r="H258">
        <f>H257+C258</f>
        <v>3487199.812291617</v>
      </c>
    </row>
    <row r="259" spans="1:66" ht="19.5">
      <c r="C259">
        <f>H258*D259</f>
        <v>88120.074716065123</v>
      </c>
      <c r="D259">
        <f>D258</f>
        <v>0.025269580023909475</v>
      </c>
      <c r="E259" t="s">
        <v>17</v>
      </c>
      <c r="F259" s="6">
        <v>44149</v>
      </c>
      <c r="H259">
        <f>H258+C259</f>
        <v>3575319.8870076821</v>
      </c>
    </row>
    <row r="260" spans="1:66" ht="19.5">
      <c r="C260">
        <f>H259*D260</f>
        <v>90346.831995815606</v>
      </c>
      <c r="D260">
        <f>D259</f>
        <v>0.025269580023909475</v>
      </c>
      <c r="E260" t="s">
        <v>11</v>
      </c>
      <c r="F260" s="6">
        <v>44150</v>
      </c>
      <c r="H260">
        <f>H259+C260</f>
        <v>3665666.7190034976</v>
      </c>
    </row>
    <row r="261" spans="1:66" ht="19.5">
      <c r="C261">
        <f>H260*D261</f>
        <v>92629.858496840563</v>
      </c>
      <c r="D261">
        <f>D260</f>
        <v>0.025269580023909475</v>
      </c>
      <c r="E261" t="s">
        <v>12</v>
      </c>
      <c r="F261" s="6">
        <v>44151</v>
      </c>
      <c r="H261">
        <f>H260+C261</f>
        <v>3758296.5775003382</v>
      </c>
    </row>
    <row r="262" spans="1:66" ht="19.5">
      <c r="C262">
        <f>H261*D262</f>
        <v>94970.576118729892</v>
      </c>
      <c r="D262">
        <f>D261</f>
        <v>0.025269580023909475</v>
      </c>
      <c r="E262" t="s">
        <v>13</v>
      </c>
      <c r="F262" s="6">
        <v>44152</v>
      </c>
      <c r="H262">
        <f>H261+C262</f>
        <v>3853267.1536190682</v>
      </c>
    </row>
    <row r="263" spans="1:66" ht="19.5">
      <c r="C263">
        <f>H262*D263</f>
        <v>97370.442691878925</v>
      </c>
      <c r="D263">
        <f>D262</f>
        <v>0.025269580023909475</v>
      </c>
      <c r="E263" t="s">
        <v>14</v>
      </c>
      <c r="F263" s="6">
        <v>44153</v>
      </c>
      <c r="H263">
        <f>H262+C263</f>
        <v>3950637.5963109471</v>
      </c>
    </row>
    <row r="264" spans="1:66" ht="19.5">
      <c r="C264">
        <f>H263*D264</f>
        <v>99830.952885444858</v>
      </c>
      <c r="D264">
        <f>D263</f>
        <v>0.025269580023909475</v>
      </c>
      <c r="E264" t="s">
        <v>15</v>
      </c>
      <c r="F264" s="6">
        <v>44154</v>
      </c>
      <c r="H264">
        <f>H263+C264</f>
        <v>4050468.5491963918</v>
      </c>
    </row>
    <row r="265" spans="1:66" ht="19.5">
      <c r="C265">
        <f>H264*D265</f>
        <v>102353.63913824674</v>
      </c>
      <c r="D265">
        <f>D264</f>
        <v>0.025269580023909475</v>
      </c>
      <c r="E265" t="s">
        <v>16</v>
      </c>
      <c r="F265" s="6">
        <v>44155</v>
      </c>
      <c r="H265">
        <f>H264+C265</f>
        <v>4152822.1883346387</v>
      </c>
    </row>
    <row r="266" spans="1:66" ht="19.5">
      <c r="C266">
        <f>H265*D266</f>
        <v>104940.07261318901</v>
      </c>
      <c r="D266">
        <f>D265</f>
        <v>0.025269580023909475</v>
      </c>
      <c r="E266" t="s">
        <v>17</v>
      </c>
      <c r="F266" s="6">
        <v>44156</v>
      </c>
      <c r="H266">
        <f>H265+C266</f>
        <v>4257762.2609478282</v>
      </c>
    </row>
    <row r="267" spans="1:66" ht="19.5">
      <c r="C267">
        <f>H266*D267</f>
        <v>107591.86417580288</v>
      </c>
      <c r="D267">
        <f>D266</f>
        <v>0.025269580023909475</v>
      </c>
      <c r="E267" t="s">
        <v>11</v>
      </c>
      <c r="F267" s="6">
        <v>44157</v>
      </c>
      <c r="H267">
        <f>H266+C267</f>
        <v>4365354.1251236312</v>
      </c>
    </row>
    <row r="268" spans="1:66" ht="19.5">
      <c r="C268">
        <f>H267*D268</f>
        <v>110310.66539751494</v>
      </c>
      <c r="D268">
        <f>D267</f>
        <v>0.025269580023909475</v>
      </c>
      <c r="E268" t="s">
        <v>12</v>
      </c>
      <c r="F268" s="6">
        <v>44158</v>
      </c>
      <c r="H268">
        <f>H267+C268</f>
        <v>4475664.7905211458</v>
      </c>
    </row>
    <row r="269" spans="1:66" ht="19.5">
      <c r="C269">
        <f>H268*D269</f>
        <v>113098.16958426814</v>
      </c>
      <c r="D269">
        <f>D268</f>
        <v>0.025269580023909475</v>
      </c>
      <c r="E269" t="s">
        <v>13</v>
      </c>
      <c r="F269" s="6">
        <v>44159</v>
      </c>
      <c r="H269">
        <f>H268+C269</f>
        <v>4588762.9601054136</v>
      </c>
    </row>
    <row r="270" spans="1:66" ht="19.5">
      <c r="C270">
        <f>H269*D270</f>
        <v>115956.11283113547</v>
      </c>
      <c r="D270">
        <f>D269</f>
        <v>0.025269580023909475</v>
      </c>
      <c r="E270" t="s">
        <v>14</v>
      </c>
      <c r="F270" s="6">
        <v>44160</v>
      </c>
      <c r="H270">
        <f>H269+C270</f>
        <v>4704719.0729365489</v>
      </c>
    </row>
    <row r="271" spans="1:66" ht="19.5">
      <c r="C271">
        <f>H270*D271</f>
        <v>118886.27510358332</v>
      </c>
      <c r="D271">
        <f>D270</f>
        <v>0.025269580023909475</v>
      </c>
      <c r="E271" t="s">
        <v>15</v>
      </c>
      <c r="F271" s="6">
        <v>44161</v>
      </c>
      <c r="H271">
        <f>H270+C271</f>
        <v>4823605.3480401319</v>
      </c>
    </row>
    <row r="272" spans="1:66" ht="19.5">
      <c r="C272">
        <f>H271*D272</f>
        <v>121890.48134605783</v>
      </c>
      <c r="D272">
        <f>D271</f>
        <v>0.025269580023909475</v>
      </c>
      <c r="E272" t="s">
        <v>16</v>
      </c>
      <c r="F272" s="6">
        <v>44162</v>
      </c>
      <c r="H272">
        <f>H271+C272</f>
        <v>4945495.8293861896</v>
      </c>
    </row>
    <row r="273" spans="1:66" ht="19.5">
      <c r="C273">
        <f>H272*D273</f>
        <v>124970.60261858488</v>
      </c>
      <c r="D273">
        <f>D272</f>
        <v>0.025269580023909475</v>
      </c>
      <c r="E273" t="s">
        <v>17</v>
      </c>
      <c r="F273" s="6">
        <v>44163</v>
      </c>
      <c r="H273">
        <f>H272+C273</f>
        <v>5070466.432004774</v>
      </c>
    </row>
    <row r="274" spans="1:66" ht="19.5">
      <c r="C274">
        <f>H273*D274</f>
        <v>128128.55726209139</v>
      </c>
      <c r="D274">
        <f>D273</f>
        <v>0.025269580023909475</v>
      </c>
      <c r="E274" t="s">
        <v>11</v>
      </c>
      <c r="F274" s="6">
        <v>44164</v>
      </c>
      <c r="H274">
        <f>H273+C274</f>
        <v>5198594.989266865</v>
      </c>
    </row>
    <row r="275" spans="1:66" ht="19.5">
      <c r="C275">
        <f>H274*D275</f>
        <v>131366.31209317385</v>
      </c>
      <c r="D275">
        <f>D274</f>
        <v>0.025269580023909475</v>
      </c>
      <c r="E275" t="s">
        <v>12</v>
      </c>
      <c r="F275" s="6">
        <v>44165</v>
      </c>
      <c r="H275">
        <f>H274+C275</f>
        <v>5329961.301360039</v>
      </c>
    </row>
    <row r="276" spans="1:66" ht="19.5">
      <c r="C276">
        <f>H275*D276</f>
        <v>134685.8836290582</v>
      </c>
      <c r="D276">
        <f>D275</f>
        <v>0.025269580023909475</v>
      </c>
      <c r="E276" t="s">
        <v>13</v>
      </c>
      <c r="F276" s="6">
        <v>44166</v>
      </c>
      <c r="H276">
        <f>H275+C276</f>
        <v>5464647.1849890975</v>
      </c>
    </row>
    <row r="277" spans="1:66" ht="19.5">
      <c r="E277" t="s">
        <v>14</v>
      </c>
      <c r="F277" s="6">
        <v>44167</v>
      </c>
    </row>
    <row r="278" spans="1:66" ht="19.5">
      <c r="E278" t="s">
        <v>15</v>
      </c>
      <c r="F278" s="6">
        <v>44168</v>
      </c>
    </row>
    <row r="279" spans="1:66" ht="19.5">
      <c r="E279" t="s">
        <v>16</v>
      </c>
      <c r="F279" s="6">
        <v>44169</v>
      </c>
    </row>
    <row r="280" spans="1:66" ht="19.5">
      <c r="E280" t="s">
        <v>17</v>
      </c>
      <c r="F280" s="6">
        <v>44170</v>
      </c>
    </row>
    <row r="281" spans="1:66" ht="19.5">
      <c r="E281" t="s">
        <v>11</v>
      </c>
      <c r="F281" s="6">
        <v>44171</v>
      </c>
    </row>
    <row r="282" spans="1:66" ht="19.5">
      <c r="E282" t="s">
        <v>12</v>
      </c>
      <c r="F282" s="6">
        <v>44172</v>
      </c>
    </row>
    <row r="283" spans="1:66" ht="19.5">
      <c r="E283" t="s">
        <v>13</v>
      </c>
      <c r="F283" s="6">
        <v>44173</v>
      </c>
    </row>
    <row r="284" spans="1:66" ht="19.5">
      <c r="E284" t="s">
        <v>14</v>
      </c>
      <c r="F284" s="6">
        <v>44174</v>
      </c>
    </row>
    <row r="285" spans="1:66" ht="19.5">
      <c r="E285" t="s">
        <v>15</v>
      </c>
      <c r="F285" s="6">
        <v>44175</v>
      </c>
    </row>
    <row r="286" spans="1:66" ht="19.5">
      <c r="E286" t="s">
        <v>16</v>
      </c>
      <c r="F286" s="6">
        <v>44176</v>
      </c>
    </row>
    <row r="287" spans="1:66" ht="19.5">
      <c r="E287" t="s">
        <v>17</v>
      </c>
      <c r="F287" s="6">
        <v>44177</v>
      </c>
    </row>
    <row r="288" spans="1:66" ht="19.5">
      <c r="E288" t="s">
        <v>11</v>
      </c>
      <c r="F288" s="6">
        <v>44178</v>
      </c>
    </row>
    <row r="289" spans="1:66" ht="19.5">
      <c r="E289" t="s">
        <v>12</v>
      </c>
      <c r="F289" s="6">
        <v>44179</v>
      </c>
    </row>
    <row r="290" spans="1:66" ht="19.5">
      <c r="E290" t="s">
        <v>13</v>
      </c>
      <c r="F290" s="6">
        <v>44180</v>
      </c>
    </row>
    <row r="291" spans="1:66" ht="19.5">
      <c r="E291" t="s">
        <v>14</v>
      </c>
      <c r="F291" s="6">
        <v>44181</v>
      </c>
    </row>
    <row r="292" spans="1:66" ht="19.5">
      <c r="E292" t="s">
        <v>15</v>
      </c>
      <c r="F292" s="6">
        <v>44182</v>
      </c>
    </row>
    <row r="293" spans="1:66" ht="19.5">
      <c r="E293" t="s">
        <v>16</v>
      </c>
      <c r="F293" s="6">
        <v>44183</v>
      </c>
    </row>
    <row r="294" spans="1:66" ht="19.5">
      <c r="E294" t="s">
        <v>17</v>
      </c>
      <c r="F294" s="6">
        <v>44184</v>
      </c>
    </row>
    <row r="295" spans="1:66" ht="19.5">
      <c r="E295" t="s">
        <v>11</v>
      </c>
      <c r="F295" s="6">
        <v>44185</v>
      </c>
    </row>
    <row r="296" spans="1:66" ht="19.5">
      <c r="E296" t="s">
        <v>12</v>
      </c>
      <c r="F296" s="6">
        <v>44186</v>
      </c>
    </row>
    <row r="297" spans="1:66" ht="19.5">
      <c r="E297" t="s">
        <v>13</v>
      </c>
      <c r="F297" s="6">
        <v>44187</v>
      </c>
    </row>
    <row r="298" spans="1:66" ht="19.5">
      <c r="E298" t="s">
        <v>14</v>
      </c>
      <c r="F298" s="6">
        <v>44188</v>
      </c>
    </row>
    <row r="299" spans="1:66" ht="19.5">
      <c r="E299" t="s">
        <v>15</v>
      </c>
      <c r="F299" s="6">
        <v>44189</v>
      </c>
    </row>
    <row r="300" spans="1:66" ht="19.5">
      <c r="E300" t="s">
        <v>16</v>
      </c>
      <c r="F300" s="6">
        <v>44190</v>
      </c>
    </row>
    <row r="301" spans="1:66" ht="19.5">
      <c r="E301" t="s">
        <v>17</v>
      </c>
      <c r="F301" s="6">
        <v>44191</v>
      </c>
    </row>
    <row r="302" spans="1:66" ht="19.5">
      <c r="E302" t="s">
        <v>11</v>
      </c>
      <c r="F302" s="6">
        <v>44192</v>
      </c>
    </row>
    <row r="303" spans="1:66" ht="19.5">
      <c r="E303" t="s">
        <v>12</v>
      </c>
      <c r="F303" s="6">
        <v>44193</v>
      </c>
    </row>
    <row r="304" spans="1:66" ht="19.5">
      <c r="E304" t="s">
        <v>13</v>
      </c>
      <c r="F304" s="6">
        <v>44194</v>
      </c>
    </row>
    <row r="305" spans="1:66" ht="19.5">
      <c r="E305" t="s">
        <v>14</v>
      </c>
      <c r="F305" s="6">
        <v>44195</v>
      </c>
    </row>
    <row r="306" spans="1:66" ht="19.5">
      <c r="E306" t="s">
        <v>15</v>
      </c>
      <c r="F306" s="6">
        <v>44196</v>
      </c>
    </row>
    <row r="307" spans="1:66" ht="19.5">
      <c r="E307" t="s">
        <v>16</v>
      </c>
      <c r="F307" s="6">
        <v>44197</v>
      </c>
      <c r="H307" s="1" t="inlineStr">
        <is>
          <t>For the year 2021:</t>
        </is>
      </c>
    </row>
    <row r="308" spans="1:66" ht="19.5">
      <c r="E308" t="s">
        <v>17</v>
      </c>
      <c r="F308" s="6">
        <v>44198</v>
      </c>
      <c r="H308" s="1"/>
    </row>
    <row r="309" spans="1:66" ht="19.5">
      <c r="E309" t="s">
        <v>11</v>
      </c>
      <c r="F309" s="6">
        <v>44199</v>
      </c>
      <c r="H309" s="1" t="inlineStr">
        <is>
          <t>Use SUNDAY 1/3, 2/28, 3/7, 4/4, 5/9, 6/6, 7/11, 8/8, 9/5, 10/10, 11/7 and 12/12</t>
        </is>
      </c>
    </row>
    <row r="310" spans="1:66" ht="19.5">
      <c r="E310" t="s">
        <v>12</v>
      </c>
      <c r="F310" s="6">
        <v>44200</v>
      </c>
    </row>
    <row r="311" spans="1:66" ht="19.5">
      <c r="E311" t="s">
        <v>13</v>
      </c>
      <c r="F311" s="6">
        <v>44201</v>
      </c>
    </row>
    <row r="312" spans="1:66" ht="19.5">
      <c r="E312" t="s">
        <v>14</v>
      </c>
      <c r="F312" s="6">
        <v>44202</v>
      </c>
    </row>
    <row r="313" spans="1:66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66" ht="19.5">
      <c r="E314" t="s">
        <v>16</v>
      </c>
      <c r="F314" s="6">
        <v>44204</v>
      </c>
    </row>
    <row r="315" spans="1:66" ht="19.5">
      <c r="E315" t="s">
        <v>17</v>
      </c>
      <c r="F315" s="6">
        <v>44205</v>
      </c>
    </row>
    <row r="316" spans="1:66" ht="19.5">
      <c r="E316" t="s">
        <v>11</v>
      </c>
      <c r="F316" s="6">
        <v>44206</v>
      </c>
    </row>
    <row r="317" spans="1:66" ht="19.5">
      <c r="E317" t="s">
        <v>12</v>
      </c>
      <c r="F317" s="6">
        <v>44207</v>
      </c>
    </row>
    <row r="318" spans="1:66" ht="19.5">
      <c r="E318" t="s">
        <v>13</v>
      </c>
      <c r="F318" s="6">
        <v>44208</v>
      </c>
    </row>
    <row r="319" spans="1:66" ht="19.5">
      <c r="E319" t="s">
        <v>14</v>
      </c>
      <c r="F319" s="6">
        <v>44209</v>
      </c>
    </row>
    <row r="320" spans="1:66" ht="19.5">
      <c r="E320" t="s">
        <v>15</v>
      </c>
      <c r="F320" s="6">
        <v>44210</v>
      </c>
    </row>
    <row r="321" spans="1:66" ht="19.5">
      <c r="E321" t="s">
        <v>16</v>
      </c>
      <c r="F321">
        <v>15</v>
      </c>
    </row>
    <row r="322" spans="1:66" ht="19.5">
      <c r="E322" t="s">
        <v>17</v>
      </c>
      <c r="F322">
        <v>16</v>
      </c>
    </row>
    <row r="323" spans="1:66" ht="19.5">
      <c r="E323" t="s">
        <v>11</v>
      </c>
      <c r="F323">
        <v>17</v>
      </c>
    </row>
    <row r="324" spans="1:66" ht="19.5">
      <c r="E324" t="s">
        <v>12</v>
      </c>
      <c r="F324">
        <v>18</v>
      </c>
    </row>
    <row r="325" spans="1:66" ht="19.5">
      <c r="E325" t="s">
        <v>13</v>
      </c>
      <c r="F325">
        <v>19</v>
      </c>
    </row>
    <row r="326" spans="1:66" ht="19.5">
      <c r="E326" t="s">
        <v>14</v>
      </c>
      <c r="F326">
        <v>20</v>
      </c>
    </row>
    <row r="327" spans="1:66" ht="19.5">
      <c r="E327" t="s">
        <v>15</v>
      </c>
      <c r="F327" s="6">
        <v>44217</v>
      </c>
    </row>
    <row r="328" spans="1:66" ht="19.5">
      <c r="E328" t="s">
        <v>16</v>
      </c>
      <c r="F328">
        <v>22</v>
      </c>
    </row>
    <row r="329" spans="1:66" ht="19.5">
      <c r="E329" t="s">
        <v>17</v>
      </c>
      <c r="F329">
        <v>23</v>
      </c>
    </row>
    <row r="330" spans="1:66" ht="19.5">
      <c r="E330" t="s">
        <v>11</v>
      </c>
      <c r="F330">
        <v>24</v>
      </c>
    </row>
    <row r="331" spans="1:66" ht="19.5">
      <c r="E331" t="s">
        <v>12</v>
      </c>
      <c r="F331">
        <v>25</v>
      </c>
    </row>
    <row r="332" spans="1:66" ht="19.5">
      <c r="E332" t="s">
        <v>13</v>
      </c>
      <c r="F332">
        <v>26</v>
      </c>
    </row>
    <row r="333" spans="1:66" ht="19.5">
      <c r="E333" t="s">
        <v>14</v>
      </c>
      <c r="F333">
        <v>27</v>
      </c>
    </row>
    <row r="334" spans="1:66" ht="19.5">
      <c r="E334" t="s">
        <v>15</v>
      </c>
      <c r="F334" s="6">
        <v>44224</v>
      </c>
    </row>
    <row r="335" spans="1:66" ht="19.5">
      <c r="E335" t="s">
        <v>16</v>
      </c>
      <c r="F335" s="6">
        <v>44225</v>
      </c>
    </row>
    <row r="336" spans="1:66" ht="19.5">
      <c r="E336" t="s">
        <v>17</v>
      </c>
      <c r="F336" s="6">
        <v>44226</v>
      </c>
    </row>
    <row r="337" spans="1:66" ht="19.5">
      <c r="E337" t="s">
        <v>11</v>
      </c>
      <c r="F337" s="6">
        <v>44227</v>
      </c>
    </row>
    <row r="338" spans="1:66" ht="19.5">
      <c r="E338" t="s">
        <v>12</v>
      </c>
      <c r="F338" s="6">
        <v>44228</v>
      </c>
    </row>
    <row r="339" spans="1:66" ht="19.5">
      <c r="E339" t="s">
        <v>13</v>
      </c>
      <c r="F339" s="6">
        <v>44229</v>
      </c>
    </row>
    <row r="340" spans="1:66" ht="19.5">
      <c r="E340" t="s">
        <v>14</v>
      </c>
      <c r="F340" s="6">
        <v>44230</v>
      </c>
    </row>
    <row r="341" spans="1:66" ht="19.5">
      <c r="E341" t="s">
        <v>15</v>
      </c>
      <c r="F341" s="6">
        <v>44231</v>
      </c>
    </row>
    <row r="342" spans="1:66" ht="19.5">
      <c r="E342" t="s">
        <v>16</v>
      </c>
      <c r="F342" s="6">
        <v>44232</v>
      </c>
    </row>
    <row r="343" spans="1:66" ht="19.5">
      <c r="E343" t="s">
        <v>17</v>
      </c>
      <c r="F343" s="6">
        <v>44233</v>
      </c>
    </row>
    <row r="344" spans="1:66" ht="19.5">
      <c r="E344" t="s">
        <v>11</v>
      </c>
      <c r="F344" s="6">
        <v>44234</v>
      </c>
    </row>
    <row r="345" spans="1:66" ht="19.5">
      <c r="E345" t="s">
        <v>12</v>
      </c>
      <c r="F345" s="6">
        <v>44235</v>
      </c>
    </row>
    <row r="346" spans="1:66" ht="19.5">
      <c r="E346" t="s">
        <v>13</v>
      </c>
      <c r="F346">
        <v>9</v>
      </c>
    </row>
    <row r="347" spans="1:66" ht="19.5">
      <c r="E347" t="s">
        <v>14</v>
      </c>
      <c r="F347">
        <v>10</v>
      </c>
    </row>
    <row r="348" spans="1:66" ht="19.5">
      <c r="E348" t="s">
        <v>15</v>
      </c>
      <c r="F348">
        <v>11</v>
      </c>
    </row>
    <row r="349" spans="1:66" ht="19.5">
      <c r="E349" t="s">
        <v>16</v>
      </c>
      <c r="F349">
        <v>12</v>
      </c>
    </row>
    <row r="350" spans="1:66" ht="19.5">
      <c r="E350" t="s">
        <v>17</v>
      </c>
      <c r="F350">
        <v>13</v>
      </c>
    </row>
    <row r="351" spans="1:66" ht="19.5">
      <c r="E351" t="s">
        <v>11</v>
      </c>
      <c r="F351" s="6">
        <v>44241</v>
      </c>
    </row>
    <row r="352" spans="1:66" ht="19.5">
      <c r="E352" t="s">
        <v>12</v>
      </c>
      <c r="F352">
        <v>15</v>
      </c>
    </row>
    <row r="353" spans="1:66" ht="19.5">
      <c r="E353" t="s">
        <v>13</v>
      </c>
      <c r="F353">
        <v>16</v>
      </c>
    </row>
    <row r="354" spans="1:66" ht="19.5">
      <c r="E354" t="s">
        <v>14</v>
      </c>
      <c r="F354">
        <v>17</v>
      </c>
    </row>
    <row r="355" spans="1:66" ht="19.5">
      <c r="E355" t="s">
        <v>15</v>
      </c>
      <c r="F355">
        <v>18</v>
      </c>
    </row>
    <row r="356" spans="1:66" ht="19.5">
      <c r="E356" t="s">
        <v>16</v>
      </c>
      <c r="F356">
        <v>19</v>
      </c>
    </row>
    <row r="357" spans="1:66" ht="19.5">
      <c r="E357" t="s">
        <v>17</v>
      </c>
      <c r="F357">
        <v>20</v>
      </c>
    </row>
    <row r="358" spans="1:66" ht="19.5">
      <c r="E358" t="s">
        <v>11</v>
      </c>
      <c r="F358" s="6">
        <v>44248</v>
      </c>
    </row>
    <row r="359" spans="1:66" ht="19.5">
      <c r="E359" t="s">
        <v>12</v>
      </c>
      <c r="F359">
        <v>22</v>
      </c>
    </row>
    <row r="360" spans="1:66" ht="19.5">
      <c r="E360" t="s">
        <v>13</v>
      </c>
      <c r="F360">
        <v>23</v>
      </c>
    </row>
    <row r="361" spans="1:66" ht="19.5">
      <c r="E361" t="s">
        <v>14</v>
      </c>
      <c r="F361">
        <v>24</v>
      </c>
    </row>
    <row r="362" spans="1:66" ht="19.5">
      <c r="E362" t="s">
        <v>15</v>
      </c>
      <c r="F362">
        <v>25</v>
      </c>
    </row>
    <row r="363" spans="1:66" ht="19.5">
      <c r="E363" t="s">
        <v>16</v>
      </c>
      <c r="F363" s="6">
        <v>44253</v>
      </c>
    </row>
    <row r="364" spans="1:66" ht="19.5">
      <c r="E364" t="s">
        <v>17</v>
      </c>
      <c r="F364" s="6">
        <v>44254</v>
      </c>
    </row>
    <row r="365" spans="1:66" ht="19.5">
      <c r="E365" t="s">
        <v>11</v>
      </c>
      <c r="F365" s="6">
        <v>44255</v>
      </c>
    </row>
    <row r="366" spans="1:66" ht="19.5">
      <c r="E366" t="s">
        <v>12</v>
      </c>
      <c r="F366" s="6">
        <v>44256</v>
      </c>
    </row>
    <row r="367" spans="1:66" ht="19.5">
      <c r="E367" t="s">
        <v>13</v>
      </c>
      <c r="F367" s="6">
        <v>44257</v>
      </c>
    </row>
    <row r="368" spans="1:66" ht="19.5">
      <c r="E368" t="s">
        <v>14</v>
      </c>
      <c r="F368" s="6">
        <v>44258</v>
      </c>
    </row>
    <row r="369" spans="1:66" ht="19.5">
      <c r="E369" t="s">
        <v>15</v>
      </c>
      <c r="F369" s="6">
        <v>44259</v>
      </c>
    </row>
    <row r="370" spans="1:66" ht="19.5">
      <c r="E370" t="s">
        <v>16</v>
      </c>
      <c r="F370" s="6">
        <v>44260</v>
      </c>
    </row>
    <row r="371" spans="1:66" ht="19.5">
      <c r="E371" t="s">
        <v>17</v>
      </c>
      <c r="F371" s="6">
        <v>44261</v>
      </c>
    </row>
    <row r="372" spans="1:66" ht="19.5">
      <c r="E372" t="s">
        <v>11</v>
      </c>
      <c r="F372" s="6">
        <v>44262</v>
      </c>
    </row>
    <row r="373" spans="1:66" ht="19.5">
      <c r="E373" t="s">
        <v>12</v>
      </c>
      <c r="F373" s="6">
        <v>44263</v>
      </c>
    </row>
    <row r="374" spans="1:66" ht="19.5">
      <c r="E374" t="s">
        <v>13</v>
      </c>
      <c r="F374">
        <v>9</v>
      </c>
    </row>
    <row r="375" spans="1:66" ht="19.5">
      <c r="E375" t="s">
        <v>14</v>
      </c>
      <c r="F375">
        <v>10</v>
      </c>
    </row>
    <row r="376" spans="1:66" ht="19.5">
      <c r="E376" t="s">
        <v>15</v>
      </c>
      <c r="F376">
        <v>11</v>
      </c>
    </row>
    <row r="377" spans="1:66" ht="19.5">
      <c r="E377" t="s">
        <v>16</v>
      </c>
      <c r="F377">
        <v>12</v>
      </c>
    </row>
    <row r="378" spans="1:66" ht="19.5">
      <c r="E378" t="s">
        <v>17</v>
      </c>
      <c r="F378">
        <v>13</v>
      </c>
    </row>
    <row r="379" spans="1:66" ht="19.5">
      <c r="E379" t="s">
        <v>11</v>
      </c>
      <c r="F379" s="6">
        <v>44269</v>
      </c>
    </row>
    <row r="380" spans="1:66" ht="19.5">
      <c r="E380" t="s">
        <v>12</v>
      </c>
      <c r="F380">
        <v>15</v>
      </c>
    </row>
    <row r="381" spans="1:66" ht="19.5">
      <c r="E381" t="s">
        <v>13</v>
      </c>
      <c r="F381">
        <v>16</v>
      </c>
    </row>
    <row r="382" spans="1:66" ht="19.5">
      <c r="E382" t="s">
        <v>14</v>
      </c>
      <c r="F382">
        <v>17</v>
      </c>
    </row>
    <row r="383" spans="1:66" ht="19.5">
      <c r="E383" t="s">
        <v>15</v>
      </c>
      <c r="F383">
        <v>18</v>
      </c>
    </row>
    <row r="384" spans="1:66" ht="19.5">
      <c r="E384" t="s">
        <v>16</v>
      </c>
      <c r="F384">
        <v>19</v>
      </c>
    </row>
    <row r="385" spans="1:66" ht="19.5">
      <c r="E385" t="s">
        <v>17</v>
      </c>
      <c r="F385">
        <v>20</v>
      </c>
    </row>
    <row r="386" spans="1:66" ht="19.5">
      <c r="E386" t="s">
        <v>11</v>
      </c>
      <c r="F386" s="6">
        <v>44276</v>
      </c>
    </row>
    <row r="387" spans="1:66" ht="19.5">
      <c r="E387" t="s">
        <v>12</v>
      </c>
      <c r="F387">
        <v>22</v>
      </c>
    </row>
    <row r="388" spans="1:66" ht="19.5">
      <c r="E388" t="s">
        <v>13</v>
      </c>
      <c r="F388">
        <v>23</v>
      </c>
    </row>
    <row r="389" spans="1:66" ht="19.5">
      <c r="E389" t="s">
        <v>14</v>
      </c>
      <c r="F389">
        <v>24</v>
      </c>
    </row>
    <row r="390" spans="1:66" ht="19.5">
      <c r="E390" t="s">
        <v>15</v>
      </c>
      <c r="F390">
        <v>25</v>
      </c>
    </row>
    <row r="391" spans="1:66" ht="19.5">
      <c r="E391" t="s">
        <v>16</v>
      </c>
      <c r="F391">
        <v>26</v>
      </c>
    </row>
    <row r="392" spans="1:66" ht="19.5">
      <c r="E392" t="s">
        <v>17</v>
      </c>
      <c r="F392" s="6">
        <v>44282</v>
      </c>
    </row>
    <row r="393" spans="1:66" ht="19.5">
      <c r="E393" t="s">
        <v>11</v>
      </c>
      <c r="F393" s="6">
        <v>44283</v>
      </c>
    </row>
    <row r="394" spans="1:66" ht="19.5">
      <c r="E394" t="s">
        <v>12</v>
      </c>
      <c r="F394" s="6">
        <v>44284</v>
      </c>
    </row>
    <row r="395" spans="1:66" ht="19.5">
      <c r="E395" t="s">
        <v>13</v>
      </c>
      <c r="F395" s="6">
        <v>44285</v>
      </c>
    </row>
    <row r="396" spans="1:66" ht="19.5">
      <c r="E396" t="s">
        <v>14</v>
      </c>
      <c r="F396" s="6">
        <v>44286</v>
      </c>
    </row>
    <row r="397" spans="1:66" ht="19.5">
      <c r="E397" t="s">
        <v>15</v>
      </c>
      <c r="F397" s="6">
        <v>44287</v>
      </c>
    </row>
    <row r="398" spans="1:66" ht="19.5">
      <c r="E398" t="s">
        <v>16</v>
      </c>
      <c r="F398" s="6">
        <v>44288</v>
      </c>
    </row>
    <row r="399" spans="1:66" ht="19.5">
      <c r="E399" t="s">
        <v>17</v>
      </c>
      <c r="F399" s="6">
        <v>44289</v>
      </c>
    </row>
    <row r="400" spans="1:66" ht="19.5">
      <c r="E400" t="s">
        <v>11</v>
      </c>
      <c r="F400" s="6">
        <v>44290</v>
      </c>
    </row>
    <row r="401" spans="1:66" ht="19.5">
      <c r="E401" t="s">
        <v>12</v>
      </c>
      <c r="F401">
        <v>5</v>
      </c>
    </row>
    <row r="402" spans="1:66" ht="19.5">
      <c r="E402" t="s">
        <v>13</v>
      </c>
      <c r="F402">
        <v>6</v>
      </c>
    </row>
    <row r="403" spans="1:66" ht="19.5">
      <c r="E403" t="s">
        <v>14</v>
      </c>
      <c r="F403" s="6">
        <v>44293</v>
      </c>
    </row>
    <row r="404" spans="1:66" ht="19.5">
      <c r="E404" t="s">
        <v>15</v>
      </c>
      <c r="F404" s="6">
        <v>44294</v>
      </c>
    </row>
    <row r="405" spans="1:66" ht="19.5">
      <c r="E405" t="s">
        <v>16</v>
      </c>
      <c r="F405">
        <v>9</v>
      </c>
    </row>
    <row r="406" spans="1:66" ht="19.5">
      <c r="E406" t="s">
        <v>17</v>
      </c>
      <c r="F406">
        <v>10</v>
      </c>
    </row>
    <row r="407" spans="1:66" ht="19.5">
      <c r="E407" t="s">
        <v>11</v>
      </c>
      <c r="F407" s="6">
        <v>44297</v>
      </c>
    </row>
    <row r="408" spans="1:66" ht="19.5">
      <c r="E408" t="s">
        <v>12</v>
      </c>
      <c r="F408">
        <v>12</v>
      </c>
    </row>
    <row r="409" spans="1:66" ht="19.5">
      <c r="E409" t="s">
        <v>13</v>
      </c>
      <c r="F409">
        <v>13</v>
      </c>
    </row>
    <row r="410" spans="1:66" ht="19.5">
      <c r="E410" t="s">
        <v>14</v>
      </c>
      <c r="F410" s="6">
        <v>44300</v>
      </c>
    </row>
    <row r="411" spans="1:66" ht="19.5">
      <c r="E411" t="s">
        <v>15</v>
      </c>
      <c r="F411">
        <v>15</v>
      </c>
    </row>
    <row r="412" spans="1:66" ht="19.5">
      <c r="E412" t="s">
        <v>16</v>
      </c>
      <c r="F412">
        <v>16</v>
      </c>
    </row>
    <row r="413" spans="1:66" ht="19.5">
      <c r="E413" t="s">
        <v>17</v>
      </c>
      <c r="F413">
        <v>17</v>
      </c>
    </row>
    <row r="414" spans="1:66" ht="19.5">
      <c r="E414" t="s">
        <v>11</v>
      </c>
      <c r="F414" s="6">
        <v>44304</v>
      </c>
    </row>
    <row r="415" spans="1:66" ht="19.5">
      <c r="E415" t="s">
        <v>12</v>
      </c>
      <c r="F415">
        <v>19</v>
      </c>
    </row>
    <row r="416" spans="1:66" ht="19.5">
      <c r="E416" t="s">
        <v>13</v>
      </c>
      <c r="F416">
        <v>20</v>
      </c>
    </row>
    <row r="417" spans="1:66" ht="19.5">
      <c r="E417" t="s">
        <v>14</v>
      </c>
      <c r="F417" s="6">
        <v>44307</v>
      </c>
    </row>
    <row r="418" spans="1:66" ht="19.5">
      <c r="E418" t="s">
        <v>15</v>
      </c>
      <c r="F418">
        <v>22</v>
      </c>
    </row>
    <row r="419" spans="1:66" ht="19.5">
      <c r="E419" t="s">
        <v>16</v>
      </c>
      <c r="F419">
        <v>23</v>
      </c>
    </row>
    <row r="420" spans="1:66" ht="19.5">
      <c r="E420" t="s">
        <v>17</v>
      </c>
      <c r="F420">
        <v>24</v>
      </c>
    </row>
    <row r="421" spans="1:66" ht="19.5">
      <c r="E421" t="s">
        <v>11</v>
      </c>
      <c r="F421" s="6">
        <v>44311</v>
      </c>
    </row>
    <row r="422" spans="1:66" ht="19.5">
      <c r="E422" t="s">
        <v>12</v>
      </c>
      <c r="F422">
        <v>26</v>
      </c>
    </row>
    <row r="423" spans="1:66" ht="19.5">
      <c r="E423" t="s">
        <v>13</v>
      </c>
      <c r="F423">
        <v>27</v>
      </c>
    </row>
    <row r="424" spans="1:66" ht="19.5">
      <c r="E424" t="s">
        <v>14</v>
      </c>
      <c r="F424" s="6">
        <v>44314</v>
      </c>
    </row>
    <row r="425" spans="1:66" ht="19.5">
      <c r="E425" t="s">
        <v>15</v>
      </c>
      <c r="F425" s="6">
        <v>44315</v>
      </c>
    </row>
    <row r="426" spans="1:66" ht="19.5">
      <c r="E426" t="s">
        <v>16</v>
      </c>
      <c r="F426" s="6">
        <v>44316</v>
      </c>
    </row>
    <row r="427" spans="1:66" ht="19.5">
      <c r="E427" t="s">
        <v>17</v>
      </c>
      <c r="F427" s="6">
        <v>44317</v>
      </c>
    </row>
    <row r="428" spans="1:66" ht="19.5">
      <c r="E428" t="s">
        <v>11</v>
      </c>
      <c r="F428" s="6">
        <v>44318</v>
      </c>
    </row>
    <row r="429" spans="1:66" ht="19.5">
      <c r="E429" t="s">
        <v>12</v>
      </c>
      <c r="F429" s="6">
        <v>44319</v>
      </c>
    </row>
    <row r="430" spans="1:66" ht="19.5">
      <c r="E430" t="s">
        <v>13</v>
      </c>
      <c r="F430" s="6">
        <v>44320</v>
      </c>
    </row>
    <row r="431" spans="1:66" ht="19.5">
      <c r="E431" t="s">
        <v>14</v>
      </c>
      <c r="F431" s="6">
        <v>44321</v>
      </c>
    </row>
    <row r="432" spans="1:66" ht="19.5">
      <c r="E432" t="s">
        <v>15</v>
      </c>
      <c r="F432" s="6">
        <v>44322</v>
      </c>
    </row>
    <row r="433" spans="1:66" ht="19.5">
      <c r="E433" t="s">
        <v>16</v>
      </c>
      <c r="F433" s="6">
        <v>44323</v>
      </c>
    </row>
    <row r="434" spans="1:66" ht="19.5">
      <c r="E434" t="s">
        <v>17</v>
      </c>
      <c r="F434">
        <v>8</v>
      </c>
    </row>
    <row r="435" spans="1:66" ht="19.5">
      <c r="E435" t="s">
        <v>11</v>
      </c>
      <c r="F435" s="6">
        <v>44325</v>
      </c>
    </row>
    <row r="436" spans="1:66" ht="19.5">
      <c r="E436" t="s">
        <v>12</v>
      </c>
      <c r="F436">
        <v>10</v>
      </c>
    </row>
    <row r="437" spans="1:66" ht="19.5">
      <c r="E437" t="s">
        <v>13</v>
      </c>
      <c r="F437">
        <v>11</v>
      </c>
    </row>
    <row r="438" spans="1:66" ht="19.5">
      <c r="E438" t="s">
        <v>14</v>
      </c>
      <c r="F438">
        <v>12</v>
      </c>
    </row>
    <row r="439" spans="1:66" ht="19.5">
      <c r="E439" t="s">
        <v>15</v>
      </c>
      <c r="F439">
        <v>13</v>
      </c>
    </row>
    <row r="440" spans="1:66" ht="19.5">
      <c r="E440" t="s">
        <v>16</v>
      </c>
      <c r="F440" s="6">
        <v>44330</v>
      </c>
    </row>
    <row r="441" spans="1:66" ht="19.5">
      <c r="E441" t="s">
        <v>17</v>
      </c>
      <c r="F441" s="6">
        <v>44331</v>
      </c>
    </row>
    <row r="442" spans="1:66" ht="19.5">
      <c r="E442" t="s">
        <v>11</v>
      </c>
      <c r="F442">
        <v>16</v>
      </c>
    </row>
    <row r="443" spans="1:66" ht="19.5">
      <c r="E443" t="s">
        <v>12</v>
      </c>
      <c r="F443">
        <v>17</v>
      </c>
    </row>
    <row r="444" spans="1:66" ht="19.5">
      <c r="E444" t="s">
        <v>13</v>
      </c>
      <c r="F444">
        <v>18</v>
      </c>
    </row>
    <row r="445" spans="1:66" ht="19.5">
      <c r="E445" t="s">
        <v>14</v>
      </c>
      <c r="F445">
        <v>19</v>
      </c>
    </row>
    <row r="446" spans="1:66" ht="19.5">
      <c r="E446" t="s">
        <v>15</v>
      </c>
      <c r="F446">
        <v>20</v>
      </c>
    </row>
    <row r="447" spans="1:66" ht="19.5">
      <c r="E447" t="s">
        <v>16</v>
      </c>
      <c r="F447">
        <v>21</v>
      </c>
    </row>
    <row r="448" spans="1:66" ht="19.5">
      <c r="E448" t="s">
        <v>17</v>
      </c>
      <c r="F448">
        <v>22</v>
      </c>
    </row>
    <row r="449" spans="1:66" ht="19.5">
      <c r="E449" t="s">
        <v>11</v>
      </c>
      <c r="F449">
        <v>23</v>
      </c>
    </row>
    <row r="450" spans="1:66" ht="19.5">
      <c r="E450" t="s">
        <v>12</v>
      </c>
      <c r="F450">
        <v>24</v>
      </c>
    </row>
    <row r="451" spans="1:66" ht="19.5">
      <c r="E451" t="s">
        <v>13</v>
      </c>
      <c r="F451">
        <v>25</v>
      </c>
    </row>
    <row r="452" spans="1:66" ht="19.5">
      <c r="E452" t="s">
        <v>14</v>
      </c>
      <c r="F452">
        <v>26</v>
      </c>
    </row>
    <row r="453" spans="1:66" ht="19.5">
      <c r="E453" t="s">
        <v>15</v>
      </c>
      <c r="F453">
        <v>27</v>
      </c>
    </row>
    <row r="454" spans="1:66" ht="19.5">
      <c r="E454" t="s">
        <v>16</v>
      </c>
      <c r="F454">
        <v>28</v>
      </c>
    </row>
    <row r="455" spans="1:66" ht="19.5">
      <c r="E455" t="s">
        <v>17</v>
      </c>
      <c r="F455">
        <v>29</v>
      </c>
    </row>
    <row r="456" spans="1:66" ht="19.5">
      <c r="E456" t="s">
        <v>11</v>
      </c>
      <c r="F456" s="6">
        <v>44346</v>
      </c>
    </row>
    <row r="457" spans="1:66" ht="19.5">
      <c r="E457" t="s">
        <v>12</v>
      </c>
      <c r="F457" s="6">
        <v>44347</v>
      </c>
    </row>
    <row r="458" spans="1:66" ht="19.5">
      <c r="E458" t="s">
        <v>13</v>
      </c>
      <c r="F458" s="6">
        <v>44348</v>
      </c>
    </row>
    <row r="459" spans="1:66" ht="19.5">
      <c r="E459" t="s">
        <v>14</v>
      </c>
      <c r="F459">
        <v>2</v>
      </c>
    </row>
    <row r="460" spans="1:66" ht="19.5">
      <c r="E460" t="s">
        <v>15</v>
      </c>
      <c r="F460">
        <v>3</v>
      </c>
    </row>
    <row r="461" spans="1:66" ht="19.5">
      <c r="E461" t="s">
        <v>16</v>
      </c>
      <c r="F461">
        <v>4</v>
      </c>
    </row>
    <row r="462" spans="1:66" ht="19.5">
      <c r="E462" t="s">
        <v>17</v>
      </c>
      <c r="F462">
        <v>5</v>
      </c>
    </row>
    <row r="463" spans="1:66" ht="19.5">
      <c r="E463" t="s">
        <v>11</v>
      </c>
      <c r="F463" s="6">
        <v>44353</v>
      </c>
    </row>
    <row r="464" spans="1:66" ht="19.5">
      <c r="E464" t="s">
        <v>12</v>
      </c>
      <c r="F464" s="6">
        <v>44354</v>
      </c>
    </row>
    <row r="465" spans="1:66" ht="19.5">
      <c r="E465" t="s">
        <v>13</v>
      </c>
      <c r="F465">
        <v>8</v>
      </c>
    </row>
    <row r="466" spans="1:66" ht="19.5">
      <c r="E466" t="s">
        <v>14</v>
      </c>
      <c r="F466">
        <v>9</v>
      </c>
    </row>
    <row r="467" spans="1:66" ht="19.5">
      <c r="E467" t="s">
        <v>15</v>
      </c>
      <c r="F467">
        <v>10</v>
      </c>
    </row>
    <row r="468" spans="1:66" ht="19.5">
      <c r="E468" t="s">
        <v>16</v>
      </c>
      <c r="F468">
        <v>11</v>
      </c>
    </row>
    <row r="469" spans="1:66" ht="19.5">
      <c r="E469" t="s">
        <v>17</v>
      </c>
      <c r="F469">
        <v>12</v>
      </c>
    </row>
    <row r="470" spans="1:66" ht="19.5">
      <c r="E470" t="s">
        <v>11</v>
      </c>
      <c r="F470">
        <v>13</v>
      </c>
    </row>
    <row r="471" spans="1:66" ht="19.5">
      <c r="E471" t="s">
        <v>12</v>
      </c>
      <c r="F471">
        <v>14</v>
      </c>
    </row>
    <row r="472" spans="1:66" ht="19.5">
      <c r="E472" t="s">
        <v>13</v>
      </c>
      <c r="F472" s="6">
        <v>44362</v>
      </c>
    </row>
    <row r="473" spans="1:66" ht="19.5">
      <c r="E473" t="s">
        <v>14</v>
      </c>
      <c r="F473">
        <v>16</v>
      </c>
    </row>
    <row r="474" spans="1:66" ht="19.5">
      <c r="E474" t="s">
        <v>15</v>
      </c>
      <c r="F474">
        <v>17</v>
      </c>
    </row>
    <row r="475" spans="1:66" ht="19.5">
      <c r="E475" t="s">
        <v>16</v>
      </c>
      <c r="F475">
        <v>18</v>
      </c>
    </row>
    <row r="476" spans="1:66" ht="19.5">
      <c r="E476" t="s">
        <v>17</v>
      </c>
      <c r="F476">
        <v>19</v>
      </c>
    </row>
    <row r="477" spans="1:66" ht="19.5">
      <c r="E477" t="s">
        <v>11</v>
      </c>
      <c r="F477">
        <v>20</v>
      </c>
    </row>
    <row r="478" spans="1:66" ht="19.5">
      <c r="E478" t="s">
        <v>12</v>
      </c>
      <c r="F478">
        <v>21</v>
      </c>
    </row>
    <row r="479" spans="1:66" ht="19.5">
      <c r="E479" t="s">
        <v>13</v>
      </c>
      <c r="F479">
        <v>22</v>
      </c>
    </row>
    <row r="480" spans="1:66" ht="19.5">
      <c r="E480" t="s">
        <v>14</v>
      </c>
      <c r="F480">
        <v>23</v>
      </c>
    </row>
    <row r="481" spans="1:66" ht="19.5">
      <c r="E481" t="s">
        <v>15</v>
      </c>
      <c r="F481">
        <v>24</v>
      </c>
    </row>
    <row r="482" spans="1:66" ht="19.5">
      <c r="E482" t="s">
        <v>16</v>
      </c>
      <c r="F482">
        <v>25</v>
      </c>
    </row>
    <row r="483" spans="1:66" ht="19.5">
      <c r="E483" t="s">
        <v>17</v>
      </c>
      <c r="F483">
        <v>26</v>
      </c>
    </row>
    <row r="484" spans="1:66" ht="19.5">
      <c r="E484" t="s">
        <v>11</v>
      </c>
      <c r="F484">
        <v>27</v>
      </c>
    </row>
    <row r="485" spans="1:66" ht="19.5">
      <c r="E485" t="s">
        <v>12</v>
      </c>
      <c r="F485">
        <v>28</v>
      </c>
    </row>
    <row r="486" spans="1:66" ht="19.5">
      <c r="E486" t="s">
        <v>13</v>
      </c>
      <c r="F486">
        <v>29</v>
      </c>
    </row>
    <row r="487" spans="1:66" ht="19.5">
      <c r="E487" t="s">
        <v>14</v>
      </c>
      <c r="F487" s="6">
        <v>44377</v>
      </c>
    </row>
    <row r="488" spans="1:66" ht="19.5">
      <c r="E488" t="s">
        <v>15</v>
      </c>
      <c r="F488" s="6">
        <v>44378</v>
      </c>
    </row>
    <row r="489" spans="1:66" ht="19.5">
      <c r="E489" t="s">
        <v>16</v>
      </c>
      <c r="F489">
        <v>2</v>
      </c>
    </row>
    <row r="490" spans="1:66" ht="19.5">
      <c r="E490" t="s">
        <v>17</v>
      </c>
      <c r="F490">
        <v>3</v>
      </c>
    </row>
    <row r="491" spans="1:66" ht="19.5">
      <c r="E491" t="s">
        <v>11</v>
      </c>
      <c r="F491">
        <v>4</v>
      </c>
    </row>
    <row r="492" spans="1:66" ht="19.5">
      <c r="E492" t="s">
        <v>12</v>
      </c>
      <c r="F492">
        <v>5</v>
      </c>
    </row>
    <row r="493" spans="1:66" ht="19.5">
      <c r="E493" t="s">
        <v>13</v>
      </c>
      <c r="F493">
        <v>6</v>
      </c>
    </row>
    <row r="494" spans="1:66" ht="19.5">
      <c r="E494" t="s">
        <v>14</v>
      </c>
      <c r="F494">
        <v>7</v>
      </c>
    </row>
    <row r="495" spans="1:66" ht="19.5">
      <c r="E495" t="s">
        <v>15</v>
      </c>
      <c r="F495">
        <v>8</v>
      </c>
    </row>
    <row r="496" spans="1:66" ht="19.5">
      <c r="E496" t="s">
        <v>16</v>
      </c>
      <c r="F496">
        <v>9</v>
      </c>
    </row>
    <row r="497" spans="1:66" ht="19.5">
      <c r="E497" t="s">
        <v>17</v>
      </c>
      <c r="F497">
        <v>10</v>
      </c>
    </row>
    <row r="498" spans="1:66" ht="19.5">
      <c r="E498" t="s">
        <v>11</v>
      </c>
      <c r="F498">
        <v>11</v>
      </c>
    </row>
    <row r="499" spans="1:66" ht="19.5">
      <c r="E499" t="s">
        <v>12</v>
      </c>
      <c r="F499">
        <v>12</v>
      </c>
    </row>
    <row r="500" spans="1:66" ht="19.5">
      <c r="E500" t="s">
        <v>13</v>
      </c>
      <c r="F500">
        <v>13</v>
      </c>
    </row>
    <row r="501" spans="1:66" ht="19.5">
      <c r="E501" t="s">
        <v>14</v>
      </c>
      <c r="F501">
        <v>14</v>
      </c>
    </row>
    <row r="502" spans="1:66" ht="19.5">
      <c r="E502" t="s">
        <v>15</v>
      </c>
      <c r="F502">
        <v>15</v>
      </c>
    </row>
    <row r="503" spans="1:66" ht="19.5">
      <c r="E503" t="s">
        <v>16</v>
      </c>
      <c r="F503">
        <v>16</v>
      </c>
    </row>
    <row r="504" spans="1:66" ht="19.5">
      <c r="E504" t="s">
        <v>17</v>
      </c>
      <c r="F504">
        <v>17</v>
      </c>
    </row>
    <row r="505" spans="1:66" ht="19.5">
      <c r="E505" t="s">
        <v>11</v>
      </c>
      <c r="F505">
        <v>18</v>
      </c>
    </row>
    <row r="506" spans="1:66" ht="19.5">
      <c r="E506" t="s">
        <v>12</v>
      </c>
      <c r="F506">
        <v>19</v>
      </c>
    </row>
    <row r="507" spans="1:66" ht="19.5">
      <c r="E507" t="s">
        <v>13</v>
      </c>
      <c r="F507">
        <v>20</v>
      </c>
    </row>
    <row r="508" spans="1:66" ht="19.5">
      <c r="E508" t="s">
        <v>14</v>
      </c>
      <c r="F508">
        <v>21</v>
      </c>
    </row>
    <row r="509" spans="1:66" ht="19.5">
      <c r="E509" t="s">
        <v>15</v>
      </c>
      <c r="F509">
        <v>22</v>
      </c>
    </row>
    <row r="510" spans="1:66" ht="19.5">
      <c r="E510" t="s">
        <v>16</v>
      </c>
      <c r="F510">
        <v>23</v>
      </c>
    </row>
    <row r="511" spans="1:66" ht="19.5">
      <c r="F511">
        <v>24</v>
      </c>
    </row>
    <row r="512" spans="1:66" ht="19.5">
      <c r="F512">
        <v>25</v>
      </c>
    </row>
    <row r="513" spans="1:66" ht="19.5">
      <c r="F513">
        <v>26</v>
      </c>
    </row>
    <row r="514" spans="1:66" ht="19.5">
      <c r="F514">
        <v>27</v>
      </c>
    </row>
    <row r="515" spans="1:66" ht="19.5">
      <c r="F515">
        <v>28</v>
      </c>
    </row>
    <row r="516" spans="1:66" ht="19.5">
      <c r="F516">
        <v>29</v>
      </c>
    </row>
    <row r="517" spans="1:66" ht="19.5">
      <c r="F517">
        <v>30</v>
      </c>
    </row>
    <row r="518" spans="1:66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2020-04-19T14:50:25Z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